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6835" windowHeight="13110"/>
  </bookViews>
  <sheets>
    <sheet name="Holding_details_Growth_ETF_Port" sheetId="1" r:id="rId1"/>
  </sheets>
  <calcPr calcId="0"/>
</workbook>
</file>

<file path=xl/calcChain.xml><?xml version="1.0" encoding="utf-8"?>
<calcChain xmlns="http://schemas.openxmlformats.org/spreadsheetml/2006/main">
  <c r="B7" i="1"/>
  <c r="E7"/>
  <c r="B8"/>
  <c r="E8"/>
  <c r="B9"/>
  <c r="E9"/>
  <c r="B10"/>
  <c r="E10"/>
  <c r="B11"/>
  <c r="E11"/>
  <c r="B12"/>
  <c r="E12"/>
  <c r="B13"/>
  <c r="E13"/>
  <c r="B14"/>
  <c r="E14"/>
  <c r="B15"/>
  <c r="E15"/>
  <c r="B16"/>
  <c r="E16"/>
  <c r="B17"/>
  <c r="E17"/>
  <c r="B18"/>
  <c r="E18"/>
  <c r="B19"/>
  <c r="E19"/>
  <c r="B20"/>
  <c r="E20"/>
  <c r="B21"/>
  <c r="E21"/>
  <c r="B22"/>
  <c r="E22"/>
  <c r="B23"/>
  <c r="E23"/>
  <c r="B24"/>
  <c r="E24"/>
  <c r="B25"/>
  <c r="E25"/>
  <c r="B26"/>
  <c r="E26"/>
  <c r="B27"/>
  <c r="E27"/>
  <c r="B28"/>
  <c r="E28"/>
  <c r="B29"/>
  <c r="E29"/>
  <c r="B30"/>
  <c r="E30"/>
  <c r="B31"/>
  <c r="E31"/>
  <c r="B32"/>
  <c r="E32"/>
  <c r="B33"/>
  <c r="E33"/>
  <c r="B34"/>
  <c r="E34"/>
  <c r="B35"/>
  <c r="E35"/>
  <c r="B36"/>
  <c r="E36"/>
  <c r="B37"/>
  <c r="E37"/>
  <c r="B38"/>
  <c r="E38"/>
  <c r="B39"/>
  <c r="E39"/>
  <c r="B40"/>
  <c r="E40"/>
  <c r="B41"/>
  <c r="E41"/>
  <c r="B42"/>
  <c r="E42"/>
  <c r="B43"/>
  <c r="E43"/>
  <c r="B44"/>
  <c r="E44"/>
  <c r="B45"/>
  <c r="E45"/>
  <c r="B46"/>
  <c r="E46"/>
  <c r="B47"/>
  <c r="E47"/>
  <c r="B48"/>
  <c r="E48"/>
  <c r="B49"/>
  <c r="E49"/>
  <c r="B50"/>
  <c r="E50"/>
  <c r="B51"/>
  <c r="E51"/>
  <c r="B52"/>
  <c r="E52"/>
  <c r="B53"/>
  <c r="E53"/>
  <c r="B54"/>
  <c r="E54"/>
  <c r="B55"/>
  <c r="E55"/>
  <c r="B56"/>
  <c r="E56"/>
  <c r="B57"/>
  <c r="E57"/>
  <c r="B58"/>
  <c r="E58"/>
  <c r="B59"/>
  <c r="E59"/>
  <c r="B60"/>
  <c r="E60"/>
  <c r="B61"/>
  <c r="E61"/>
  <c r="B62"/>
  <c r="E62"/>
  <c r="B63"/>
  <c r="E63"/>
  <c r="B64"/>
  <c r="E64"/>
  <c r="B65"/>
  <c r="E65"/>
  <c r="B66"/>
  <c r="E66"/>
  <c r="B67"/>
  <c r="E67"/>
  <c r="B68"/>
  <c r="E68"/>
  <c r="B69"/>
  <c r="E69"/>
  <c r="B70"/>
  <c r="E70"/>
  <c r="B71"/>
  <c r="E71"/>
  <c r="B72"/>
  <c r="E72"/>
  <c r="B73"/>
  <c r="E73"/>
  <c r="B74"/>
  <c r="E74"/>
  <c r="B75"/>
  <c r="E75"/>
  <c r="B76"/>
  <c r="E76"/>
  <c r="B77"/>
  <c r="E77"/>
  <c r="B78"/>
  <c r="E78"/>
  <c r="B79"/>
  <c r="E79"/>
  <c r="B80"/>
  <c r="E80"/>
  <c r="B81"/>
  <c r="E81"/>
  <c r="B82"/>
  <c r="E82"/>
  <c r="B83"/>
  <c r="E83"/>
  <c r="B84"/>
  <c r="E84"/>
  <c r="B85"/>
  <c r="E85"/>
  <c r="B86"/>
  <c r="E86"/>
  <c r="B87"/>
  <c r="E87"/>
  <c r="B88"/>
  <c r="E88"/>
  <c r="B89"/>
  <c r="E89"/>
  <c r="B90"/>
  <c r="E90"/>
  <c r="B91"/>
  <c r="E91"/>
  <c r="B92"/>
  <c r="E92"/>
  <c r="B93"/>
  <c r="E93"/>
  <c r="B94"/>
  <c r="E94"/>
  <c r="B95"/>
  <c r="E95"/>
  <c r="B96"/>
  <c r="E96"/>
  <c r="B97"/>
  <c r="E97"/>
  <c r="B98"/>
  <c r="E98"/>
  <c r="B99"/>
  <c r="E99"/>
  <c r="B100"/>
  <c r="E100"/>
  <c r="B101"/>
  <c r="E101"/>
  <c r="B102"/>
  <c r="E102"/>
  <c r="B103"/>
  <c r="E103"/>
  <c r="B104"/>
  <c r="E104"/>
  <c r="B105"/>
  <c r="E105"/>
  <c r="B106"/>
  <c r="E106"/>
  <c r="B107"/>
  <c r="E107"/>
  <c r="B108"/>
  <c r="E108"/>
  <c r="B109"/>
  <c r="E109"/>
  <c r="B110"/>
  <c r="E110"/>
  <c r="B111"/>
  <c r="E111"/>
  <c r="B112"/>
  <c r="E112"/>
  <c r="B113"/>
  <c r="E113"/>
  <c r="B114"/>
  <c r="E114"/>
  <c r="B115"/>
  <c r="E115"/>
  <c r="B116"/>
  <c r="E116"/>
  <c r="B117"/>
  <c r="E117"/>
  <c r="B118"/>
  <c r="E118"/>
  <c r="B119"/>
  <c r="E119"/>
  <c r="B120"/>
  <c r="E120"/>
  <c r="B121"/>
  <c r="E121"/>
  <c r="B122"/>
  <c r="E122"/>
  <c r="B123"/>
  <c r="E123"/>
  <c r="B124"/>
  <c r="E124"/>
  <c r="B125"/>
  <c r="E125"/>
  <c r="B126"/>
  <c r="E126"/>
  <c r="B127"/>
  <c r="E127"/>
  <c r="B128"/>
  <c r="E128"/>
  <c r="B129"/>
  <c r="E129"/>
  <c r="B130"/>
  <c r="E130"/>
  <c r="B131"/>
  <c r="E131"/>
  <c r="B132"/>
  <c r="E132"/>
  <c r="B133"/>
  <c r="E133"/>
  <c r="B134"/>
  <c r="E134"/>
  <c r="B135"/>
  <c r="E135"/>
  <c r="B136"/>
  <c r="E136"/>
  <c r="B137"/>
  <c r="E137"/>
  <c r="B138"/>
  <c r="E138"/>
  <c r="B139"/>
  <c r="E139"/>
  <c r="B140"/>
  <c r="E140"/>
  <c r="B141"/>
  <c r="E141"/>
  <c r="B142"/>
  <c r="E142"/>
  <c r="B143"/>
  <c r="E143"/>
  <c r="B144"/>
  <c r="E144"/>
  <c r="B145"/>
  <c r="E145"/>
  <c r="B146"/>
  <c r="E146"/>
  <c r="B147"/>
  <c r="E147"/>
  <c r="B148"/>
  <c r="E148"/>
  <c r="B149"/>
  <c r="E149"/>
  <c r="B150"/>
  <c r="E150"/>
  <c r="B151"/>
  <c r="E151"/>
  <c r="B152"/>
  <c r="E152"/>
  <c r="B153"/>
  <c r="E153"/>
  <c r="B154"/>
  <c r="E154"/>
  <c r="B155"/>
  <c r="E155"/>
  <c r="B156"/>
  <c r="E156"/>
  <c r="B157"/>
  <c r="E157"/>
  <c r="B158"/>
  <c r="E158"/>
  <c r="B159"/>
  <c r="E159"/>
  <c r="B160"/>
  <c r="E160"/>
  <c r="B161"/>
  <c r="E161"/>
  <c r="B162"/>
  <c r="E162"/>
  <c r="B163"/>
  <c r="E163"/>
  <c r="B164"/>
  <c r="E164"/>
  <c r="B165"/>
  <c r="E165"/>
  <c r="B166"/>
  <c r="E166"/>
  <c r="B167"/>
  <c r="E167"/>
  <c r="B168"/>
  <c r="E168"/>
  <c r="B169"/>
  <c r="E169"/>
  <c r="B170"/>
  <c r="E170"/>
  <c r="B171"/>
  <c r="E171"/>
  <c r="B172"/>
  <c r="E172"/>
  <c r="B173"/>
  <c r="E173"/>
  <c r="B174"/>
  <c r="E174"/>
  <c r="B175"/>
  <c r="E175"/>
  <c r="B176"/>
  <c r="E176"/>
  <c r="B177"/>
  <c r="E177"/>
  <c r="B178"/>
  <c r="E178"/>
  <c r="B179"/>
  <c r="E179"/>
  <c r="B180"/>
  <c r="E180"/>
  <c r="B181"/>
  <c r="E181"/>
  <c r="B182"/>
  <c r="E182"/>
  <c r="B183"/>
  <c r="E183"/>
  <c r="B184"/>
  <c r="E184"/>
  <c r="B185"/>
  <c r="E185"/>
  <c r="B186"/>
  <c r="E186"/>
  <c r="B187"/>
  <c r="E187"/>
  <c r="B188"/>
  <c r="E188"/>
  <c r="B189"/>
  <c r="E189"/>
  <c r="B190"/>
  <c r="E190"/>
  <c r="B191"/>
  <c r="E191"/>
  <c r="B192"/>
  <c r="E192"/>
  <c r="B193"/>
  <c r="E193"/>
  <c r="B194"/>
  <c r="E194"/>
  <c r="B195"/>
  <c r="E195"/>
  <c r="B196"/>
  <c r="E196"/>
  <c r="B197"/>
  <c r="E197"/>
  <c r="B198"/>
  <c r="E198"/>
  <c r="B199"/>
  <c r="E199"/>
  <c r="B200"/>
  <c r="E200"/>
  <c r="B201"/>
  <c r="E201"/>
  <c r="B202"/>
  <c r="E202"/>
  <c r="B203"/>
  <c r="E203"/>
  <c r="B204"/>
  <c r="E204"/>
  <c r="B205"/>
  <c r="E205"/>
  <c r="B206"/>
  <c r="E206"/>
  <c r="B207"/>
  <c r="E207"/>
  <c r="B208"/>
  <c r="E208"/>
  <c r="B209"/>
  <c r="E209"/>
  <c r="B210"/>
  <c r="E210"/>
  <c r="B211"/>
  <c r="E211"/>
  <c r="B212"/>
  <c r="E212"/>
  <c r="B213"/>
  <c r="E213"/>
  <c r="B214"/>
  <c r="E214"/>
  <c r="B215"/>
  <c r="E215"/>
  <c r="B216"/>
  <c r="E216"/>
  <c r="B217"/>
  <c r="E217"/>
  <c r="B218"/>
  <c r="E218"/>
  <c r="B219"/>
  <c r="E219"/>
  <c r="B220"/>
  <c r="E220"/>
  <c r="B221"/>
  <c r="E221"/>
  <c r="B222"/>
  <c r="E222"/>
  <c r="B223"/>
  <c r="E223"/>
  <c r="B224"/>
  <c r="E224"/>
  <c r="B225"/>
  <c r="E225"/>
  <c r="B226"/>
  <c r="E226"/>
  <c r="B227"/>
  <c r="E227"/>
  <c r="B228"/>
  <c r="E228"/>
  <c r="B229"/>
  <c r="E229"/>
  <c r="B230"/>
  <c r="E230"/>
  <c r="B231"/>
  <c r="E231"/>
  <c r="B232"/>
  <c r="E232"/>
  <c r="B233"/>
  <c r="E233"/>
  <c r="B234"/>
  <c r="E234"/>
  <c r="B235"/>
  <c r="E235"/>
  <c r="B236"/>
  <c r="E236"/>
  <c r="B237"/>
  <c r="E237"/>
  <c r="B238"/>
  <c r="E238"/>
  <c r="B239"/>
  <c r="E239"/>
  <c r="B240"/>
  <c r="E240"/>
  <c r="B241"/>
  <c r="E241"/>
  <c r="B242"/>
  <c r="E242"/>
  <c r="B243"/>
  <c r="E243"/>
  <c r="B244"/>
  <c r="E244"/>
  <c r="B245"/>
  <c r="E245"/>
  <c r="B246"/>
  <c r="E246"/>
  <c r="B247"/>
  <c r="E247"/>
  <c r="B248"/>
  <c r="E248"/>
  <c r="B249"/>
  <c r="E249"/>
  <c r="B250"/>
  <c r="E250"/>
  <c r="B251"/>
  <c r="E251"/>
  <c r="B252"/>
  <c r="E252"/>
  <c r="B253"/>
  <c r="E253"/>
  <c r="B254"/>
  <c r="E254"/>
  <c r="B255"/>
  <c r="E255"/>
  <c r="B256"/>
  <c r="E256"/>
  <c r="B257"/>
  <c r="E257"/>
  <c r="B258"/>
  <c r="E258"/>
  <c r="B259"/>
  <c r="E259"/>
  <c r="B260"/>
  <c r="E260"/>
  <c r="B261"/>
  <c r="E261"/>
  <c r="B262"/>
  <c r="E262"/>
  <c r="B263"/>
  <c r="E263"/>
  <c r="B264"/>
  <c r="E264"/>
  <c r="B265"/>
  <c r="E265"/>
  <c r="B266"/>
  <c r="E266"/>
  <c r="B267"/>
  <c r="E267"/>
  <c r="B268"/>
  <c r="E268"/>
  <c r="B269"/>
  <c r="E269"/>
  <c r="B270"/>
  <c r="E270"/>
  <c r="B271"/>
  <c r="E271"/>
  <c r="B272"/>
  <c r="E272"/>
  <c r="B273"/>
  <c r="E273"/>
  <c r="B274"/>
  <c r="E274"/>
  <c r="B275"/>
  <c r="E275"/>
  <c r="B276"/>
  <c r="E276"/>
  <c r="B277"/>
  <c r="E277"/>
  <c r="B278"/>
  <c r="E278"/>
  <c r="B279"/>
  <c r="E279"/>
  <c r="B280"/>
  <c r="E280"/>
  <c r="B281"/>
  <c r="E281"/>
  <c r="B282"/>
  <c r="E282"/>
  <c r="B283"/>
  <c r="E283"/>
  <c r="B284"/>
  <c r="E284"/>
  <c r="B285"/>
  <c r="E285"/>
  <c r="B286"/>
  <c r="E286"/>
  <c r="B287"/>
  <c r="E287"/>
  <c r="B288"/>
  <c r="E288"/>
  <c r="B289"/>
  <c r="E289"/>
  <c r="B290"/>
  <c r="E290"/>
  <c r="B291"/>
  <c r="E291"/>
  <c r="B292"/>
  <c r="E292"/>
  <c r="B293"/>
  <c r="E293"/>
  <c r="B294"/>
  <c r="E294"/>
  <c r="B295"/>
  <c r="E295"/>
  <c r="B296"/>
  <c r="E296"/>
  <c r="B297"/>
  <c r="E297"/>
  <c r="B298"/>
  <c r="E298"/>
  <c r="B299"/>
  <c r="E299"/>
  <c r="B300"/>
  <c r="E300"/>
  <c r="B301"/>
  <c r="E301"/>
  <c r="B302"/>
  <c r="E302"/>
  <c r="B303"/>
  <c r="E303"/>
  <c r="B304"/>
  <c r="E304"/>
  <c r="B305"/>
  <c r="E305"/>
  <c r="B306"/>
  <c r="E306"/>
  <c r="B307"/>
  <c r="E307"/>
  <c r="B308"/>
  <c r="E308"/>
  <c r="B309"/>
  <c r="E309"/>
  <c r="B310"/>
  <c r="E310"/>
  <c r="B311"/>
  <c r="E311"/>
  <c r="B312"/>
  <c r="E312"/>
  <c r="B313"/>
  <c r="E313"/>
  <c r="B314"/>
  <c r="E314"/>
  <c r="B315"/>
  <c r="E315"/>
  <c r="B316"/>
  <c r="E316"/>
  <c r="B317"/>
  <c r="E317"/>
  <c r="B318"/>
  <c r="E318"/>
  <c r="B319"/>
  <c r="E319"/>
  <c r="B320"/>
  <c r="E320"/>
  <c r="B321"/>
  <c r="E321"/>
  <c r="B322"/>
  <c r="E322"/>
  <c r="B323"/>
  <c r="E323"/>
  <c r="B324"/>
  <c r="E324"/>
  <c r="B325"/>
  <c r="E325"/>
  <c r="B326"/>
  <c r="E326"/>
  <c r="B327"/>
  <c r="E327"/>
  <c r="B328"/>
  <c r="E328"/>
  <c r="B329"/>
  <c r="E329"/>
  <c r="B330"/>
  <c r="E330"/>
  <c r="B331"/>
  <c r="E331"/>
  <c r="B332"/>
  <c r="E332"/>
  <c r="B333"/>
  <c r="E333"/>
  <c r="B334"/>
  <c r="E334"/>
  <c r="B335"/>
  <c r="E335"/>
  <c r="B336"/>
  <c r="E336"/>
  <c r="B337"/>
  <c r="E337"/>
  <c r="B338"/>
  <c r="E338"/>
  <c r="B339"/>
  <c r="E339"/>
  <c r="B340"/>
  <c r="E340"/>
  <c r="B341"/>
  <c r="E341"/>
  <c r="B342"/>
  <c r="E342"/>
  <c r="B343"/>
  <c r="E343"/>
  <c r="B344"/>
  <c r="E344"/>
  <c r="B345"/>
  <c r="E345"/>
  <c r="B346"/>
  <c r="E346"/>
  <c r="B347"/>
  <c r="E347"/>
  <c r="B348"/>
  <c r="E348"/>
  <c r="B349"/>
  <c r="E349"/>
  <c r="B350"/>
  <c r="E350"/>
  <c r="B351"/>
  <c r="E351"/>
  <c r="B352"/>
  <c r="E352"/>
  <c r="B353"/>
  <c r="E353"/>
  <c r="B354"/>
  <c r="E354"/>
  <c r="B355"/>
  <c r="E355"/>
  <c r="B356"/>
  <c r="E356"/>
  <c r="B357"/>
  <c r="E357"/>
  <c r="B358"/>
  <c r="E358"/>
  <c r="B359"/>
  <c r="E359"/>
  <c r="B360"/>
  <c r="E360"/>
  <c r="B361"/>
  <c r="E361"/>
  <c r="B362"/>
  <c r="E362"/>
  <c r="B363"/>
  <c r="E363"/>
  <c r="B364"/>
  <c r="E364"/>
  <c r="B365"/>
  <c r="E365"/>
  <c r="B366"/>
  <c r="E366"/>
  <c r="B367"/>
  <c r="E367"/>
  <c r="B368"/>
  <c r="E368"/>
  <c r="B369"/>
  <c r="E369"/>
  <c r="B370"/>
  <c r="E370"/>
  <c r="B371"/>
  <c r="E371"/>
  <c r="B372"/>
  <c r="E372"/>
  <c r="B373"/>
  <c r="E373"/>
  <c r="B374"/>
  <c r="E374"/>
  <c r="B375"/>
  <c r="E375"/>
  <c r="B376"/>
  <c r="E376"/>
  <c r="B377"/>
  <c r="E377"/>
  <c r="B378"/>
  <c r="E378"/>
  <c r="B379"/>
  <c r="E379"/>
  <c r="B380"/>
  <c r="E380"/>
  <c r="B381"/>
  <c r="E381"/>
  <c r="B382"/>
  <c r="E382"/>
  <c r="B383"/>
  <c r="E383"/>
  <c r="B384"/>
  <c r="E384"/>
  <c r="B385"/>
  <c r="E385"/>
  <c r="B386"/>
  <c r="E386"/>
  <c r="B387"/>
  <c r="E387"/>
  <c r="B388"/>
  <c r="E388"/>
  <c r="B389"/>
  <c r="E389"/>
  <c r="B390"/>
  <c r="E390"/>
  <c r="B391"/>
  <c r="E391"/>
  <c r="B392"/>
  <c r="E392"/>
  <c r="B393"/>
  <c r="E393"/>
  <c r="B394"/>
  <c r="E394"/>
  <c r="B395"/>
  <c r="E395"/>
  <c r="B396"/>
  <c r="E396"/>
  <c r="B397"/>
  <c r="E397"/>
  <c r="B398"/>
  <c r="E398"/>
  <c r="B399"/>
  <c r="E399"/>
  <c r="B400"/>
  <c r="E400"/>
  <c r="B401"/>
  <c r="E401"/>
  <c r="B402"/>
  <c r="E402"/>
  <c r="B403"/>
  <c r="E403"/>
  <c r="B404"/>
  <c r="E404"/>
  <c r="B405"/>
  <c r="E405"/>
  <c r="B406"/>
  <c r="E406"/>
  <c r="B407"/>
  <c r="E407"/>
  <c r="B408"/>
  <c r="E408"/>
  <c r="B409"/>
  <c r="E409"/>
  <c r="B410"/>
  <c r="E410"/>
  <c r="B411"/>
  <c r="E411"/>
  <c r="B412"/>
  <c r="E412"/>
  <c r="B413"/>
  <c r="E413"/>
  <c r="B414"/>
  <c r="E414"/>
  <c r="B415"/>
  <c r="E415"/>
  <c r="B416"/>
  <c r="E416"/>
  <c r="B417"/>
  <c r="E417"/>
  <c r="B418"/>
  <c r="E418"/>
  <c r="B419"/>
  <c r="E419"/>
  <c r="B420"/>
  <c r="E420"/>
  <c r="B421"/>
  <c r="E421"/>
  <c r="B422"/>
  <c r="E422"/>
  <c r="B423"/>
  <c r="E423"/>
  <c r="B424"/>
  <c r="E424"/>
  <c r="B425"/>
  <c r="E425"/>
  <c r="B426"/>
  <c r="E426"/>
  <c r="B427"/>
  <c r="E427"/>
  <c r="B428"/>
  <c r="E428"/>
  <c r="B429"/>
  <c r="E429"/>
  <c r="B430"/>
  <c r="E430"/>
  <c r="B431"/>
  <c r="E431"/>
  <c r="B432"/>
  <c r="E432"/>
  <c r="B433"/>
  <c r="E433"/>
  <c r="B434"/>
  <c r="E434"/>
  <c r="B435"/>
  <c r="E435"/>
  <c r="B436"/>
  <c r="E436"/>
  <c r="B437"/>
  <c r="E437"/>
  <c r="B438"/>
  <c r="E438"/>
  <c r="B439"/>
  <c r="E439"/>
  <c r="B440"/>
  <c r="E440"/>
  <c r="B441"/>
  <c r="E441"/>
  <c r="B442"/>
  <c r="E442"/>
  <c r="B443"/>
  <c r="E443"/>
  <c r="B444"/>
  <c r="E444"/>
  <c r="B445"/>
  <c r="E445"/>
  <c r="B446"/>
  <c r="E446"/>
  <c r="B447"/>
  <c r="E447"/>
  <c r="B448"/>
  <c r="E448"/>
  <c r="B449"/>
  <c r="E449"/>
  <c r="B450"/>
  <c r="E450"/>
  <c r="B451"/>
  <c r="E451"/>
  <c r="B452"/>
  <c r="E452"/>
  <c r="B453"/>
  <c r="E453"/>
  <c r="B454"/>
  <c r="E454"/>
  <c r="B455"/>
  <c r="E455"/>
  <c r="B456"/>
  <c r="E456"/>
  <c r="B457"/>
  <c r="E457"/>
  <c r="B458"/>
  <c r="E458"/>
  <c r="B459"/>
  <c r="E459"/>
  <c r="B460"/>
  <c r="E460"/>
  <c r="B461"/>
  <c r="E461"/>
  <c r="B462"/>
  <c r="E462"/>
  <c r="B463"/>
  <c r="E463"/>
  <c r="B464"/>
  <c r="E464"/>
  <c r="B465"/>
  <c r="E465"/>
  <c r="B466"/>
  <c r="E466"/>
  <c r="B467"/>
  <c r="E467"/>
  <c r="B468"/>
  <c r="E468"/>
  <c r="B469"/>
  <c r="E469"/>
  <c r="B470"/>
  <c r="E470"/>
  <c r="B471"/>
  <c r="E471"/>
  <c r="B472"/>
  <c r="E472"/>
  <c r="B473"/>
  <c r="E473"/>
  <c r="B474"/>
  <c r="E474"/>
  <c r="B475"/>
  <c r="E475"/>
  <c r="B476"/>
  <c r="E476"/>
  <c r="B477"/>
  <c r="E477"/>
  <c r="B478"/>
  <c r="E478"/>
  <c r="B479"/>
  <c r="E479"/>
  <c r="B480"/>
  <c r="E480"/>
  <c r="B481"/>
  <c r="E481"/>
  <c r="B482"/>
  <c r="E482"/>
  <c r="B483"/>
  <c r="E483"/>
  <c r="B484"/>
  <c r="E484"/>
  <c r="B485"/>
  <c r="E485"/>
  <c r="B486"/>
  <c r="E486"/>
  <c r="B487"/>
  <c r="E487"/>
  <c r="B488"/>
  <c r="E488"/>
  <c r="B489"/>
  <c r="E489"/>
  <c r="B490"/>
  <c r="E490"/>
  <c r="B491"/>
  <c r="E491"/>
  <c r="B492"/>
  <c r="E492"/>
  <c r="B493"/>
  <c r="E493"/>
  <c r="B494"/>
  <c r="E494"/>
  <c r="B495"/>
  <c r="E495"/>
  <c r="B496"/>
  <c r="E496"/>
  <c r="B497"/>
  <c r="E497"/>
  <c r="B498"/>
  <c r="E498"/>
  <c r="B499"/>
  <c r="E499"/>
  <c r="B500"/>
  <c r="E500"/>
  <c r="B501"/>
  <c r="E501"/>
  <c r="B502"/>
  <c r="E502"/>
  <c r="B503"/>
  <c r="E503"/>
  <c r="B504"/>
  <c r="E504"/>
  <c r="B505"/>
  <c r="E505"/>
  <c r="B506"/>
  <c r="E506"/>
  <c r="B507"/>
  <c r="E507"/>
  <c r="B508"/>
  <c r="E508"/>
  <c r="B509"/>
  <c r="E509"/>
  <c r="B510"/>
  <c r="E510"/>
  <c r="B511"/>
  <c r="E511"/>
  <c r="B512"/>
  <c r="E512"/>
  <c r="B513"/>
  <c r="E513"/>
  <c r="B514"/>
  <c r="E514"/>
  <c r="B515"/>
  <c r="E515"/>
  <c r="B516"/>
  <c r="E516"/>
  <c r="B517"/>
  <c r="E517"/>
  <c r="B518"/>
  <c r="E518"/>
  <c r="B519"/>
  <c r="E519"/>
  <c r="B520"/>
  <c r="E520"/>
  <c r="B521"/>
  <c r="E521"/>
  <c r="B522"/>
  <c r="E522"/>
  <c r="B523"/>
  <c r="E523"/>
  <c r="B524"/>
  <c r="E524"/>
  <c r="B525"/>
  <c r="E525"/>
  <c r="B526"/>
  <c r="E526"/>
  <c r="B527"/>
  <c r="E527"/>
  <c r="B528"/>
  <c r="E528"/>
  <c r="B529"/>
  <c r="E529"/>
  <c r="B530"/>
  <c r="E530"/>
  <c r="B531"/>
  <c r="E531"/>
  <c r="B532"/>
  <c r="E532"/>
  <c r="B533"/>
  <c r="E533"/>
  <c r="B534"/>
  <c r="E534"/>
  <c r="B535"/>
  <c r="E535"/>
  <c r="B536"/>
  <c r="E536"/>
  <c r="B537"/>
  <c r="E537"/>
  <c r="B538"/>
  <c r="E538"/>
  <c r="B539"/>
  <c r="E539"/>
  <c r="B540"/>
  <c r="E540"/>
  <c r="B541"/>
  <c r="E541"/>
  <c r="B542"/>
  <c r="E542"/>
  <c r="B543"/>
  <c r="E543"/>
  <c r="B544"/>
  <c r="E544"/>
  <c r="B545"/>
  <c r="E545"/>
  <c r="B546"/>
  <c r="E546"/>
  <c r="B547"/>
  <c r="E547"/>
  <c r="B548"/>
  <c r="E548"/>
  <c r="B549"/>
  <c r="E549"/>
  <c r="B550"/>
  <c r="E550"/>
  <c r="B551"/>
  <c r="E551"/>
  <c r="B552"/>
  <c r="E552"/>
  <c r="B553"/>
  <c r="E553"/>
  <c r="B554"/>
  <c r="E554"/>
  <c r="B555"/>
  <c r="E555"/>
  <c r="B556"/>
  <c r="E556"/>
  <c r="B557"/>
  <c r="E557"/>
  <c r="B558"/>
  <c r="E558"/>
  <c r="B559"/>
  <c r="E559"/>
  <c r="B560"/>
  <c r="E560"/>
  <c r="B561"/>
  <c r="E561"/>
  <c r="B562"/>
  <c r="E562"/>
  <c r="B563"/>
  <c r="E563"/>
  <c r="B564"/>
  <c r="E564"/>
  <c r="B565"/>
  <c r="E565"/>
  <c r="B566"/>
  <c r="E566"/>
  <c r="B567"/>
  <c r="E567"/>
  <c r="B568"/>
  <c r="E568"/>
  <c r="B569"/>
  <c r="E569"/>
  <c r="B570"/>
  <c r="E570"/>
  <c r="B571"/>
  <c r="E571"/>
  <c r="B572"/>
  <c r="E572"/>
  <c r="B573"/>
  <c r="E573"/>
  <c r="B574"/>
  <c r="E574"/>
  <c r="B575"/>
  <c r="E575"/>
  <c r="B576"/>
  <c r="E576"/>
  <c r="B577"/>
  <c r="E577"/>
  <c r="B578"/>
  <c r="E578"/>
  <c r="B579"/>
  <c r="E579"/>
  <c r="B580"/>
  <c r="E580"/>
  <c r="B581"/>
  <c r="E581"/>
  <c r="B582"/>
  <c r="E582"/>
  <c r="B583"/>
  <c r="E583"/>
  <c r="B584"/>
  <c r="E584"/>
  <c r="B585"/>
  <c r="E585"/>
  <c r="B586"/>
  <c r="E586"/>
  <c r="B587"/>
  <c r="E587"/>
  <c r="B588"/>
  <c r="E588"/>
  <c r="B589"/>
  <c r="E589"/>
  <c r="B590"/>
  <c r="E590"/>
  <c r="B591"/>
  <c r="E591"/>
  <c r="B592"/>
  <c r="E592"/>
  <c r="B593"/>
  <c r="E593"/>
  <c r="B594"/>
  <c r="E594"/>
  <c r="B595"/>
  <c r="E595"/>
  <c r="B596"/>
  <c r="E596"/>
  <c r="B597"/>
  <c r="E597"/>
  <c r="B598"/>
  <c r="E598"/>
  <c r="B599"/>
  <c r="E599"/>
  <c r="B600"/>
  <c r="E600"/>
  <c r="B601"/>
  <c r="E601"/>
  <c r="B602"/>
  <c r="E602"/>
  <c r="B603"/>
  <c r="E603"/>
  <c r="B604"/>
  <c r="E604"/>
  <c r="B605"/>
  <c r="E605"/>
  <c r="B606"/>
  <c r="E606"/>
  <c r="B607"/>
  <c r="E607"/>
  <c r="B608"/>
  <c r="E608"/>
  <c r="B609"/>
  <c r="E609"/>
  <c r="B610"/>
  <c r="E610"/>
  <c r="B611"/>
  <c r="E611"/>
  <c r="B612"/>
  <c r="E612"/>
  <c r="B613"/>
  <c r="E613"/>
  <c r="B614"/>
  <c r="E614"/>
  <c r="B615"/>
  <c r="E615"/>
  <c r="B616"/>
  <c r="E616"/>
  <c r="B617"/>
  <c r="E617"/>
  <c r="B618"/>
  <c r="E618"/>
  <c r="B619"/>
  <c r="E619"/>
  <c r="B620"/>
  <c r="E620"/>
  <c r="B621"/>
  <c r="E621"/>
  <c r="B622"/>
  <c r="E622"/>
  <c r="B623"/>
  <c r="E623"/>
  <c r="B624"/>
  <c r="E624"/>
  <c r="B625"/>
  <c r="E625"/>
  <c r="B626"/>
  <c r="E626"/>
  <c r="B627"/>
  <c r="E627"/>
  <c r="B628"/>
  <c r="E628"/>
  <c r="B629"/>
  <c r="E629"/>
  <c r="B630"/>
  <c r="E630"/>
  <c r="B631"/>
  <c r="E631"/>
  <c r="B632"/>
  <c r="E632"/>
  <c r="B633"/>
  <c r="E633"/>
  <c r="B634"/>
  <c r="E634"/>
  <c r="B635"/>
  <c r="E635"/>
  <c r="B636"/>
  <c r="E636"/>
  <c r="B637"/>
  <c r="E637"/>
  <c r="B638"/>
  <c r="E638"/>
  <c r="B639"/>
  <c r="E639"/>
  <c r="B640"/>
  <c r="E640"/>
  <c r="B641"/>
  <c r="E641"/>
  <c r="B642"/>
  <c r="E642"/>
  <c r="B643"/>
  <c r="E643"/>
  <c r="B644"/>
  <c r="E644"/>
  <c r="B645"/>
  <c r="E645"/>
  <c r="B646"/>
  <c r="E646"/>
  <c r="B647"/>
  <c r="E647"/>
  <c r="B648"/>
  <c r="E648"/>
  <c r="B649"/>
  <c r="E649"/>
  <c r="B650"/>
  <c r="E650"/>
  <c r="B651"/>
  <c r="E651"/>
  <c r="B652"/>
  <c r="E652"/>
  <c r="B653"/>
  <c r="E653"/>
  <c r="B654"/>
  <c r="E654"/>
  <c r="B655"/>
  <c r="E655"/>
  <c r="B656"/>
  <c r="E656"/>
  <c r="B657"/>
  <c r="E657"/>
  <c r="B658"/>
  <c r="E658"/>
  <c r="B659"/>
  <c r="E659"/>
  <c r="B660"/>
  <c r="E660"/>
  <c r="B661"/>
  <c r="E661"/>
  <c r="B662"/>
  <c r="E662"/>
  <c r="B663"/>
  <c r="E663"/>
  <c r="B664"/>
  <c r="E664"/>
  <c r="B665"/>
  <c r="E665"/>
  <c r="B666"/>
  <c r="E666"/>
  <c r="B667"/>
  <c r="E667"/>
  <c r="B668"/>
  <c r="E668"/>
  <c r="B669"/>
  <c r="E669"/>
  <c r="B670"/>
  <c r="E670"/>
  <c r="B671"/>
  <c r="E671"/>
  <c r="B672"/>
  <c r="E672"/>
  <c r="B673"/>
  <c r="E673"/>
  <c r="B674"/>
  <c r="E674"/>
  <c r="B675"/>
  <c r="E675"/>
  <c r="B676"/>
  <c r="E676"/>
  <c r="B677"/>
  <c r="E677"/>
  <c r="B678"/>
  <c r="E678"/>
  <c r="B679"/>
  <c r="E679"/>
  <c r="B680"/>
  <c r="E680"/>
  <c r="B681"/>
  <c r="E681"/>
  <c r="B682"/>
  <c r="E682"/>
  <c r="B683"/>
  <c r="E683"/>
  <c r="B684"/>
  <c r="E684"/>
  <c r="B685"/>
  <c r="E685"/>
  <c r="B686"/>
  <c r="E686"/>
  <c r="B687"/>
  <c r="E687"/>
  <c r="B688"/>
  <c r="E688"/>
  <c r="B689"/>
  <c r="E689"/>
  <c r="B690"/>
  <c r="E690"/>
  <c r="B691"/>
  <c r="E691"/>
  <c r="B692"/>
  <c r="E692"/>
  <c r="B693"/>
  <c r="E693"/>
  <c r="B694"/>
  <c r="E694"/>
  <c r="B695"/>
  <c r="E695"/>
  <c r="B696"/>
  <c r="E696"/>
  <c r="B697"/>
  <c r="E697"/>
  <c r="B698"/>
  <c r="E698"/>
  <c r="B699"/>
  <c r="E699"/>
  <c r="B700"/>
  <c r="E700"/>
  <c r="B701"/>
  <c r="E701"/>
  <c r="B702"/>
  <c r="E702"/>
  <c r="B703"/>
  <c r="E703"/>
  <c r="B704"/>
  <c r="E704"/>
  <c r="B705"/>
  <c r="E705"/>
  <c r="B706"/>
  <c r="E706"/>
  <c r="B707"/>
  <c r="E707"/>
  <c r="B708"/>
  <c r="E708"/>
  <c r="B709"/>
  <c r="E709"/>
  <c r="B710"/>
  <c r="E710"/>
  <c r="B711"/>
  <c r="E711"/>
  <c r="B712"/>
  <c r="E712"/>
  <c r="B713"/>
  <c r="E713"/>
  <c r="B714"/>
  <c r="E714"/>
  <c r="B715"/>
  <c r="E715"/>
  <c r="B716"/>
  <c r="E716"/>
  <c r="B717"/>
  <c r="E717"/>
  <c r="B718"/>
  <c r="E718"/>
  <c r="B719"/>
  <c r="E719"/>
  <c r="B720"/>
  <c r="E720"/>
  <c r="B721"/>
  <c r="E721"/>
  <c r="B722"/>
  <c r="E722"/>
  <c r="B723"/>
  <c r="E723"/>
  <c r="B724"/>
  <c r="E724"/>
  <c r="B725"/>
  <c r="E725"/>
  <c r="B726"/>
  <c r="E726"/>
  <c r="B727"/>
  <c r="E727"/>
  <c r="B728"/>
  <c r="E728"/>
  <c r="B729"/>
  <c r="E729"/>
  <c r="B730"/>
  <c r="E730"/>
  <c r="B731"/>
  <c r="E731"/>
  <c r="B732"/>
  <c r="E732"/>
  <c r="B733"/>
  <c r="E733"/>
  <c r="B734"/>
  <c r="E734"/>
  <c r="B735"/>
  <c r="E735"/>
  <c r="B736"/>
  <c r="E736"/>
  <c r="B737"/>
  <c r="E737"/>
  <c r="B738"/>
  <c r="E738"/>
  <c r="B739"/>
  <c r="E739"/>
  <c r="B740"/>
  <c r="E740"/>
  <c r="B741"/>
  <c r="E741"/>
  <c r="B742"/>
  <c r="E742"/>
  <c r="B743"/>
  <c r="E743"/>
  <c r="B744"/>
  <c r="E744"/>
  <c r="B745"/>
  <c r="E745"/>
  <c r="B746"/>
  <c r="E746"/>
  <c r="B747"/>
  <c r="E747"/>
  <c r="B748"/>
  <c r="E748"/>
  <c r="B749"/>
  <c r="E749"/>
  <c r="B750"/>
  <c r="E750"/>
  <c r="B751"/>
  <c r="E751"/>
  <c r="B752"/>
  <c r="E752"/>
  <c r="B753"/>
  <c r="E753"/>
  <c r="B754"/>
  <c r="E754"/>
  <c r="B755"/>
  <c r="E755"/>
  <c r="B756"/>
  <c r="E756"/>
  <c r="B757"/>
  <c r="E757"/>
  <c r="B758"/>
  <c r="E758"/>
  <c r="B759"/>
  <c r="E759"/>
  <c r="B760"/>
  <c r="E760"/>
  <c r="B761"/>
  <c r="E761"/>
  <c r="B762"/>
  <c r="E762"/>
  <c r="B763"/>
  <c r="E763"/>
  <c r="B764"/>
  <c r="E764"/>
  <c r="B765"/>
  <c r="E765"/>
  <c r="B766"/>
  <c r="E766"/>
  <c r="B767"/>
  <c r="E767"/>
  <c r="B768"/>
  <c r="E768"/>
  <c r="B769"/>
  <c r="E769"/>
  <c r="B770"/>
  <c r="E770"/>
  <c r="B771"/>
  <c r="E771"/>
  <c r="B772"/>
  <c r="E772"/>
  <c r="B773"/>
  <c r="E773"/>
  <c r="B774"/>
  <c r="E774"/>
  <c r="B775"/>
  <c r="E775"/>
  <c r="B776"/>
  <c r="E776"/>
  <c r="B777"/>
  <c r="E777"/>
  <c r="B778"/>
  <c r="E778"/>
  <c r="B779"/>
  <c r="E779"/>
  <c r="B780"/>
  <c r="E780"/>
  <c r="B781"/>
  <c r="E781"/>
  <c r="B782"/>
  <c r="E782"/>
  <c r="B783"/>
  <c r="E783"/>
  <c r="B784"/>
  <c r="E784"/>
  <c r="B785"/>
  <c r="E785"/>
  <c r="B786"/>
  <c r="E786"/>
  <c r="B787"/>
  <c r="E787"/>
  <c r="B788"/>
  <c r="E788"/>
  <c r="B789"/>
  <c r="E789"/>
  <c r="B790"/>
  <c r="E790"/>
  <c r="B791"/>
  <c r="E791"/>
  <c r="B792"/>
  <c r="E792"/>
  <c r="B793"/>
  <c r="E793"/>
  <c r="B794"/>
  <c r="E794"/>
  <c r="B795"/>
  <c r="E795"/>
  <c r="B796"/>
  <c r="E796"/>
  <c r="B797"/>
  <c r="E797"/>
  <c r="B798"/>
  <c r="E798"/>
  <c r="B799"/>
  <c r="E799"/>
  <c r="B800"/>
  <c r="E800"/>
  <c r="B801"/>
  <c r="E801"/>
  <c r="B802"/>
  <c r="E802"/>
  <c r="B803"/>
  <c r="E803"/>
  <c r="B804"/>
  <c r="E804"/>
  <c r="B805"/>
  <c r="E805"/>
  <c r="B806"/>
  <c r="E806"/>
  <c r="B807"/>
  <c r="E807"/>
  <c r="B808"/>
  <c r="E808"/>
  <c r="B809"/>
  <c r="E809"/>
  <c r="B810"/>
  <c r="E810"/>
  <c r="B811"/>
  <c r="E811"/>
  <c r="B812"/>
  <c r="E812"/>
  <c r="B813"/>
  <c r="E813"/>
  <c r="B814"/>
  <c r="E814"/>
  <c r="B815"/>
  <c r="E815"/>
  <c r="B816"/>
  <c r="E816"/>
  <c r="B817"/>
  <c r="E817"/>
  <c r="B818"/>
  <c r="E818"/>
  <c r="B819"/>
  <c r="E819"/>
  <c r="B820"/>
  <c r="E820"/>
  <c r="B821"/>
  <c r="E821"/>
  <c r="B822"/>
  <c r="E822"/>
  <c r="B823"/>
  <c r="E823"/>
  <c r="B824"/>
  <c r="E824"/>
  <c r="B825"/>
  <c r="E825"/>
  <c r="B826"/>
  <c r="E826"/>
  <c r="B827"/>
  <c r="E827"/>
  <c r="B828"/>
  <c r="E828"/>
  <c r="B829"/>
  <c r="E829"/>
  <c r="B830"/>
  <c r="E830"/>
  <c r="B831"/>
  <c r="E831"/>
  <c r="B832"/>
  <c r="E832"/>
  <c r="B833"/>
  <c r="E833"/>
  <c r="B834"/>
  <c r="E834"/>
  <c r="B835"/>
  <c r="E835"/>
  <c r="B836"/>
  <c r="E836"/>
  <c r="B837"/>
  <c r="E837"/>
  <c r="B838"/>
  <c r="E838"/>
  <c r="B839"/>
  <c r="E839"/>
  <c r="B840"/>
  <c r="E840"/>
  <c r="B841"/>
  <c r="E841"/>
  <c r="B842"/>
  <c r="E842"/>
  <c r="B843"/>
  <c r="E843"/>
  <c r="B844"/>
  <c r="E844"/>
  <c r="B845"/>
  <c r="E845"/>
  <c r="B846"/>
  <c r="E846"/>
  <c r="B847"/>
  <c r="E847"/>
  <c r="B848"/>
  <c r="E848"/>
  <c r="B849"/>
  <c r="E849"/>
  <c r="B850"/>
  <c r="E850"/>
  <c r="B851"/>
  <c r="E851"/>
  <c r="B852"/>
  <c r="E852"/>
  <c r="B853"/>
  <c r="E853"/>
  <c r="B854"/>
  <c r="E854"/>
  <c r="B855"/>
  <c r="E855"/>
  <c r="B856"/>
  <c r="E856"/>
  <c r="B857"/>
  <c r="E857"/>
  <c r="B858"/>
  <c r="E858"/>
  <c r="B859"/>
  <c r="E859"/>
  <c r="B860"/>
  <c r="E860"/>
  <c r="B861"/>
  <c r="E861"/>
  <c r="B862"/>
  <c r="E862"/>
  <c r="B863"/>
  <c r="E863"/>
  <c r="B864"/>
  <c r="E864"/>
  <c r="B865"/>
  <c r="E865"/>
  <c r="B866"/>
  <c r="E866"/>
  <c r="B867"/>
  <c r="E867"/>
  <c r="B868"/>
  <c r="E868"/>
  <c r="B869"/>
  <c r="E869"/>
  <c r="B870"/>
  <c r="E870"/>
  <c r="B871"/>
  <c r="E871"/>
  <c r="B872"/>
  <c r="E872"/>
  <c r="B873"/>
  <c r="E873"/>
  <c r="B874"/>
  <c r="E874"/>
  <c r="B875"/>
  <c r="E875"/>
  <c r="B876"/>
  <c r="E876"/>
  <c r="B877"/>
  <c r="E877"/>
  <c r="B878"/>
  <c r="E878"/>
  <c r="B879"/>
  <c r="E879"/>
  <c r="B880"/>
  <c r="E880"/>
  <c r="B881"/>
  <c r="E881"/>
  <c r="B882"/>
  <c r="E882"/>
  <c r="B883"/>
  <c r="E883"/>
  <c r="B884"/>
  <c r="E884"/>
  <c r="B885"/>
  <c r="E885"/>
  <c r="B886"/>
  <c r="E886"/>
  <c r="B887"/>
  <c r="E887"/>
  <c r="B888"/>
  <c r="E888"/>
  <c r="B889"/>
  <c r="E889"/>
  <c r="B890"/>
  <c r="E890"/>
  <c r="B891"/>
  <c r="E891"/>
  <c r="B892"/>
  <c r="E892"/>
  <c r="B893"/>
  <c r="E893"/>
  <c r="B894"/>
  <c r="E894"/>
  <c r="B895"/>
  <c r="E895"/>
  <c r="B896"/>
  <c r="E896"/>
  <c r="B897"/>
  <c r="E897"/>
  <c r="B898"/>
  <c r="E898"/>
  <c r="B899"/>
  <c r="E899"/>
  <c r="B900"/>
  <c r="E900"/>
  <c r="B901"/>
  <c r="E901"/>
  <c r="B902"/>
  <c r="E902"/>
  <c r="B903"/>
  <c r="E903"/>
  <c r="B904"/>
  <c r="E904"/>
  <c r="B905"/>
  <c r="E905"/>
  <c r="B906"/>
  <c r="E906"/>
  <c r="B907"/>
  <c r="E907"/>
  <c r="B908"/>
  <c r="E908"/>
  <c r="B909"/>
  <c r="E909"/>
  <c r="B910"/>
  <c r="E910"/>
  <c r="B911"/>
  <c r="E911"/>
  <c r="B912"/>
  <c r="E912"/>
  <c r="B913"/>
  <c r="E913"/>
  <c r="B914"/>
  <c r="E914"/>
  <c r="B915"/>
  <c r="E915"/>
  <c r="B916"/>
  <c r="E916"/>
  <c r="B917"/>
  <c r="E917"/>
  <c r="B918"/>
  <c r="E918"/>
  <c r="B919"/>
  <c r="E919"/>
  <c r="B920"/>
  <c r="E920"/>
  <c r="B921"/>
  <c r="E921"/>
  <c r="B922"/>
  <c r="E922"/>
  <c r="B923"/>
  <c r="E923"/>
  <c r="B924"/>
  <c r="E924"/>
  <c r="B925"/>
  <c r="E925"/>
  <c r="B926"/>
  <c r="E926"/>
  <c r="B927"/>
  <c r="E927"/>
  <c r="B928"/>
  <c r="E928"/>
  <c r="B929"/>
  <c r="E929"/>
  <c r="B930"/>
  <c r="E930"/>
  <c r="B931"/>
  <c r="E931"/>
  <c r="B932"/>
  <c r="E932"/>
  <c r="B933"/>
  <c r="E933"/>
  <c r="B934"/>
  <c r="E934"/>
  <c r="B935"/>
  <c r="E935"/>
  <c r="B936"/>
  <c r="E936"/>
  <c r="B937"/>
  <c r="E937"/>
  <c r="B938"/>
  <c r="E938"/>
  <c r="B939"/>
  <c r="E939"/>
  <c r="B940"/>
  <c r="E940"/>
  <c r="B941"/>
  <c r="E941"/>
  <c r="B942"/>
  <c r="E942"/>
  <c r="B943"/>
  <c r="E943"/>
  <c r="B944"/>
  <c r="E944"/>
  <c r="B945"/>
  <c r="E945"/>
  <c r="B946"/>
  <c r="E946"/>
  <c r="B947"/>
  <c r="E947"/>
  <c r="B948"/>
  <c r="E948"/>
  <c r="B949"/>
  <c r="E949"/>
  <c r="B950"/>
  <c r="E950"/>
  <c r="B951"/>
  <c r="E951"/>
  <c r="B952"/>
  <c r="E952"/>
  <c r="B953"/>
  <c r="E953"/>
  <c r="B954"/>
  <c r="E954"/>
  <c r="B955"/>
  <c r="E955"/>
  <c r="B956"/>
  <c r="E956"/>
  <c r="B957"/>
  <c r="E957"/>
  <c r="B958"/>
  <c r="E958"/>
  <c r="B959"/>
  <c r="E959"/>
  <c r="B960"/>
  <c r="E960"/>
  <c r="B961"/>
  <c r="E961"/>
  <c r="B962"/>
  <c r="E962"/>
  <c r="B963"/>
  <c r="E963"/>
  <c r="B964"/>
  <c r="E964"/>
  <c r="B965"/>
  <c r="E965"/>
  <c r="B966"/>
  <c r="E966"/>
  <c r="B967"/>
  <c r="E967"/>
  <c r="B968"/>
  <c r="E968"/>
  <c r="B969"/>
  <c r="E969"/>
  <c r="B970"/>
  <c r="E970"/>
  <c r="B971"/>
  <c r="E971"/>
  <c r="B972"/>
  <c r="E972"/>
  <c r="B973"/>
  <c r="E973"/>
  <c r="B974"/>
  <c r="E974"/>
  <c r="B975"/>
  <c r="E975"/>
  <c r="B976"/>
  <c r="E976"/>
  <c r="B977"/>
  <c r="E977"/>
  <c r="B978"/>
  <c r="E978"/>
  <c r="B979"/>
  <c r="E979"/>
  <c r="B980"/>
  <c r="E980"/>
  <c r="B981"/>
  <c r="E981"/>
  <c r="B982"/>
  <c r="E982"/>
  <c r="B983"/>
  <c r="E983"/>
  <c r="B984"/>
  <c r="E984"/>
  <c r="B985"/>
  <c r="E985"/>
  <c r="B986"/>
  <c r="E986"/>
  <c r="B987"/>
  <c r="E987"/>
  <c r="B988"/>
  <c r="E988"/>
  <c r="B989"/>
  <c r="E989"/>
  <c r="B990"/>
  <c r="E990"/>
  <c r="B991"/>
  <c r="E991"/>
  <c r="B992"/>
  <c r="E992"/>
  <c r="B993"/>
  <c r="E993"/>
  <c r="B994"/>
  <c r="E994"/>
  <c r="B995"/>
  <c r="E995"/>
  <c r="B996"/>
  <c r="E996"/>
  <c r="B997"/>
  <c r="E997"/>
  <c r="B998"/>
  <c r="E998"/>
  <c r="B999"/>
  <c r="E999"/>
  <c r="B1000"/>
  <c r="E1000"/>
  <c r="B1001"/>
  <c r="E1001"/>
  <c r="B1002"/>
  <c r="E1002"/>
  <c r="B1003"/>
  <c r="E1003"/>
  <c r="B1004"/>
  <c r="E1004"/>
  <c r="B1005"/>
  <c r="E1005"/>
  <c r="B1006"/>
  <c r="E1006"/>
  <c r="B1007"/>
  <c r="E1007"/>
  <c r="B1008"/>
  <c r="E1008"/>
  <c r="B1009"/>
  <c r="E1009"/>
  <c r="B1010"/>
  <c r="E1010"/>
  <c r="B1011"/>
  <c r="E1011"/>
  <c r="B1012"/>
  <c r="E1012"/>
  <c r="B1013"/>
  <c r="E1013"/>
  <c r="B1014"/>
  <c r="E1014"/>
  <c r="B1015"/>
  <c r="E1015"/>
  <c r="B1016"/>
  <c r="E1016"/>
  <c r="B1017"/>
  <c r="E1017"/>
  <c r="B1018"/>
  <c r="E1018"/>
  <c r="B1019"/>
  <c r="E1019"/>
  <c r="B1020"/>
  <c r="E1020"/>
  <c r="B1021"/>
  <c r="E1021"/>
  <c r="B1022"/>
  <c r="E1022"/>
  <c r="B1023"/>
  <c r="E1023"/>
  <c r="B1024"/>
  <c r="E1024"/>
  <c r="B1025"/>
  <c r="E1025"/>
  <c r="B1026"/>
  <c r="E1026"/>
  <c r="B1027"/>
  <c r="E1027"/>
  <c r="B1028"/>
  <c r="E1028"/>
  <c r="B1029"/>
  <c r="E1029"/>
  <c r="B1030"/>
  <c r="E1030"/>
  <c r="B1031"/>
  <c r="E1031"/>
  <c r="B1032"/>
  <c r="E1032"/>
  <c r="B1033"/>
  <c r="E1033"/>
  <c r="B1034"/>
  <c r="E1034"/>
  <c r="B1035"/>
  <c r="E1035"/>
  <c r="B1036"/>
  <c r="E1036"/>
  <c r="B1037"/>
  <c r="E1037"/>
  <c r="B1038"/>
  <c r="E1038"/>
  <c r="B1039"/>
  <c r="E1039"/>
  <c r="B1040"/>
  <c r="E1040"/>
  <c r="B1041"/>
  <c r="E1041"/>
  <c r="B1042"/>
  <c r="E1042"/>
  <c r="B1043"/>
  <c r="E1043"/>
  <c r="B1044"/>
  <c r="E1044"/>
  <c r="B1045"/>
  <c r="E1045"/>
  <c r="B1046"/>
  <c r="E1046"/>
  <c r="B1047"/>
  <c r="E1047"/>
  <c r="B1048"/>
  <c r="E1048"/>
  <c r="B1049"/>
  <c r="E1049"/>
  <c r="B1050"/>
  <c r="E1050"/>
  <c r="B1051"/>
  <c r="E1051"/>
  <c r="B1052"/>
  <c r="E1052"/>
  <c r="B1053"/>
  <c r="E1053"/>
  <c r="B1054"/>
  <c r="E1054"/>
  <c r="B1055"/>
  <c r="E1055"/>
  <c r="B1056"/>
  <c r="E1056"/>
  <c r="B1057"/>
  <c r="E1057"/>
  <c r="B1058"/>
  <c r="E1058"/>
  <c r="B1059"/>
  <c r="E1059"/>
  <c r="B1060"/>
  <c r="E1060"/>
  <c r="B1061"/>
  <c r="E1061"/>
  <c r="B1062"/>
  <c r="E1062"/>
  <c r="B1063"/>
  <c r="E1063"/>
  <c r="B1064"/>
  <c r="E1064"/>
  <c r="B1065"/>
  <c r="E1065"/>
  <c r="B1066"/>
  <c r="E1066"/>
  <c r="B1067"/>
  <c r="E1067"/>
  <c r="B1068"/>
  <c r="E1068"/>
  <c r="B1069"/>
  <c r="E1069"/>
  <c r="B1070"/>
  <c r="E1070"/>
  <c r="B1071"/>
  <c r="E1071"/>
  <c r="B1072"/>
  <c r="E1072"/>
  <c r="B1073"/>
  <c r="E1073"/>
  <c r="B1074"/>
  <c r="E1074"/>
  <c r="B1075"/>
  <c r="E1075"/>
  <c r="B1076"/>
  <c r="E1076"/>
  <c r="B1077"/>
  <c r="E1077"/>
  <c r="B1078"/>
  <c r="E1078"/>
  <c r="B1079"/>
  <c r="E1079"/>
  <c r="B1080"/>
  <c r="E1080"/>
  <c r="B1081"/>
  <c r="E1081"/>
  <c r="B1082"/>
  <c r="E1082"/>
  <c r="B1083"/>
  <c r="E1083"/>
  <c r="B1084"/>
  <c r="E1084"/>
  <c r="B1085"/>
  <c r="E1085"/>
  <c r="B1086"/>
  <c r="E1086"/>
  <c r="B1087"/>
  <c r="E1087"/>
  <c r="B1088"/>
  <c r="E1088"/>
  <c r="B1089"/>
  <c r="E1089"/>
  <c r="B1090"/>
  <c r="E1090"/>
  <c r="B1091"/>
  <c r="E1091"/>
  <c r="B1092"/>
  <c r="E1092"/>
  <c r="B1093"/>
  <c r="E1093"/>
  <c r="B1094"/>
  <c r="E1094"/>
  <c r="B1095"/>
  <c r="E1095"/>
  <c r="B1096"/>
  <c r="E1096"/>
  <c r="B1097"/>
  <c r="E1097"/>
  <c r="B1098"/>
  <c r="E1098"/>
  <c r="B1099"/>
  <c r="E1099"/>
  <c r="B1100"/>
  <c r="E1100"/>
  <c r="B1101"/>
  <c r="E1101"/>
  <c r="B1102"/>
  <c r="E1102"/>
  <c r="B1103"/>
  <c r="E1103"/>
  <c r="B1104"/>
  <c r="E1104"/>
  <c r="B1105"/>
  <c r="E1105"/>
  <c r="B1106"/>
  <c r="E1106"/>
  <c r="B1107"/>
  <c r="E1107"/>
  <c r="B1108"/>
  <c r="E1108"/>
  <c r="B1109"/>
  <c r="E1109"/>
  <c r="B1110"/>
  <c r="E1110"/>
  <c r="B1111"/>
  <c r="E1111"/>
  <c r="B1112"/>
  <c r="E1112"/>
  <c r="B1113"/>
  <c r="E1113"/>
  <c r="B1114"/>
  <c r="E1114"/>
  <c r="B1115"/>
  <c r="E1115"/>
  <c r="B1116"/>
  <c r="E1116"/>
  <c r="B1117"/>
  <c r="E1117"/>
  <c r="B1118"/>
  <c r="E1118"/>
  <c r="B1119"/>
  <c r="E1119"/>
  <c r="B1120"/>
  <c r="E1120"/>
  <c r="B1121"/>
  <c r="E1121"/>
  <c r="B1122"/>
  <c r="E1122"/>
  <c r="B1123"/>
  <c r="E1123"/>
  <c r="B1124"/>
  <c r="E1124"/>
  <c r="B1125"/>
  <c r="E1125"/>
  <c r="B1126"/>
  <c r="E1126"/>
  <c r="B1127"/>
  <c r="E1127"/>
  <c r="B1128"/>
  <c r="E1128"/>
  <c r="B1129"/>
  <c r="E1129"/>
  <c r="B1130"/>
  <c r="E1130"/>
  <c r="B1131"/>
  <c r="E1131"/>
  <c r="B1132"/>
  <c r="E1132"/>
  <c r="B1133"/>
  <c r="E1133"/>
  <c r="B1134"/>
  <c r="E1134"/>
  <c r="B1135"/>
  <c r="E1135"/>
  <c r="B1136"/>
  <c r="E1136"/>
  <c r="B1137"/>
  <c r="E1137"/>
  <c r="B1138"/>
  <c r="E1138"/>
  <c r="B1139"/>
  <c r="E1139"/>
  <c r="B1140"/>
  <c r="E1140"/>
  <c r="B1141"/>
  <c r="E1141"/>
  <c r="B1142"/>
  <c r="E1142"/>
  <c r="B1143"/>
  <c r="E1143"/>
  <c r="B1144"/>
  <c r="E1144"/>
  <c r="B1145"/>
  <c r="E1145"/>
  <c r="B1146"/>
  <c r="E1146"/>
  <c r="B1147"/>
  <c r="E1147"/>
  <c r="B1148"/>
  <c r="E1148"/>
  <c r="B1149"/>
  <c r="E1149"/>
  <c r="B1150"/>
  <c r="E1150"/>
  <c r="B1151"/>
  <c r="E1151"/>
  <c r="B1152"/>
  <c r="E1152"/>
  <c r="B1153"/>
  <c r="E1153"/>
  <c r="B1154"/>
  <c r="E1154"/>
  <c r="B1155"/>
  <c r="E1155"/>
  <c r="B1156"/>
  <c r="E1156"/>
  <c r="B1157"/>
  <c r="E1157"/>
  <c r="B1158"/>
  <c r="E1158"/>
  <c r="B1159"/>
  <c r="E1159"/>
  <c r="B1160"/>
  <c r="E1160"/>
  <c r="B1161"/>
  <c r="E1161"/>
  <c r="B1162"/>
  <c r="E1162"/>
  <c r="B1163"/>
  <c r="E1163"/>
  <c r="B1164"/>
  <c r="E1164"/>
  <c r="B1165"/>
  <c r="E1165"/>
  <c r="B1166"/>
  <c r="E1166"/>
  <c r="B1167"/>
  <c r="E1167"/>
  <c r="B1168"/>
  <c r="E1168"/>
  <c r="B1169"/>
  <c r="E1169"/>
  <c r="B1170"/>
  <c r="E1170"/>
  <c r="B1171"/>
  <c r="E1171"/>
  <c r="B1172"/>
  <c r="E1172"/>
  <c r="B1173"/>
  <c r="E1173"/>
  <c r="B1174"/>
  <c r="E1174"/>
  <c r="B1175"/>
  <c r="E1175"/>
  <c r="B1176"/>
  <c r="E1176"/>
  <c r="B1177"/>
  <c r="E1177"/>
  <c r="B1178"/>
  <c r="E1178"/>
  <c r="B1179"/>
  <c r="E1179"/>
  <c r="B1180"/>
  <c r="E1180"/>
  <c r="B1181"/>
  <c r="E1181"/>
  <c r="B1182"/>
  <c r="E1182"/>
  <c r="B1183"/>
  <c r="E1183"/>
  <c r="B1184"/>
  <c r="E1184"/>
  <c r="B1185"/>
  <c r="E1185"/>
  <c r="B1186"/>
  <c r="E1186"/>
  <c r="B1187"/>
  <c r="E1187"/>
  <c r="B1188"/>
  <c r="E1188"/>
  <c r="B1189"/>
  <c r="E1189"/>
  <c r="B1190"/>
  <c r="E1190"/>
  <c r="B1191"/>
  <c r="E1191"/>
  <c r="B1192"/>
  <c r="E1192"/>
  <c r="B1193"/>
  <c r="E1193"/>
  <c r="B1194"/>
  <c r="E1194"/>
  <c r="B1195"/>
  <c r="E1195"/>
  <c r="B1196"/>
  <c r="E1196"/>
  <c r="B1197"/>
  <c r="E1197"/>
  <c r="B1198"/>
  <c r="E1198"/>
  <c r="B1199"/>
  <c r="E1199"/>
  <c r="B1200"/>
  <c r="E1200"/>
  <c r="B1201"/>
  <c r="E1201"/>
  <c r="B1202"/>
  <c r="E1202"/>
  <c r="B1203"/>
  <c r="E1203"/>
  <c r="B1204"/>
  <c r="E1204"/>
  <c r="B1205"/>
  <c r="E1205"/>
  <c r="B1206"/>
  <c r="E1206"/>
  <c r="B1207"/>
  <c r="E1207"/>
  <c r="B1208"/>
  <c r="E1208"/>
  <c r="B1209"/>
  <c r="E1209"/>
  <c r="B1210"/>
  <c r="E1210"/>
  <c r="B1211"/>
  <c r="E1211"/>
  <c r="B1212"/>
  <c r="E1212"/>
  <c r="B1213"/>
  <c r="E1213"/>
  <c r="B1214"/>
  <c r="E1214"/>
  <c r="B1215"/>
  <c r="E1215"/>
  <c r="B1216"/>
  <c r="E1216"/>
  <c r="B1217"/>
  <c r="E1217"/>
  <c r="B1218"/>
  <c r="E1218"/>
  <c r="B1219"/>
  <c r="E1219"/>
  <c r="B1220"/>
  <c r="E1220"/>
  <c r="B1221"/>
  <c r="E1221"/>
  <c r="B1222"/>
  <c r="E1222"/>
  <c r="B1223"/>
  <c r="E1223"/>
  <c r="B1224"/>
  <c r="E1224"/>
  <c r="B1225"/>
  <c r="E1225"/>
  <c r="B1226"/>
  <c r="E1226"/>
  <c r="B1227"/>
  <c r="E1227"/>
  <c r="B1228"/>
  <c r="E1228"/>
  <c r="B1229"/>
  <c r="E1229"/>
  <c r="B1230"/>
  <c r="E1230"/>
  <c r="B1231"/>
  <c r="E1231"/>
  <c r="B1232"/>
  <c r="E1232"/>
  <c r="B1233"/>
  <c r="E1233"/>
  <c r="B1234"/>
  <c r="E1234"/>
  <c r="B1235"/>
  <c r="E1235"/>
  <c r="B1236"/>
  <c r="E1236"/>
  <c r="B1237"/>
  <c r="E1237"/>
  <c r="B1238"/>
  <c r="E1238"/>
  <c r="B1239"/>
  <c r="E1239"/>
  <c r="B1240"/>
  <c r="E1240"/>
  <c r="B1241"/>
  <c r="E1241"/>
  <c r="B1242"/>
  <c r="E1242"/>
  <c r="B1243"/>
  <c r="E1243"/>
  <c r="B1244"/>
  <c r="E1244"/>
  <c r="B1245"/>
  <c r="E1245"/>
  <c r="B1246"/>
  <c r="E1246"/>
  <c r="B1247"/>
  <c r="E1247"/>
  <c r="B1248"/>
  <c r="E1248"/>
  <c r="B1249"/>
  <c r="E1249"/>
  <c r="B1250"/>
  <c r="E1250"/>
  <c r="B1251"/>
  <c r="E1251"/>
  <c r="B1252"/>
  <c r="E1252"/>
  <c r="B1253"/>
  <c r="E1253"/>
  <c r="B1254"/>
  <c r="E1254"/>
  <c r="B1255"/>
  <c r="E1255"/>
  <c r="B1256"/>
  <c r="E1256"/>
  <c r="B1257"/>
  <c r="E1257"/>
  <c r="B1258"/>
  <c r="E1258"/>
  <c r="B1259"/>
  <c r="E1259"/>
  <c r="B1260"/>
  <c r="E1260"/>
  <c r="B1261"/>
  <c r="E1261"/>
  <c r="B1262"/>
  <c r="E1262"/>
  <c r="B1263"/>
  <c r="E1263"/>
  <c r="B1264"/>
  <c r="E1264"/>
  <c r="B1265"/>
  <c r="E1265"/>
  <c r="B1266"/>
  <c r="E1266"/>
  <c r="B1267"/>
  <c r="E1267"/>
  <c r="B1268"/>
  <c r="E1268"/>
  <c r="B1269"/>
  <c r="E1269"/>
  <c r="B1270"/>
  <c r="E1270"/>
  <c r="B1271"/>
  <c r="E1271"/>
  <c r="B1272"/>
  <c r="E1272"/>
  <c r="B1273"/>
  <c r="E1273"/>
  <c r="B1274"/>
  <c r="E1274"/>
  <c r="B1275"/>
  <c r="E1275"/>
  <c r="B1276"/>
  <c r="E1276"/>
  <c r="B1277"/>
  <c r="E1277"/>
  <c r="B1278"/>
  <c r="E1278"/>
  <c r="B1279"/>
  <c r="E1279"/>
  <c r="B1280"/>
  <c r="E1280"/>
  <c r="B1281"/>
  <c r="E1281"/>
  <c r="B1282"/>
  <c r="E1282"/>
  <c r="B1283"/>
  <c r="E1283"/>
  <c r="B1284"/>
  <c r="E1284"/>
  <c r="B1285"/>
  <c r="E1285"/>
  <c r="B1286"/>
  <c r="E1286"/>
  <c r="B1287"/>
  <c r="E1287"/>
  <c r="B1288"/>
  <c r="E1288"/>
  <c r="B1289"/>
  <c r="E1289"/>
  <c r="B1290"/>
  <c r="E1290"/>
  <c r="B1291"/>
  <c r="E1291"/>
  <c r="B1292"/>
  <c r="E1292"/>
  <c r="B1293"/>
  <c r="E1293"/>
  <c r="B1294"/>
  <c r="E1294"/>
  <c r="B1295"/>
  <c r="E1295"/>
  <c r="B1296"/>
  <c r="E1296"/>
  <c r="B1297"/>
  <c r="E1297"/>
  <c r="B1298"/>
  <c r="E1298"/>
  <c r="B1299"/>
  <c r="E1299"/>
  <c r="B1300"/>
  <c r="E1300"/>
  <c r="B1301"/>
  <c r="E1301"/>
  <c r="B1302"/>
  <c r="E1302"/>
  <c r="B1303"/>
  <c r="E1303"/>
  <c r="B1304"/>
  <c r="E1304"/>
  <c r="B1305"/>
  <c r="E1305"/>
  <c r="B1306"/>
  <c r="E1306"/>
  <c r="B1307"/>
  <c r="E1307"/>
  <c r="B1308"/>
  <c r="E1308"/>
  <c r="B1309"/>
  <c r="E1309"/>
  <c r="B1310"/>
  <c r="E1310"/>
  <c r="B1311"/>
  <c r="E1311"/>
  <c r="B1312"/>
  <c r="E1312"/>
  <c r="B1313"/>
  <c r="E1313"/>
  <c r="B1314"/>
  <c r="E1314"/>
  <c r="B1315"/>
  <c r="E1315"/>
  <c r="B1316"/>
  <c r="E1316"/>
  <c r="B1317"/>
  <c r="E1317"/>
  <c r="B1318"/>
  <c r="E1318"/>
  <c r="B1319"/>
  <c r="E1319"/>
  <c r="B1320"/>
  <c r="E1320"/>
  <c r="B1321"/>
  <c r="E1321"/>
  <c r="B1322"/>
  <c r="E1322"/>
  <c r="B1323"/>
  <c r="E1323"/>
  <c r="B1324"/>
  <c r="E1324"/>
  <c r="B1325"/>
  <c r="E1325"/>
  <c r="B1326"/>
  <c r="E1326"/>
  <c r="B1327"/>
  <c r="E1327"/>
  <c r="B1328"/>
  <c r="E1328"/>
  <c r="B1329"/>
  <c r="E1329"/>
  <c r="B1330"/>
  <c r="E1330"/>
  <c r="B1331"/>
  <c r="E1331"/>
  <c r="B1332"/>
  <c r="E1332"/>
  <c r="B1333"/>
  <c r="E1333"/>
  <c r="B1334"/>
  <c r="E1334"/>
  <c r="B1335"/>
  <c r="E1335"/>
  <c r="B1336"/>
  <c r="E1336"/>
  <c r="B1337"/>
  <c r="E1337"/>
  <c r="B1338"/>
  <c r="E1338"/>
  <c r="B1339"/>
  <c r="E1339"/>
  <c r="B1340"/>
  <c r="E1340"/>
  <c r="B1341"/>
  <c r="E1341"/>
  <c r="B1342"/>
  <c r="E1342"/>
  <c r="B1343"/>
  <c r="E1343"/>
  <c r="B1344"/>
  <c r="E1344"/>
  <c r="B1345"/>
  <c r="E1345"/>
  <c r="B1346"/>
  <c r="E1346"/>
  <c r="B1347"/>
  <c r="E1347"/>
  <c r="B1348"/>
  <c r="E1348"/>
  <c r="B1349"/>
  <c r="E1349"/>
  <c r="B1350"/>
  <c r="E1350"/>
  <c r="B1351"/>
  <c r="E1351"/>
  <c r="B1352"/>
  <c r="E1352"/>
  <c r="B1353"/>
  <c r="E1353"/>
  <c r="B1354"/>
  <c r="E1354"/>
  <c r="B1355"/>
  <c r="E1355"/>
  <c r="B1356"/>
  <c r="E1356"/>
  <c r="B1357"/>
  <c r="E1357"/>
  <c r="B1358"/>
  <c r="E1358"/>
  <c r="B1359"/>
  <c r="E1359"/>
  <c r="B1360"/>
  <c r="E1360"/>
  <c r="B1361"/>
  <c r="E1361"/>
  <c r="B1362"/>
  <c r="E1362"/>
  <c r="B1363"/>
  <c r="E1363"/>
  <c r="B1364"/>
  <c r="E1364"/>
  <c r="B1365"/>
  <c r="E1365"/>
  <c r="B1366"/>
  <c r="E1366"/>
  <c r="B1367"/>
  <c r="E1367"/>
  <c r="B1368"/>
  <c r="E1368"/>
  <c r="B1369"/>
  <c r="E1369"/>
  <c r="B1370"/>
  <c r="E1370"/>
  <c r="B1371"/>
  <c r="E1371"/>
  <c r="B1372"/>
  <c r="E1372"/>
  <c r="B1373"/>
  <c r="E1373"/>
  <c r="B1374"/>
  <c r="E1374"/>
  <c r="B1375"/>
  <c r="E1375"/>
  <c r="B1376"/>
  <c r="E1376"/>
  <c r="B1377"/>
  <c r="E1377"/>
  <c r="B1378"/>
  <c r="E1378"/>
  <c r="B1379"/>
  <c r="E1379"/>
  <c r="B1380"/>
  <c r="E1380"/>
  <c r="B1381"/>
  <c r="E1381"/>
  <c r="B1382"/>
  <c r="E1382"/>
  <c r="B1383"/>
  <c r="E1383"/>
  <c r="B1384"/>
  <c r="E1384"/>
  <c r="B1385"/>
  <c r="E1385"/>
  <c r="B1386"/>
  <c r="E1386"/>
  <c r="B1387"/>
  <c r="E1387"/>
  <c r="B1388"/>
  <c r="E1388"/>
  <c r="B1389"/>
  <c r="E1389"/>
  <c r="B1390"/>
  <c r="E1390"/>
  <c r="B1391"/>
  <c r="E1391"/>
  <c r="B1392"/>
  <c r="E1392"/>
  <c r="B1393"/>
  <c r="E1393"/>
  <c r="B1394"/>
  <c r="E1394"/>
  <c r="B1395"/>
  <c r="E1395"/>
  <c r="B1396"/>
  <c r="E1396"/>
  <c r="B1397"/>
  <c r="E1397"/>
  <c r="B1398"/>
  <c r="E1398"/>
  <c r="B1399"/>
  <c r="E1399"/>
  <c r="B1400"/>
  <c r="E1400"/>
  <c r="B1401"/>
  <c r="E1401"/>
  <c r="B1402"/>
  <c r="E1402"/>
  <c r="B1403"/>
  <c r="E1403"/>
  <c r="B1404"/>
  <c r="E1404"/>
  <c r="B1405"/>
  <c r="E1405"/>
  <c r="B1406"/>
  <c r="E1406"/>
  <c r="B1407"/>
  <c r="E1407"/>
  <c r="B1408"/>
  <c r="E1408"/>
  <c r="B1409"/>
  <c r="E1409"/>
  <c r="B1410"/>
  <c r="E1410"/>
  <c r="B1411"/>
  <c r="E1411"/>
  <c r="B1412"/>
  <c r="E1412"/>
  <c r="B1413"/>
  <c r="E1413"/>
  <c r="B1414"/>
  <c r="E1414"/>
  <c r="B1415"/>
  <c r="E1415"/>
  <c r="B1416"/>
  <c r="E1416"/>
  <c r="B1417"/>
  <c r="E1417"/>
  <c r="B1418"/>
  <c r="E1418"/>
  <c r="B1419"/>
  <c r="E1419"/>
  <c r="B1420"/>
  <c r="E1420"/>
  <c r="B1421"/>
  <c r="E1421"/>
  <c r="B1422"/>
  <c r="E1422"/>
  <c r="B1423"/>
  <c r="E1423"/>
  <c r="B1424"/>
  <c r="E1424"/>
  <c r="B1425"/>
  <c r="E1425"/>
  <c r="B1426"/>
  <c r="E1426"/>
  <c r="B1427"/>
  <c r="E1427"/>
  <c r="B1428"/>
  <c r="E1428"/>
  <c r="B1429"/>
  <c r="E1429"/>
  <c r="B1430"/>
  <c r="E1430"/>
  <c r="B1431"/>
  <c r="E1431"/>
  <c r="B1432"/>
  <c r="E1432"/>
  <c r="B1433"/>
  <c r="E1433"/>
  <c r="B1434"/>
  <c r="E1434"/>
  <c r="B1435"/>
  <c r="E1435"/>
  <c r="B1436"/>
  <c r="E1436"/>
  <c r="B1437"/>
  <c r="E1437"/>
  <c r="B1438"/>
  <c r="E1438"/>
  <c r="B1439"/>
  <c r="E1439"/>
  <c r="B1440"/>
  <c r="E1440"/>
  <c r="B1441"/>
  <c r="E1441"/>
  <c r="B1442"/>
  <c r="E1442"/>
  <c r="B1443"/>
  <c r="E1443"/>
  <c r="B1444"/>
  <c r="E1444"/>
  <c r="B1445"/>
  <c r="E1445"/>
  <c r="B1446"/>
  <c r="E1446"/>
  <c r="B1447"/>
  <c r="E1447"/>
  <c r="B1448"/>
  <c r="E1448"/>
  <c r="B1449"/>
  <c r="E1449"/>
  <c r="B1450"/>
  <c r="E1450"/>
  <c r="B1451"/>
  <c r="E1451"/>
  <c r="B1452"/>
  <c r="E1452"/>
  <c r="B1453"/>
  <c r="E1453"/>
  <c r="B1454"/>
  <c r="E1454"/>
  <c r="B1455"/>
  <c r="E1455"/>
  <c r="B1456"/>
  <c r="E1456"/>
  <c r="B1457"/>
  <c r="E1457"/>
  <c r="B1458"/>
  <c r="E1458"/>
  <c r="B1459"/>
  <c r="E1459"/>
  <c r="B1460"/>
  <c r="E1460"/>
  <c r="B1461"/>
  <c r="E1461"/>
  <c r="B1462"/>
  <c r="E1462"/>
  <c r="B1463"/>
  <c r="E1463"/>
  <c r="B1464"/>
  <c r="E1464"/>
  <c r="B1465"/>
  <c r="E1465"/>
  <c r="B1466"/>
  <c r="E1466"/>
  <c r="B1467"/>
  <c r="E1467"/>
  <c r="B1468"/>
  <c r="E1468"/>
  <c r="B1469"/>
  <c r="E1469"/>
  <c r="B1470"/>
  <c r="E1470"/>
  <c r="B1471"/>
  <c r="E1471"/>
  <c r="B1472"/>
  <c r="E1472"/>
  <c r="B1473"/>
  <c r="E1473"/>
  <c r="B1474"/>
  <c r="E1474"/>
  <c r="B1475"/>
  <c r="E1475"/>
  <c r="B1476"/>
  <c r="E1476"/>
  <c r="B1477"/>
  <c r="E1477"/>
  <c r="B1478"/>
  <c r="E1478"/>
  <c r="B1479"/>
  <c r="E1479"/>
  <c r="B1480"/>
  <c r="E1480"/>
  <c r="B1481"/>
  <c r="E1481"/>
  <c r="B1482"/>
  <c r="E1482"/>
  <c r="B1483"/>
  <c r="E1483"/>
  <c r="B1484"/>
  <c r="E1484"/>
  <c r="B1485"/>
  <c r="E1485"/>
  <c r="B1486"/>
  <c r="E1486"/>
  <c r="B1487"/>
  <c r="E1487"/>
  <c r="B1488"/>
  <c r="E1488"/>
  <c r="B1489"/>
  <c r="E1489"/>
  <c r="B1490"/>
  <c r="E1490"/>
  <c r="B1491"/>
  <c r="E1491"/>
  <c r="B1492"/>
  <c r="E1492"/>
  <c r="B1493"/>
  <c r="E1493"/>
  <c r="B1494"/>
  <c r="E1494"/>
  <c r="B1495"/>
  <c r="E1495"/>
  <c r="B1496"/>
  <c r="E1496"/>
  <c r="B1497"/>
  <c r="E1497"/>
  <c r="B1498"/>
  <c r="E1498"/>
  <c r="B1499"/>
  <c r="E1499"/>
  <c r="B1500"/>
  <c r="E1500"/>
  <c r="B1501"/>
  <c r="E1501"/>
  <c r="B1502"/>
  <c r="E1502"/>
  <c r="B1503"/>
  <c r="E1503"/>
  <c r="B1504"/>
  <c r="E1504"/>
  <c r="B1505"/>
  <c r="E1505"/>
  <c r="B1506"/>
  <c r="E1506"/>
  <c r="B1507"/>
  <c r="E1507"/>
  <c r="B1508"/>
  <c r="E1508"/>
  <c r="B1509"/>
  <c r="E1509"/>
  <c r="B1510"/>
  <c r="E1510"/>
  <c r="B1511"/>
  <c r="E1511"/>
  <c r="B1512"/>
  <c r="E1512"/>
  <c r="B1513"/>
  <c r="E1513"/>
  <c r="B1514"/>
  <c r="E1514"/>
  <c r="B1515"/>
  <c r="E1515"/>
  <c r="B1516"/>
  <c r="E1516"/>
  <c r="B1517"/>
  <c r="E1517"/>
  <c r="B1518"/>
  <c r="E1518"/>
  <c r="B1519"/>
  <c r="E1519"/>
  <c r="B1520"/>
  <c r="E1520"/>
  <c r="B1521"/>
  <c r="E1521"/>
  <c r="B1522"/>
  <c r="E1522"/>
  <c r="B1523"/>
  <c r="E1523"/>
  <c r="B1524"/>
  <c r="E1524"/>
  <c r="B1525"/>
  <c r="E1525"/>
  <c r="B1526"/>
  <c r="E1526"/>
  <c r="B1527"/>
  <c r="E1527"/>
  <c r="B1528"/>
  <c r="E1528"/>
  <c r="B1529"/>
  <c r="E1529"/>
  <c r="B1530"/>
  <c r="E1530"/>
  <c r="B1531"/>
  <c r="E1531"/>
  <c r="B1532"/>
  <c r="E1532"/>
  <c r="B1533"/>
  <c r="E1533"/>
  <c r="B1534"/>
  <c r="E1534"/>
  <c r="B1535"/>
  <c r="E1535"/>
  <c r="B1536"/>
  <c r="E1536"/>
  <c r="B1537"/>
  <c r="E1537"/>
  <c r="B1538"/>
  <c r="E1538"/>
  <c r="B1539"/>
  <c r="E1539"/>
  <c r="B1540"/>
  <c r="E1540"/>
  <c r="B1541"/>
  <c r="E1541"/>
  <c r="B1542"/>
  <c r="E1542"/>
  <c r="B1543"/>
  <c r="E1543"/>
  <c r="B1544"/>
  <c r="E1544"/>
  <c r="B1545"/>
  <c r="E1545"/>
  <c r="B1546"/>
  <c r="E1546"/>
  <c r="B1547"/>
  <c r="E1547"/>
  <c r="B1548"/>
  <c r="E1548"/>
  <c r="B1549"/>
  <c r="E1549"/>
  <c r="B1550"/>
  <c r="E1550"/>
  <c r="B1551"/>
  <c r="E1551"/>
  <c r="B1552"/>
  <c r="E1552"/>
  <c r="B1553"/>
  <c r="E1553"/>
  <c r="B1554"/>
  <c r="E1554"/>
  <c r="B1555"/>
  <c r="E1555"/>
  <c r="B1556"/>
  <c r="E1556"/>
  <c r="B1557"/>
  <c r="E1557"/>
  <c r="B1558"/>
  <c r="E1558"/>
  <c r="B1559"/>
  <c r="E1559"/>
  <c r="B1560"/>
  <c r="E1560"/>
  <c r="B1561"/>
  <c r="E1561"/>
  <c r="B1562"/>
  <c r="E1562"/>
  <c r="B1563"/>
  <c r="E1563"/>
  <c r="B1564"/>
  <c r="E1564"/>
  <c r="B1565"/>
  <c r="E1565"/>
  <c r="B1566"/>
  <c r="E1566"/>
  <c r="B1567"/>
  <c r="E1567"/>
  <c r="B1568"/>
  <c r="E1568"/>
  <c r="B1569"/>
  <c r="E1569"/>
  <c r="B1570"/>
  <c r="E1570"/>
  <c r="B1571"/>
  <c r="E1571"/>
  <c r="B1572"/>
  <c r="E1572"/>
  <c r="B1573"/>
  <c r="E1573"/>
  <c r="B1574"/>
  <c r="E1574"/>
  <c r="B1575"/>
  <c r="E1575"/>
  <c r="B1576"/>
  <c r="E1576"/>
  <c r="B1577"/>
  <c r="E1577"/>
  <c r="B1578"/>
  <c r="E1578"/>
  <c r="B1579"/>
  <c r="E1579"/>
  <c r="B1580"/>
  <c r="E1580"/>
  <c r="B1581"/>
  <c r="E1581"/>
  <c r="B1582"/>
  <c r="E1582"/>
  <c r="B1583"/>
  <c r="E1583"/>
  <c r="B1584"/>
  <c r="E1584"/>
  <c r="B1585"/>
  <c r="E1585"/>
  <c r="B1586"/>
  <c r="E1586"/>
  <c r="B1587"/>
  <c r="E1587"/>
  <c r="B1588"/>
  <c r="E1588"/>
  <c r="B1589"/>
  <c r="E1589"/>
  <c r="B1590"/>
  <c r="E1590"/>
  <c r="B1591"/>
  <c r="E1591"/>
  <c r="B1592"/>
  <c r="E1592"/>
  <c r="B1593"/>
  <c r="E1593"/>
  <c r="B1594"/>
  <c r="E1594"/>
  <c r="B1595"/>
  <c r="E1595"/>
  <c r="B1596"/>
  <c r="E1596"/>
  <c r="B1597"/>
  <c r="E1597"/>
  <c r="B1598"/>
  <c r="E1598"/>
  <c r="B1599"/>
  <c r="E1599"/>
  <c r="B1600"/>
  <c r="E1600"/>
  <c r="B1601"/>
  <c r="E1601"/>
  <c r="B1602"/>
  <c r="E1602"/>
  <c r="B1603"/>
  <c r="E1603"/>
  <c r="B1604"/>
  <c r="E1604"/>
  <c r="B1605"/>
  <c r="E1605"/>
  <c r="B1606"/>
  <c r="E1606"/>
  <c r="B1607"/>
  <c r="E1607"/>
  <c r="B1608"/>
  <c r="E1608"/>
  <c r="B1609"/>
  <c r="E1609"/>
  <c r="B1610"/>
  <c r="E1610"/>
  <c r="B1611"/>
  <c r="E1611"/>
  <c r="B1612"/>
  <c r="E1612"/>
  <c r="B1613"/>
  <c r="E1613"/>
  <c r="B1614"/>
  <c r="E1614"/>
  <c r="B1615"/>
  <c r="E1615"/>
  <c r="B1616"/>
  <c r="E1616"/>
  <c r="B1617"/>
  <c r="E1617"/>
  <c r="B1618"/>
  <c r="E1618"/>
  <c r="B1619"/>
  <c r="E1619"/>
  <c r="B1620"/>
  <c r="E1620"/>
  <c r="B1621"/>
  <c r="E1621"/>
  <c r="B1622"/>
  <c r="E1622"/>
  <c r="B1623"/>
  <c r="E1623"/>
  <c r="B1624"/>
  <c r="E1624"/>
  <c r="B1625"/>
  <c r="E1625"/>
  <c r="B1626"/>
  <c r="E1626"/>
  <c r="B1627"/>
  <c r="E1627"/>
  <c r="B1628"/>
  <c r="E1628"/>
  <c r="B1629"/>
  <c r="E1629"/>
  <c r="B1630"/>
  <c r="E1630"/>
  <c r="B1631"/>
  <c r="E1631"/>
  <c r="B1632"/>
  <c r="E1632"/>
  <c r="B1633"/>
  <c r="E1633"/>
  <c r="B1634"/>
  <c r="E1634"/>
  <c r="B1635"/>
  <c r="E1635"/>
  <c r="B1636"/>
  <c r="E1636"/>
  <c r="B1637"/>
  <c r="E1637"/>
  <c r="B1638"/>
  <c r="E1638"/>
  <c r="B1639"/>
  <c r="E1639"/>
  <c r="B1640"/>
  <c r="E1640"/>
  <c r="B1641"/>
  <c r="E1641"/>
  <c r="B1642"/>
  <c r="E1642"/>
  <c r="B1643"/>
  <c r="E1643"/>
  <c r="B1644"/>
  <c r="E1644"/>
  <c r="B1645"/>
  <c r="E1645"/>
  <c r="B1646"/>
  <c r="E1646"/>
  <c r="B1647"/>
  <c r="E1647"/>
  <c r="B1648"/>
  <c r="E1648"/>
  <c r="B1649"/>
  <c r="E1649"/>
  <c r="B1650"/>
  <c r="E1650"/>
  <c r="B1651"/>
  <c r="E1651"/>
  <c r="B1652"/>
  <c r="E1652"/>
  <c r="B1653"/>
  <c r="E1653"/>
  <c r="B1654"/>
  <c r="E1654"/>
  <c r="B1655"/>
  <c r="E1655"/>
  <c r="B1656"/>
  <c r="E1656"/>
  <c r="B1657"/>
  <c r="E1657"/>
  <c r="B1658"/>
  <c r="E1658"/>
  <c r="B1659"/>
  <c r="E1659"/>
  <c r="B1660"/>
  <c r="E1660"/>
  <c r="B1661"/>
  <c r="E1661"/>
  <c r="B1662"/>
  <c r="E1662"/>
  <c r="B1663"/>
  <c r="E1663"/>
  <c r="B1664"/>
  <c r="E1664"/>
  <c r="B1665"/>
  <c r="E1665"/>
  <c r="B1666"/>
  <c r="E1666"/>
  <c r="B1667"/>
  <c r="E1667"/>
  <c r="B1668"/>
  <c r="E1668"/>
  <c r="B1669"/>
  <c r="E1669"/>
  <c r="B1670"/>
  <c r="E1670"/>
  <c r="B1671"/>
  <c r="E1671"/>
  <c r="B1672"/>
  <c r="E1672"/>
  <c r="B1673"/>
  <c r="E1673"/>
  <c r="B1674"/>
  <c r="E1674"/>
  <c r="B1675"/>
  <c r="E1675"/>
  <c r="B1676"/>
  <c r="E1676"/>
  <c r="B1677"/>
  <c r="E1677"/>
  <c r="B1678"/>
  <c r="E1678"/>
  <c r="B1679"/>
  <c r="E1679"/>
  <c r="B1680"/>
  <c r="E1680"/>
  <c r="B1681"/>
  <c r="E1681"/>
  <c r="B1682"/>
  <c r="E1682"/>
  <c r="B1683"/>
  <c r="E1683"/>
  <c r="B1684"/>
  <c r="E1684"/>
  <c r="B1685"/>
  <c r="E1685"/>
  <c r="B1686"/>
  <c r="E1686"/>
  <c r="B1687"/>
  <c r="E1687"/>
  <c r="B1688"/>
  <c r="E1688"/>
  <c r="B1689"/>
  <c r="E1689"/>
  <c r="B1690"/>
  <c r="E1690"/>
  <c r="B1691"/>
  <c r="E1691"/>
  <c r="B1692"/>
  <c r="E1692"/>
  <c r="B1693"/>
  <c r="E1693"/>
  <c r="B1694"/>
  <c r="E1694"/>
  <c r="B1695"/>
  <c r="E1695"/>
  <c r="B1696"/>
  <c r="E1696"/>
  <c r="B1697"/>
  <c r="E1697"/>
  <c r="B1698"/>
  <c r="E1698"/>
  <c r="B1699"/>
  <c r="E1699"/>
  <c r="B1700"/>
  <c r="E1700"/>
  <c r="B1701"/>
  <c r="E1701"/>
  <c r="B1702"/>
  <c r="E1702"/>
  <c r="B1703"/>
  <c r="E1703"/>
  <c r="B1704"/>
  <c r="E1704"/>
  <c r="B1705"/>
  <c r="E1705"/>
  <c r="B1706"/>
  <c r="E1706"/>
  <c r="B1707"/>
  <c r="E1707"/>
  <c r="B1708"/>
  <c r="E1708"/>
  <c r="B1709"/>
  <c r="E1709"/>
  <c r="B1710"/>
  <c r="E1710"/>
  <c r="B1711"/>
  <c r="E1711"/>
  <c r="B1712"/>
  <c r="E1712"/>
  <c r="B1713"/>
  <c r="E1713"/>
  <c r="B1714"/>
  <c r="E1714"/>
  <c r="B1715"/>
  <c r="E1715"/>
  <c r="B1716"/>
  <c r="E1716"/>
  <c r="B1717"/>
  <c r="E1717"/>
  <c r="B1718"/>
  <c r="E1718"/>
  <c r="B1719"/>
  <c r="E1719"/>
  <c r="B1720"/>
  <c r="E1720"/>
  <c r="B1721"/>
  <c r="E1721"/>
  <c r="B1722"/>
  <c r="E1722"/>
  <c r="B1723"/>
  <c r="E1723"/>
  <c r="B1724"/>
  <c r="E1724"/>
  <c r="B1725"/>
  <c r="E1725"/>
  <c r="B1726"/>
  <c r="E1726"/>
  <c r="B1727"/>
  <c r="E1727"/>
  <c r="B1728"/>
  <c r="E1728"/>
  <c r="B1729"/>
  <c r="E1729"/>
  <c r="B1730"/>
  <c r="E1730"/>
  <c r="B1731"/>
  <c r="E1731"/>
  <c r="B1732"/>
  <c r="E1732"/>
  <c r="B1733"/>
  <c r="E1733"/>
  <c r="B1734"/>
  <c r="E1734"/>
  <c r="B1735"/>
  <c r="E1735"/>
  <c r="B1736"/>
  <c r="E1736"/>
  <c r="B1737"/>
  <c r="E1737"/>
  <c r="B1738"/>
  <c r="E1738"/>
  <c r="B1739"/>
  <c r="E1739"/>
  <c r="B1740"/>
  <c r="E1740"/>
  <c r="B1741"/>
  <c r="E1741"/>
  <c r="B1742"/>
  <c r="E1742"/>
  <c r="B1743"/>
  <c r="E1743"/>
  <c r="B1744"/>
  <c r="E1744"/>
  <c r="B1745"/>
  <c r="E1745"/>
  <c r="B1746"/>
  <c r="E1746"/>
  <c r="B1747"/>
  <c r="E1747"/>
  <c r="B1748"/>
  <c r="E1748"/>
  <c r="B1749"/>
  <c r="E1749"/>
  <c r="B1750"/>
  <c r="E1750"/>
  <c r="B1751"/>
  <c r="E1751"/>
  <c r="B1752"/>
  <c r="E1752"/>
  <c r="B1753"/>
  <c r="E1753"/>
  <c r="B1754"/>
  <c r="E1754"/>
  <c r="B1755"/>
  <c r="E1755"/>
  <c r="B1756"/>
  <c r="E1756"/>
  <c r="B1757"/>
  <c r="E1757"/>
  <c r="B1758"/>
  <c r="E1758"/>
  <c r="B1759"/>
  <c r="E1759"/>
  <c r="B1760"/>
  <c r="E1760"/>
  <c r="B1761"/>
  <c r="E1761"/>
  <c r="B1762"/>
  <c r="E1762"/>
  <c r="B1763"/>
  <c r="E1763"/>
  <c r="B1764"/>
  <c r="E1764"/>
  <c r="B1765"/>
  <c r="E1765"/>
  <c r="B1766"/>
  <c r="E1766"/>
  <c r="B1767"/>
  <c r="E1767"/>
  <c r="B1768"/>
  <c r="E1768"/>
  <c r="B1769"/>
  <c r="E1769"/>
  <c r="B1770"/>
  <c r="E1770"/>
  <c r="B1771"/>
  <c r="E1771"/>
  <c r="B1772"/>
  <c r="E1772"/>
  <c r="B1773"/>
  <c r="E1773"/>
  <c r="B1774"/>
  <c r="E1774"/>
  <c r="B1775"/>
  <c r="E1775"/>
  <c r="B1776"/>
  <c r="E1776"/>
  <c r="B1777"/>
  <c r="E1777"/>
  <c r="B1778"/>
  <c r="E1778"/>
  <c r="B1779"/>
  <c r="E1779"/>
  <c r="B1780"/>
  <c r="E1780"/>
  <c r="B1781"/>
  <c r="E1781"/>
  <c r="B1782"/>
  <c r="E1782"/>
  <c r="B1783"/>
  <c r="E1783"/>
  <c r="B1784"/>
  <c r="E1784"/>
  <c r="B1785"/>
  <c r="E1785"/>
  <c r="B1786"/>
  <c r="E1786"/>
  <c r="B1787"/>
  <c r="E1787"/>
  <c r="B1788"/>
  <c r="E1788"/>
  <c r="B1789"/>
  <c r="E1789"/>
  <c r="B1790"/>
  <c r="E1790"/>
  <c r="B1791"/>
  <c r="E1791"/>
  <c r="B1792"/>
  <c r="E1792"/>
  <c r="B1793"/>
  <c r="E1793"/>
  <c r="B1794"/>
  <c r="E1794"/>
  <c r="B1795"/>
  <c r="E1795"/>
  <c r="B1796"/>
  <c r="E1796"/>
  <c r="B1797"/>
  <c r="E1797"/>
  <c r="B1798"/>
  <c r="E1798"/>
  <c r="B1799"/>
  <c r="E1799"/>
  <c r="B1800"/>
  <c r="E1800"/>
  <c r="B1801"/>
  <c r="E1801"/>
  <c r="B1802"/>
  <c r="E1802"/>
  <c r="B1803"/>
  <c r="E1803"/>
  <c r="B1804"/>
  <c r="E1804"/>
  <c r="B1805"/>
  <c r="E1805"/>
  <c r="B1806"/>
  <c r="E1806"/>
  <c r="B1807"/>
  <c r="E1807"/>
  <c r="B1808"/>
  <c r="E1808"/>
  <c r="B1809"/>
  <c r="E1809"/>
  <c r="B1810"/>
  <c r="E1810"/>
  <c r="B1811"/>
  <c r="E1811"/>
  <c r="B1812"/>
  <c r="E1812"/>
  <c r="B1813"/>
  <c r="E1813"/>
  <c r="B1814"/>
  <c r="E1814"/>
  <c r="B1815"/>
  <c r="E1815"/>
  <c r="B1816"/>
  <c r="E1816"/>
  <c r="B1817"/>
  <c r="E1817"/>
  <c r="B1818"/>
  <c r="E1818"/>
  <c r="B1819"/>
  <c r="E1819"/>
  <c r="B1820"/>
  <c r="E1820"/>
  <c r="B1821"/>
  <c r="E1821"/>
  <c r="B1822"/>
  <c r="E1822"/>
  <c r="B1823"/>
  <c r="E1823"/>
  <c r="B1824"/>
  <c r="E1824"/>
  <c r="B1825"/>
  <c r="E1825"/>
  <c r="B1826"/>
  <c r="E1826"/>
  <c r="B1827"/>
  <c r="E1827"/>
  <c r="B1828"/>
  <c r="E1828"/>
  <c r="B1829"/>
  <c r="E1829"/>
  <c r="B1830"/>
  <c r="E1830"/>
  <c r="B1831"/>
  <c r="E1831"/>
  <c r="B1832"/>
  <c r="E1832"/>
  <c r="B1833"/>
  <c r="E1833"/>
  <c r="B1834"/>
  <c r="E1834"/>
  <c r="B1835"/>
  <c r="E1835"/>
  <c r="B1836"/>
  <c r="E1836"/>
  <c r="B1837"/>
  <c r="E1837"/>
  <c r="B1838"/>
  <c r="E1838"/>
  <c r="B1839"/>
  <c r="E1839"/>
  <c r="B1840"/>
  <c r="E1840"/>
  <c r="B1841"/>
  <c r="E1841"/>
  <c r="B1842"/>
  <c r="E1842"/>
  <c r="B1843"/>
  <c r="E1843"/>
  <c r="B1844"/>
  <c r="E1844"/>
  <c r="B1845"/>
  <c r="E1845"/>
  <c r="B1846"/>
  <c r="E1846"/>
  <c r="B1847"/>
  <c r="E1847"/>
  <c r="B1848"/>
  <c r="E1848"/>
  <c r="B1849"/>
  <c r="E1849"/>
  <c r="B1850"/>
  <c r="E1850"/>
  <c r="B1851"/>
  <c r="E1851"/>
  <c r="B1852"/>
  <c r="E1852"/>
  <c r="B1853"/>
  <c r="E1853"/>
  <c r="B1854"/>
  <c r="E1854"/>
  <c r="B1855"/>
  <c r="E1855"/>
  <c r="B1856"/>
  <c r="E1856"/>
  <c r="B1857"/>
  <c r="E1857"/>
  <c r="B1858"/>
  <c r="E1858"/>
  <c r="B1859"/>
  <c r="E1859"/>
  <c r="B1860"/>
  <c r="E1860"/>
  <c r="B1861"/>
  <c r="E1861"/>
  <c r="B1862"/>
  <c r="E1862"/>
  <c r="B1863"/>
  <c r="E1863"/>
  <c r="B1864"/>
  <c r="E1864"/>
  <c r="B1865"/>
  <c r="E1865"/>
  <c r="B1866"/>
  <c r="E1866"/>
  <c r="B1867"/>
  <c r="E1867"/>
  <c r="B1868"/>
  <c r="E1868"/>
  <c r="B1869"/>
  <c r="E1869"/>
  <c r="B1870"/>
  <c r="E1870"/>
  <c r="B1871"/>
  <c r="E1871"/>
  <c r="B1872"/>
  <c r="E1872"/>
  <c r="B1873"/>
  <c r="E1873"/>
  <c r="B1874"/>
  <c r="E1874"/>
  <c r="B1875"/>
  <c r="E1875"/>
  <c r="B1876"/>
  <c r="E1876"/>
  <c r="B1877"/>
  <c r="E1877"/>
  <c r="B1878"/>
  <c r="E1878"/>
  <c r="B1879"/>
  <c r="E1879"/>
  <c r="B1880"/>
  <c r="E1880"/>
  <c r="B1881"/>
  <c r="E1881"/>
  <c r="B1882"/>
  <c r="E1882"/>
  <c r="B1883"/>
  <c r="E1883"/>
  <c r="B1884"/>
  <c r="E1884"/>
  <c r="B1885"/>
  <c r="E1885"/>
  <c r="B1886"/>
  <c r="E1886"/>
  <c r="B1887"/>
  <c r="E1887"/>
  <c r="B1888"/>
  <c r="E1888"/>
  <c r="B1889"/>
  <c r="E1889"/>
  <c r="B1890"/>
  <c r="E1890"/>
  <c r="B1891"/>
  <c r="E1891"/>
  <c r="B1892"/>
  <c r="E1892"/>
  <c r="B1893"/>
  <c r="E1893"/>
  <c r="B1894"/>
  <c r="E1894"/>
  <c r="B1895"/>
  <c r="E1895"/>
  <c r="B1896"/>
  <c r="E1896"/>
  <c r="B1897"/>
  <c r="E1897"/>
  <c r="B1898"/>
  <c r="E1898"/>
  <c r="B1899"/>
  <c r="E1899"/>
  <c r="B1900"/>
  <c r="E1900"/>
  <c r="B1901"/>
  <c r="E1901"/>
  <c r="B1902"/>
  <c r="E1902"/>
  <c r="B1903"/>
  <c r="E1903"/>
  <c r="B1904"/>
  <c r="E1904"/>
  <c r="B1905"/>
  <c r="E1905"/>
  <c r="B1906"/>
  <c r="E1906"/>
  <c r="B1907"/>
  <c r="E1907"/>
  <c r="B1908"/>
  <c r="E1908"/>
  <c r="B1909"/>
  <c r="E1909"/>
  <c r="B1910"/>
  <c r="E1910"/>
  <c r="B1911"/>
  <c r="E1911"/>
  <c r="B1912"/>
  <c r="E1912"/>
  <c r="B1913"/>
  <c r="E1913"/>
  <c r="B1914"/>
  <c r="E1914"/>
  <c r="B1915"/>
  <c r="E1915"/>
  <c r="B1916"/>
  <c r="E1916"/>
  <c r="B1917"/>
  <c r="E1917"/>
  <c r="B1918"/>
  <c r="E1918"/>
  <c r="B1919"/>
  <c r="E1919"/>
  <c r="B1920"/>
  <c r="E1920"/>
  <c r="B1921"/>
  <c r="E1921"/>
  <c r="B1922"/>
  <c r="E1922"/>
  <c r="B1923"/>
  <c r="E1923"/>
  <c r="B1924"/>
  <c r="E1924"/>
  <c r="B1925"/>
  <c r="E1925"/>
  <c r="B1926"/>
  <c r="E1926"/>
  <c r="B1927"/>
  <c r="E1927"/>
  <c r="B1928"/>
  <c r="E1928"/>
  <c r="B1929"/>
  <c r="E1929"/>
  <c r="B1930"/>
  <c r="E1930"/>
  <c r="B1931"/>
  <c r="E1931"/>
  <c r="B1932"/>
  <c r="E1932"/>
  <c r="B1933"/>
  <c r="E1933"/>
  <c r="B1934"/>
  <c r="E1934"/>
  <c r="B1935"/>
  <c r="E1935"/>
  <c r="B1936"/>
  <c r="E1936"/>
  <c r="B1937"/>
  <c r="E1937"/>
  <c r="B1938"/>
  <c r="E1938"/>
  <c r="B1939"/>
  <c r="E1939"/>
  <c r="B1940"/>
  <c r="E1940"/>
  <c r="B1941"/>
  <c r="E1941"/>
  <c r="B1942"/>
  <c r="E1942"/>
  <c r="B1943"/>
  <c r="E1943"/>
  <c r="B1944"/>
  <c r="E1944"/>
  <c r="B1945"/>
  <c r="E1945"/>
  <c r="B1946"/>
  <c r="E1946"/>
  <c r="B1947"/>
  <c r="E1947"/>
  <c r="B1948"/>
  <c r="E1948"/>
  <c r="B1949"/>
  <c r="E1949"/>
  <c r="B1950"/>
  <c r="E1950"/>
  <c r="B1951"/>
  <c r="E1951"/>
  <c r="B1952"/>
  <c r="E1952"/>
  <c r="B1953"/>
  <c r="E1953"/>
  <c r="B1954"/>
  <c r="E1954"/>
  <c r="B1955"/>
  <c r="E1955"/>
  <c r="B1956"/>
  <c r="E1956"/>
  <c r="B1957"/>
  <c r="E1957"/>
  <c r="B1958"/>
  <c r="E1958"/>
  <c r="B1959"/>
  <c r="E1959"/>
  <c r="B1960"/>
  <c r="E1960"/>
  <c r="B1961"/>
  <c r="E1961"/>
  <c r="B1962"/>
  <c r="E1962"/>
  <c r="B1963"/>
  <c r="E1963"/>
  <c r="B1964"/>
  <c r="E1964"/>
  <c r="B1965"/>
  <c r="E1965"/>
  <c r="B1966"/>
  <c r="E1966"/>
  <c r="B1967"/>
  <c r="E1967"/>
  <c r="B1968"/>
  <c r="E1968"/>
  <c r="B1969"/>
  <c r="E1969"/>
  <c r="B1970"/>
  <c r="E1970"/>
  <c r="B1971"/>
  <c r="E1971"/>
  <c r="B1972"/>
  <c r="E1972"/>
  <c r="B1973"/>
  <c r="E1973"/>
  <c r="B1974"/>
  <c r="E1974"/>
  <c r="B1975"/>
  <c r="E1975"/>
  <c r="B1976"/>
  <c r="E1976"/>
  <c r="B1977"/>
  <c r="E1977"/>
  <c r="B1978"/>
  <c r="E1978"/>
  <c r="B1979"/>
  <c r="E1979"/>
  <c r="B1980"/>
  <c r="E1980"/>
  <c r="B1981"/>
  <c r="E1981"/>
  <c r="B1982"/>
  <c r="E1982"/>
  <c r="B1983"/>
  <c r="E1983"/>
  <c r="B1984"/>
  <c r="E1984"/>
  <c r="B1985"/>
  <c r="E1985"/>
  <c r="B1986"/>
  <c r="E1986"/>
  <c r="B1987"/>
  <c r="E1987"/>
  <c r="B1988"/>
  <c r="E1988"/>
  <c r="B1989"/>
  <c r="E1989"/>
  <c r="B1990"/>
  <c r="E1990"/>
  <c r="B1991"/>
  <c r="E1991"/>
  <c r="B1992"/>
  <c r="E1992"/>
  <c r="B1993"/>
  <c r="E1993"/>
  <c r="B1994"/>
  <c r="E1994"/>
  <c r="B1995"/>
  <c r="E1995"/>
  <c r="B1996"/>
  <c r="E1996"/>
  <c r="B1997"/>
  <c r="E1997"/>
  <c r="B1998"/>
  <c r="E1998"/>
  <c r="B1999"/>
  <c r="E1999"/>
  <c r="B2000"/>
  <c r="E2000"/>
  <c r="B2001"/>
  <c r="E2001"/>
  <c r="B2002"/>
  <c r="E2002"/>
  <c r="B2003"/>
  <c r="E2003"/>
  <c r="B2004"/>
  <c r="E2004"/>
  <c r="B2005"/>
  <c r="E2005"/>
  <c r="B2006"/>
  <c r="E2006"/>
  <c r="B2007"/>
  <c r="E2007"/>
  <c r="B2008"/>
  <c r="E2008"/>
  <c r="B2009"/>
  <c r="E2009"/>
  <c r="B2010"/>
  <c r="E2010"/>
  <c r="B2011"/>
  <c r="E2011"/>
  <c r="B2012"/>
  <c r="E2012"/>
  <c r="B2013"/>
  <c r="E2013"/>
  <c r="B2014"/>
  <c r="E2014"/>
  <c r="B2015"/>
  <c r="E2015"/>
  <c r="B2016"/>
  <c r="E2016"/>
  <c r="B2017"/>
  <c r="E2017"/>
  <c r="B2018"/>
  <c r="E2018"/>
  <c r="B2019"/>
  <c r="E2019"/>
  <c r="B2020"/>
  <c r="E2020"/>
  <c r="B2021"/>
  <c r="E2021"/>
  <c r="B2022"/>
  <c r="E2022"/>
  <c r="B2023"/>
  <c r="E2023"/>
  <c r="B2024"/>
  <c r="E2024"/>
  <c r="B2025"/>
  <c r="E2025"/>
  <c r="B2026"/>
  <c r="E2026"/>
  <c r="B2027"/>
  <c r="E2027"/>
  <c r="B2028"/>
  <c r="E2028"/>
  <c r="B2029"/>
  <c r="E2029"/>
  <c r="B2030"/>
  <c r="E2030"/>
  <c r="B2031"/>
  <c r="E2031"/>
  <c r="B2032"/>
  <c r="E2032"/>
  <c r="B2033"/>
  <c r="E2033"/>
  <c r="B2034"/>
  <c r="E2034"/>
  <c r="B2035"/>
  <c r="E2035"/>
  <c r="B2036"/>
  <c r="E2036"/>
  <c r="B2037"/>
  <c r="E2037"/>
  <c r="B2038"/>
  <c r="E2038"/>
  <c r="B2039"/>
  <c r="E2039"/>
  <c r="B2040"/>
  <c r="E2040"/>
  <c r="B2041"/>
  <c r="E2041"/>
  <c r="B2042"/>
  <c r="E2042"/>
  <c r="B2043"/>
  <c r="E2043"/>
  <c r="B2044"/>
  <c r="E2044"/>
  <c r="B2045"/>
  <c r="E2045"/>
  <c r="B2046"/>
  <c r="E2046"/>
  <c r="B2047"/>
  <c r="E2047"/>
  <c r="B2048"/>
  <c r="E2048"/>
  <c r="B2049"/>
  <c r="E2049"/>
  <c r="B2050"/>
  <c r="E2050"/>
  <c r="B2051"/>
  <c r="E2051"/>
  <c r="B2052"/>
  <c r="E2052"/>
  <c r="B2053"/>
  <c r="E2053"/>
  <c r="B2054"/>
  <c r="E2054"/>
  <c r="B2055"/>
  <c r="E2055"/>
  <c r="B2056"/>
  <c r="E2056"/>
  <c r="B2057"/>
  <c r="E2057"/>
  <c r="B2058"/>
  <c r="E2058"/>
  <c r="B2059"/>
  <c r="E2059"/>
  <c r="B2060"/>
  <c r="E2060"/>
  <c r="B2061"/>
  <c r="E2061"/>
  <c r="B2062"/>
  <c r="E2062"/>
  <c r="B2063"/>
  <c r="E2063"/>
  <c r="B2064"/>
  <c r="E2064"/>
  <c r="B2065"/>
  <c r="E2065"/>
  <c r="B2066"/>
  <c r="E2066"/>
  <c r="B2067"/>
  <c r="E2067"/>
  <c r="B2068"/>
  <c r="E2068"/>
  <c r="B2069"/>
  <c r="E2069"/>
  <c r="B2070"/>
  <c r="E2070"/>
  <c r="B2071"/>
  <c r="E2071"/>
  <c r="B2072"/>
  <c r="E2072"/>
  <c r="B2073"/>
  <c r="E2073"/>
  <c r="B2074"/>
  <c r="E2074"/>
  <c r="B2075"/>
  <c r="E2075"/>
  <c r="B2076"/>
  <c r="E2076"/>
  <c r="B2077"/>
  <c r="E2077"/>
  <c r="B2078"/>
  <c r="E2078"/>
  <c r="B2079"/>
  <c r="E2079"/>
  <c r="B2080"/>
  <c r="E2080"/>
  <c r="B2081"/>
  <c r="E2081"/>
  <c r="B2082"/>
  <c r="E2082"/>
  <c r="B2083"/>
  <c r="E2083"/>
  <c r="B2084"/>
  <c r="E2084"/>
  <c r="B2085"/>
  <c r="E2085"/>
  <c r="B2086"/>
  <c r="E2086"/>
  <c r="B2087"/>
  <c r="E2087"/>
  <c r="B2088"/>
  <c r="E2088"/>
  <c r="B2089"/>
  <c r="E2089"/>
  <c r="B2090"/>
  <c r="E2090"/>
  <c r="B2091"/>
  <c r="E2091"/>
  <c r="B2092"/>
  <c r="E2092"/>
  <c r="B2093"/>
  <c r="E2093"/>
  <c r="B2094"/>
  <c r="E2094"/>
  <c r="B2095"/>
  <c r="E2095"/>
  <c r="B2096"/>
  <c r="E2096"/>
  <c r="B2097"/>
  <c r="E2097"/>
  <c r="B2098"/>
  <c r="E2098"/>
  <c r="B2099"/>
  <c r="E2099"/>
  <c r="B2100"/>
  <c r="E2100"/>
  <c r="B2101"/>
  <c r="E2101"/>
  <c r="B2102"/>
  <c r="E2102"/>
  <c r="B2103"/>
  <c r="E2103"/>
  <c r="B2104"/>
  <c r="E2104"/>
  <c r="B2105"/>
  <c r="E2105"/>
  <c r="B2106"/>
  <c r="E2106"/>
  <c r="B2107"/>
  <c r="E2107"/>
  <c r="B2108"/>
  <c r="E2108"/>
  <c r="B2109"/>
  <c r="E2109"/>
  <c r="B2110"/>
  <c r="E2110"/>
  <c r="B2111"/>
  <c r="E2111"/>
  <c r="B2112"/>
  <c r="E2112"/>
  <c r="B2113"/>
  <c r="E2113"/>
  <c r="B2114"/>
  <c r="E2114"/>
  <c r="B2115"/>
  <c r="E2115"/>
  <c r="B2116"/>
  <c r="E2116"/>
  <c r="B2117"/>
  <c r="E2117"/>
  <c r="B2118"/>
  <c r="E2118"/>
  <c r="B2119"/>
  <c r="E2119"/>
  <c r="B2120"/>
  <c r="E2120"/>
  <c r="B2121"/>
  <c r="E2121"/>
  <c r="B2122"/>
  <c r="E2122"/>
  <c r="B2123"/>
  <c r="E2123"/>
  <c r="B2124"/>
  <c r="E2124"/>
  <c r="B2125"/>
  <c r="E2125"/>
  <c r="B2126"/>
  <c r="E2126"/>
  <c r="B2127"/>
  <c r="E2127"/>
  <c r="B2128"/>
  <c r="E2128"/>
  <c r="B2129"/>
  <c r="E2129"/>
  <c r="B2130"/>
  <c r="E2130"/>
  <c r="B2131"/>
  <c r="E2131"/>
  <c r="B2132"/>
  <c r="E2132"/>
  <c r="B2133"/>
  <c r="E2133"/>
  <c r="B2134"/>
  <c r="E2134"/>
  <c r="B2135"/>
  <c r="E2135"/>
  <c r="B2136"/>
  <c r="E2136"/>
  <c r="B2137"/>
  <c r="E2137"/>
  <c r="B2138"/>
  <c r="E2138"/>
  <c r="B2139"/>
  <c r="E2139"/>
  <c r="B2140"/>
  <c r="E2140"/>
  <c r="B2141"/>
  <c r="E2141"/>
  <c r="B2142"/>
  <c r="E2142"/>
  <c r="B2143"/>
  <c r="E2143"/>
  <c r="B2144"/>
  <c r="E2144"/>
  <c r="B2145"/>
  <c r="E2145"/>
  <c r="B2146"/>
  <c r="E2146"/>
  <c r="B2147"/>
  <c r="E2147"/>
  <c r="B2148"/>
  <c r="E2148"/>
  <c r="B2149"/>
  <c r="E2149"/>
  <c r="B2150"/>
  <c r="E2150"/>
  <c r="B2151"/>
  <c r="E2151"/>
  <c r="B2152"/>
  <c r="E2152"/>
  <c r="B2153"/>
  <c r="E2153"/>
  <c r="B2154"/>
  <c r="E2154"/>
  <c r="B2155"/>
  <c r="E2155"/>
  <c r="B2156"/>
  <c r="E2156"/>
  <c r="B2157"/>
  <c r="E2157"/>
  <c r="B2158"/>
  <c r="E2158"/>
  <c r="B2159"/>
  <c r="E2159"/>
  <c r="B2160"/>
  <c r="E2160"/>
  <c r="B2161"/>
  <c r="E2161"/>
  <c r="B2162"/>
  <c r="E2162"/>
  <c r="B2163"/>
  <c r="E2163"/>
  <c r="B2164"/>
  <c r="E2164"/>
  <c r="B2165"/>
  <c r="E2165"/>
  <c r="B2166"/>
  <c r="E2166"/>
  <c r="B2167"/>
  <c r="E2167"/>
  <c r="B2168"/>
  <c r="E2168"/>
  <c r="B2169"/>
  <c r="E2169"/>
  <c r="B2170"/>
  <c r="E2170"/>
  <c r="B2171"/>
  <c r="E2171"/>
  <c r="B2172"/>
  <c r="E2172"/>
  <c r="B2173"/>
  <c r="E2173"/>
  <c r="B2174"/>
  <c r="E2174"/>
  <c r="B2175"/>
  <c r="E2175"/>
  <c r="B2176"/>
  <c r="E2176"/>
  <c r="B2177"/>
  <c r="E2177"/>
  <c r="B2178"/>
  <c r="E2178"/>
  <c r="B2179"/>
  <c r="E2179"/>
  <c r="B2180"/>
  <c r="E2180"/>
  <c r="B2181"/>
  <c r="E2181"/>
  <c r="B2182"/>
  <c r="E2182"/>
  <c r="B2183"/>
  <c r="E2183"/>
  <c r="B2184"/>
  <c r="E2184"/>
  <c r="B2185"/>
  <c r="E2185"/>
  <c r="B2186"/>
  <c r="E2186"/>
  <c r="B2187"/>
  <c r="E2187"/>
  <c r="B2188"/>
  <c r="E2188"/>
  <c r="B2189"/>
  <c r="E2189"/>
  <c r="B2190"/>
  <c r="E2190"/>
  <c r="B2191"/>
  <c r="E2191"/>
  <c r="B2192"/>
  <c r="E2192"/>
  <c r="B2193"/>
  <c r="E2193"/>
  <c r="B2194"/>
  <c r="E2194"/>
  <c r="B2195"/>
  <c r="E2195"/>
  <c r="B2196"/>
  <c r="E2196"/>
  <c r="B2197"/>
  <c r="E2197"/>
  <c r="B2198"/>
  <c r="E2198"/>
  <c r="B2199"/>
  <c r="E2199"/>
  <c r="B2200"/>
  <c r="E2200"/>
  <c r="B2201"/>
  <c r="E2201"/>
  <c r="B2202"/>
  <c r="E2202"/>
  <c r="B2203"/>
  <c r="E2203"/>
  <c r="B2204"/>
  <c r="E2204"/>
  <c r="B2205"/>
  <c r="E2205"/>
  <c r="B2206"/>
  <c r="E2206"/>
  <c r="B2207"/>
  <c r="E2207"/>
  <c r="B2208"/>
  <c r="E2208"/>
  <c r="B2209"/>
  <c r="E2209"/>
  <c r="B2210"/>
  <c r="E2210"/>
  <c r="B2211"/>
  <c r="E2211"/>
  <c r="B2212"/>
  <c r="E2212"/>
  <c r="B2213"/>
  <c r="E2213"/>
  <c r="B2214"/>
  <c r="E2214"/>
  <c r="B2215"/>
  <c r="E2215"/>
  <c r="B2216"/>
  <c r="E2216"/>
  <c r="B2217"/>
  <c r="E2217"/>
  <c r="B2218"/>
  <c r="E2218"/>
  <c r="B2219"/>
  <c r="E2219"/>
  <c r="B2220"/>
  <c r="E2220"/>
  <c r="B2221"/>
  <c r="E2221"/>
  <c r="B2222"/>
  <c r="E2222"/>
  <c r="B2223"/>
  <c r="E2223"/>
  <c r="B2224"/>
  <c r="E2224"/>
  <c r="B2225"/>
  <c r="E2225"/>
  <c r="B2226"/>
  <c r="E2226"/>
  <c r="B2227"/>
  <c r="E2227"/>
  <c r="B2228"/>
  <c r="E2228"/>
  <c r="B2229"/>
  <c r="E2229"/>
  <c r="B2230"/>
  <c r="E2230"/>
  <c r="B2231"/>
  <c r="E2231"/>
  <c r="B2232"/>
  <c r="E2232"/>
  <c r="B2233"/>
  <c r="E2233"/>
  <c r="B2234"/>
  <c r="E2234"/>
  <c r="B2235"/>
  <c r="E2235"/>
  <c r="B2236"/>
  <c r="E2236"/>
  <c r="B2237"/>
  <c r="E2237"/>
  <c r="B2238"/>
  <c r="E2238"/>
  <c r="B2239"/>
  <c r="E2239"/>
  <c r="B2240"/>
  <c r="E2240"/>
  <c r="B2241"/>
  <c r="E2241"/>
  <c r="B2242"/>
  <c r="E2242"/>
  <c r="B2243"/>
  <c r="E2243"/>
  <c r="B2244"/>
  <c r="E2244"/>
  <c r="B2245"/>
  <c r="E2245"/>
  <c r="B2246"/>
  <c r="E2246"/>
  <c r="B2247"/>
  <c r="E2247"/>
  <c r="B2248"/>
  <c r="E2248"/>
  <c r="B2249"/>
  <c r="E2249"/>
  <c r="B2250"/>
  <c r="E2250"/>
  <c r="B2251"/>
  <c r="E2251"/>
  <c r="B2252"/>
  <c r="E2252"/>
  <c r="B2253"/>
  <c r="E2253"/>
  <c r="B2254"/>
  <c r="E2254"/>
  <c r="B2255"/>
  <c r="E2255"/>
  <c r="B2256"/>
  <c r="E2256"/>
  <c r="B2257"/>
  <c r="E2257"/>
  <c r="B2258"/>
  <c r="E2258"/>
  <c r="B2259"/>
  <c r="E2259"/>
  <c r="B2260"/>
  <c r="E2260"/>
  <c r="B2261"/>
  <c r="E2261"/>
  <c r="B2262"/>
  <c r="E2262"/>
  <c r="B2263"/>
  <c r="E2263"/>
  <c r="B2264"/>
  <c r="E2264"/>
  <c r="B2265"/>
  <c r="E2265"/>
  <c r="B2266"/>
  <c r="E2266"/>
  <c r="B2267"/>
  <c r="E2267"/>
  <c r="B2268"/>
  <c r="E2268"/>
  <c r="B2269"/>
  <c r="E2269"/>
  <c r="B2270"/>
  <c r="E2270"/>
  <c r="B2271"/>
  <c r="E2271"/>
  <c r="B2272"/>
  <c r="E2272"/>
  <c r="B2273"/>
  <c r="E2273"/>
  <c r="B2274"/>
  <c r="E2274"/>
  <c r="B2275"/>
  <c r="E2275"/>
  <c r="B2276"/>
  <c r="E2276"/>
  <c r="B2277"/>
  <c r="E2277"/>
  <c r="B2278"/>
  <c r="E2278"/>
  <c r="B2279"/>
  <c r="E2279"/>
  <c r="B2280"/>
  <c r="E2280"/>
  <c r="B2281"/>
  <c r="E2281"/>
  <c r="B2282"/>
  <c r="E2282"/>
  <c r="B2283"/>
  <c r="E2283"/>
  <c r="B2284"/>
  <c r="E2284"/>
  <c r="B2285"/>
  <c r="E2285"/>
  <c r="B2286"/>
  <c r="E2286"/>
  <c r="B2287"/>
  <c r="E2287"/>
  <c r="B2288"/>
  <c r="E2288"/>
  <c r="B2289"/>
  <c r="E2289"/>
  <c r="B2290"/>
  <c r="E2290"/>
  <c r="B2291"/>
  <c r="E2291"/>
  <c r="B2292"/>
  <c r="E2292"/>
  <c r="B2293"/>
  <c r="E2293"/>
  <c r="B2294"/>
  <c r="E2294"/>
  <c r="B2295"/>
  <c r="E2295"/>
  <c r="B2296"/>
  <c r="E2296"/>
  <c r="B2297"/>
  <c r="E2297"/>
  <c r="B2298"/>
  <c r="E2298"/>
  <c r="B2299"/>
  <c r="E2299"/>
  <c r="B2300"/>
  <c r="E2300"/>
  <c r="B2301"/>
  <c r="E2301"/>
  <c r="B2302"/>
  <c r="E2302"/>
  <c r="B2303"/>
  <c r="E2303"/>
  <c r="B2304"/>
  <c r="E2304"/>
  <c r="B2305"/>
  <c r="E2305"/>
  <c r="B2306"/>
  <c r="E2306"/>
  <c r="B2307"/>
  <c r="E2307"/>
  <c r="B2308"/>
  <c r="E2308"/>
  <c r="B2309"/>
  <c r="E2309"/>
  <c r="B2310"/>
  <c r="E2310"/>
  <c r="B2311"/>
  <c r="E2311"/>
  <c r="B2312"/>
  <c r="E2312"/>
  <c r="B2313"/>
  <c r="E2313"/>
  <c r="B2314"/>
  <c r="E2314"/>
  <c r="B2315"/>
  <c r="E2315"/>
  <c r="B2316"/>
  <c r="E2316"/>
  <c r="B2317"/>
  <c r="E2317"/>
  <c r="B2318"/>
  <c r="E2318"/>
  <c r="B2319"/>
  <c r="E2319"/>
  <c r="B2320"/>
  <c r="E2320"/>
  <c r="B2321"/>
  <c r="E2321"/>
  <c r="B2322"/>
  <c r="E2322"/>
  <c r="B2323"/>
  <c r="E2323"/>
  <c r="B2324"/>
  <c r="E2324"/>
  <c r="B2325"/>
  <c r="E2325"/>
  <c r="B2326"/>
  <c r="E2326"/>
  <c r="B2327"/>
  <c r="E2327"/>
  <c r="B2328"/>
  <c r="E2328"/>
  <c r="B2329"/>
  <c r="E2329"/>
  <c r="B2330"/>
  <c r="E2330"/>
  <c r="B2331"/>
  <c r="E2331"/>
  <c r="B2332"/>
  <c r="E2332"/>
  <c r="B2333"/>
  <c r="E2333"/>
  <c r="B2334"/>
  <c r="E2334"/>
  <c r="B2335"/>
  <c r="E2335"/>
  <c r="B2336"/>
  <c r="E2336"/>
  <c r="B2337"/>
  <c r="E2337"/>
  <c r="B2338"/>
  <c r="E2338"/>
  <c r="B2339"/>
  <c r="E2339"/>
  <c r="B2340"/>
  <c r="E2340"/>
  <c r="B2341"/>
  <c r="E2341"/>
  <c r="B2342"/>
  <c r="E2342"/>
  <c r="B2343"/>
  <c r="E2343"/>
  <c r="B2344"/>
  <c r="E2344"/>
  <c r="B2345"/>
  <c r="E2345"/>
  <c r="B2346"/>
  <c r="E2346"/>
  <c r="B2347"/>
  <c r="E2347"/>
  <c r="B2348"/>
  <c r="E2348"/>
  <c r="B2349"/>
  <c r="E2349"/>
  <c r="B2350"/>
  <c r="E2350"/>
  <c r="B2351"/>
  <c r="E2351"/>
  <c r="B2352"/>
  <c r="E2352"/>
  <c r="B2353"/>
  <c r="E2353"/>
  <c r="B2354"/>
  <c r="E2354"/>
  <c r="B2355"/>
  <c r="E2355"/>
  <c r="B2356"/>
  <c r="E2356"/>
  <c r="B2357"/>
  <c r="E2357"/>
  <c r="B2358"/>
  <c r="E2358"/>
  <c r="B2359"/>
  <c r="E2359"/>
  <c r="B2360"/>
  <c r="E2360"/>
  <c r="B2361"/>
  <c r="E2361"/>
  <c r="B2362"/>
  <c r="E2362"/>
  <c r="B2363"/>
  <c r="E2363"/>
  <c r="B2364"/>
  <c r="E2364"/>
  <c r="B2365"/>
  <c r="E2365"/>
  <c r="B2366"/>
  <c r="E2366"/>
  <c r="B2367"/>
  <c r="E2367"/>
  <c r="B2368"/>
  <c r="E2368"/>
  <c r="B2369"/>
  <c r="E2369"/>
  <c r="B2370"/>
  <c r="E2370"/>
  <c r="B2371"/>
  <c r="E2371"/>
  <c r="B2372"/>
  <c r="E2372"/>
  <c r="B2373"/>
  <c r="E2373"/>
  <c r="B2374"/>
  <c r="E2374"/>
  <c r="B2375"/>
  <c r="E2375"/>
  <c r="B2376"/>
  <c r="E2376"/>
  <c r="B2377"/>
  <c r="E2377"/>
  <c r="B2378"/>
  <c r="E2378"/>
  <c r="B2379"/>
  <c r="E2379"/>
  <c r="B2380"/>
  <c r="E2380"/>
  <c r="B2381"/>
  <c r="E2381"/>
  <c r="B2382"/>
  <c r="E2382"/>
  <c r="B2383"/>
  <c r="E2383"/>
  <c r="B2384"/>
  <c r="E2384"/>
  <c r="B2385"/>
  <c r="E2385"/>
  <c r="B2386"/>
  <c r="E2386"/>
  <c r="B2387"/>
  <c r="E2387"/>
  <c r="B2388"/>
  <c r="E2388"/>
  <c r="B2389"/>
  <c r="E2389"/>
  <c r="B2390"/>
  <c r="E2390"/>
  <c r="B2391"/>
  <c r="E2391"/>
  <c r="B2392"/>
  <c r="E2392"/>
  <c r="B2393"/>
  <c r="E2393"/>
  <c r="B2394"/>
  <c r="E2394"/>
  <c r="B2395"/>
  <c r="E2395"/>
  <c r="B2396"/>
  <c r="E2396"/>
  <c r="B2397"/>
  <c r="E2397"/>
  <c r="B2398"/>
  <c r="E2398"/>
  <c r="B2399"/>
  <c r="E2399"/>
  <c r="B2400"/>
  <c r="E2400"/>
  <c r="B2401"/>
  <c r="E2401"/>
  <c r="B2402"/>
  <c r="E2402"/>
  <c r="B2403"/>
  <c r="E2403"/>
  <c r="B2404"/>
  <c r="E2404"/>
  <c r="B2405"/>
  <c r="E2405"/>
  <c r="B2406"/>
  <c r="E2406"/>
  <c r="B2407"/>
  <c r="E2407"/>
  <c r="B2408"/>
  <c r="E2408"/>
  <c r="B2409"/>
  <c r="E2409"/>
  <c r="B2410"/>
  <c r="E2410"/>
  <c r="B2411"/>
  <c r="E2411"/>
  <c r="B2412"/>
  <c r="E2412"/>
  <c r="B2413"/>
  <c r="E2413"/>
  <c r="B2414"/>
  <c r="E2414"/>
  <c r="B2415"/>
  <c r="E2415"/>
  <c r="B2416"/>
  <c r="E2416"/>
  <c r="B2417"/>
  <c r="E2417"/>
  <c r="B2418"/>
  <c r="E2418"/>
  <c r="B2419"/>
  <c r="E2419"/>
  <c r="B2420"/>
  <c r="E2420"/>
  <c r="B2421"/>
  <c r="E2421"/>
  <c r="B2422"/>
  <c r="E2422"/>
  <c r="B2423"/>
  <c r="E2423"/>
  <c r="B2424"/>
  <c r="E2424"/>
  <c r="B2425"/>
  <c r="E2425"/>
  <c r="B2426"/>
  <c r="E2426"/>
  <c r="B2427"/>
  <c r="E2427"/>
  <c r="B2428"/>
  <c r="E2428"/>
  <c r="B2429"/>
  <c r="E2429"/>
  <c r="B2430"/>
  <c r="E2430"/>
  <c r="B2431"/>
  <c r="E2431"/>
  <c r="B2432"/>
  <c r="E2432"/>
  <c r="B2433"/>
  <c r="E2433"/>
  <c r="B2434"/>
  <c r="E2434"/>
  <c r="B2435"/>
  <c r="E2435"/>
  <c r="B2436"/>
  <c r="E2436"/>
  <c r="B2437"/>
  <c r="E2437"/>
  <c r="B2438"/>
  <c r="E2438"/>
  <c r="B2439"/>
  <c r="E2439"/>
  <c r="B2440"/>
  <c r="E2440"/>
  <c r="B2441"/>
  <c r="E2441"/>
  <c r="B2442"/>
  <c r="E2442"/>
  <c r="B2443"/>
  <c r="E2443"/>
  <c r="B2444"/>
  <c r="E2444"/>
  <c r="B2445"/>
  <c r="E2445"/>
  <c r="B2446"/>
  <c r="E2446"/>
  <c r="B2447"/>
  <c r="E2447"/>
  <c r="B2448"/>
  <c r="E2448"/>
  <c r="B2449"/>
  <c r="E2449"/>
  <c r="B2450"/>
  <c r="E2450"/>
  <c r="B2451"/>
  <c r="E2451"/>
  <c r="B2452"/>
  <c r="E2452"/>
  <c r="B2453"/>
  <c r="E2453"/>
  <c r="B2454"/>
  <c r="E2454"/>
  <c r="B2455"/>
  <c r="E2455"/>
  <c r="B2456"/>
  <c r="E2456"/>
  <c r="B2457"/>
  <c r="E2457"/>
  <c r="B2458"/>
  <c r="E2458"/>
  <c r="B2459"/>
  <c r="E2459"/>
  <c r="B2460"/>
  <c r="E2460"/>
  <c r="B2461"/>
  <c r="E2461"/>
  <c r="B2462"/>
  <c r="E2462"/>
  <c r="B2463"/>
  <c r="E2463"/>
  <c r="B2464"/>
  <c r="E2464"/>
  <c r="B2465"/>
  <c r="E2465"/>
  <c r="B2466"/>
  <c r="E2466"/>
  <c r="B2467"/>
  <c r="E2467"/>
  <c r="B2468"/>
  <c r="E2468"/>
  <c r="B2469"/>
  <c r="E2469"/>
  <c r="B2470"/>
  <c r="E2470"/>
  <c r="B2471"/>
  <c r="E2471"/>
  <c r="B2472"/>
  <c r="E2472"/>
  <c r="B2473"/>
  <c r="E2473"/>
  <c r="B2474"/>
  <c r="E2474"/>
  <c r="B2475"/>
  <c r="E2475"/>
  <c r="B2476"/>
  <c r="E2476"/>
  <c r="B2477"/>
  <c r="E2477"/>
  <c r="B2478"/>
  <c r="E2478"/>
  <c r="B2479"/>
  <c r="E2479"/>
  <c r="B2480"/>
  <c r="E2480"/>
  <c r="B2481"/>
  <c r="E2481"/>
  <c r="B2482"/>
  <c r="E2482"/>
  <c r="B2483"/>
  <c r="E2483"/>
  <c r="B2484"/>
  <c r="E2484"/>
  <c r="B2485"/>
  <c r="E2485"/>
  <c r="B2486"/>
  <c r="E2486"/>
  <c r="B2487"/>
  <c r="E2487"/>
  <c r="B2488"/>
  <c r="E2488"/>
  <c r="B2489"/>
  <c r="E2489"/>
  <c r="B2490"/>
  <c r="E2490"/>
  <c r="B2491"/>
  <c r="E2491"/>
  <c r="B2492"/>
  <c r="E2492"/>
  <c r="B2493"/>
  <c r="E2493"/>
  <c r="B2494"/>
  <c r="E2494"/>
  <c r="B2495"/>
  <c r="E2495"/>
  <c r="B2496"/>
  <c r="E2496"/>
  <c r="B2497"/>
  <c r="E2497"/>
  <c r="B2498"/>
  <c r="E2498"/>
  <c r="B2499"/>
  <c r="E2499"/>
  <c r="B2500"/>
  <c r="E2500"/>
  <c r="B2501"/>
  <c r="E2501"/>
  <c r="B2502"/>
  <c r="E2502"/>
  <c r="B2503"/>
  <c r="E2503"/>
  <c r="B2504"/>
  <c r="E2504"/>
  <c r="B2505"/>
  <c r="E2505"/>
  <c r="B2506"/>
  <c r="E2506"/>
  <c r="B2507"/>
  <c r="E2507"/>
  <c r="B2508"/>
  <c r="E2508"/>
  <c r="B2509"/>
  <c r="E2509"/>
  <c r="B2510"/>
  <c r="E2510"/>
  <c r="B2511"/>
  <c r="E2511"/>
  <c r="B2512"/>
  <c r="E2512"/>
  <c r="B2513"/>
  <c r="E2513"/>
  <c r="B2514"/>
  <c r="E2514"/>
  <c r="B2515"/>
  <c r="E2515"/>
  <c r="B2516"/>
  <c r="E2516"/>
  <c r="B2517"/>
  <c r="E2517"/>
  <c r="B2518"/>
  <c r="E2518"/>
  <c r="B2519"/>
  <c r="E2519"/>
  <c r="B2520"/>
  <c r="E2520"/>
  <c r="B2521"/>
  <c r="E2521"/>
  <c r="B2522"/>
  <c r="E2522"/>
  <c r="B2523"/>
  <c r="E2523"/>
  <c r="B2524"/>
  <c r="E2524"/>
  <c r="B2525"/>
  <c r="E2525"/>
  <c r="B2526"/>
  <c r="E2526"/>
  <c r="B2527"/>
  <c r="E2527"/>
  <c r="B2528"/>
  <c r="E2528"/>
  <c r="B2529"/>
  <c r="E2529"/>
  <c r="B2530"/>
  <c r="E2530"/>
  <c r="B2531"/>
  <c r="E2531"/>
  <c r="B2532"/>
  <c r="E2532"/>
  <c r="B2533"/>
  <c r="E2533"/>
  <c r="B2534"/>
  <c r="E2534"/>
  <c r="B2535"/>
  <c r="E2535"/>
  <c r="B2536"/>
  <c r="E2536"/>
  <c r="B2537"/>
  <c r="E2537"/>
  <c r="B2538"/>
  <c r="E2538"/>
  <c r="B2539"/>
  <c r="E2539"/>
  <c r="B2540"/>
  <c r="E2540"/>
  <c r="B2541"/>
  <c r="E2541"/>
  <c r="B2542"/>
  <c r="E2542"/>
  <c r="B2543"/>
  <c r="E2543"/>
  <c r="B2544"/>
  <c r="E2544"/>
  <c r="B2545"/>
  <c r="E2545"/>
  <c r="B2546"/>
  <c r="E2546"/>
  <c r="B2547"/>
  <c r="E2547"/>
  <c r="B2548"/>
  <c r="E2548"/>
  <c r="B2549"/>
  <c r="E2549"/>
  <c r="B2550"/>
  <c r="E2550"/>
  <c r="B2551"/>
  <c r="E2551"/>
  <c r="B2552"/>
  <c r="E2552"/>
  <c r="B2553"/>
  <c r="E2553"/>
  <c r="B2554"/>
  <c r="E2554"/>
  <c r="B2555"/>
  <c r="E2555"/>
  <c r="B2556"/>
  <c r="E2556"/>
  <c r="B2557"/>
  <c r="E2557"/>
  <c r="B2558"/>
  <c r="E2558"/>
  <c r="B2559"/>
  <c r="E2559"/>
  <c r="B2560"/>
  <c r="E2560"/>
  <c r="B2561"/>
  <c r="E2561"/>
  <c r="B2562"/>
  <c r="E2562"/>
  <c r="B2563"/>
  <c r="E2563"/>
  <c r="B2564"/>
  <c r="E2564"/>
  <c r="B2565"/>
  <c r="E2565"/>
  <c r="B2566"/>
  <c r="E2566"/>
  <c r="B2567"/>
  <c r="E2567"/>
  <c r="B2568"/>
  <c r="E2568"/>
  <c r="B2569"/>
  <c r="E2569"/>
  <c r="B2570"/>
  <c r="E2570"/>
  <c r="B2571"/>
  <c r="E2571"/>
  <c r="B2572"/>
  <c r="E2572"/>
  <c r="B2573"/>
  <c r="E2573"/>
  <c r="B2574"/>
  <c r="E2574"/>
  <c r="B2575"/>
  <c r="E2575"/>
  <c r="B2576"/>
  <c r="E2576"/>
  <c r="B2577"/>
  <c r="E2577"/>
  <c r="B2578"/>
  <c r="E2578"/>
  <c r="B2579"/>
  <c r="E2579"/>
  <c r="B2580"/>
  <c r="E2580"/>
  <c r="B2581"/>
  <c r="E2581"/>
  <c r="B2582"/>
  <c r="E2582"/>
  <c r="B2583"/>
  <c r="E2583"/>
  <c r="B2584"/>
  <c r="E2584"/>
  <c r="B2585"/>
  <c r="E2585"/>
  <c r="B2586"/>
  <c r="E2586"/>
  <c r="B2587"/>
  <c r="E2587"/>
  <c r="B2588"/>
  <c r="E2588"/>
  <c r="B2589"/>
  <c r="E2589"/>
  <c r="B2590"/>
  <c r="E2590"/>
  <c r="B2591"/>
  <c r="E2591"/>
  <c r="B2592"/>
  <c r="E2592"/>
  <c r="B2593"/>
  <c r="E2593"/>
  <c r="B2594"/>
  <c r="E2594"/>
  <c r="B2595"/>
  <c r="E2595"/>
  <c r="B2596"/>
  <c r="E2596"/>
  <c r="B2597"/>
  <c r="E2597"/>
  <c r="B2598"/>
  <c r="E2598"/>
  <c r="B2599"/>
  <c r="E2599"/>
  <c r="B2600"/>
  <c r="E2600"/>
  <c r="B2601"/>
  <c r="E2601"/>
  <c r="B2602"/>
  <c r="E2602"/>
  <c r="B2603"/>
  <c r="E2603"/>
  <c r="B2604"/>
  <c r="E2604"/>
  <c r="B2605"/>
  <c r="E2605"/>
  <c r="B2606"/>
  <c r="E2606"/>
  <c r="B2607"/>
  <c r="E2607"/>
  <c r="B2608"/>
  <c r="E2608"/>
  <c r="B2609"/>
  <c r="E2609"/>
  <c r="B2610"/>
  <c r="E2610"/>
  <c r="B2611"/>
  <c r="E2611"/>
  <c r="B2612"/>
  <c r="E2612"/>
  <c r="B2613"/>
  <c r="E2613"/>
  <c r="B2614"/>
  <c r="E2614"/>
  <c r="B2615"/>
  <c r="E2615"/>
  <c r="B2616"/>
  <c r="E2616"/>
  <c r="B2617"/>
  <c r="E2617"/>
  <c r="B2618"/>
  <c r="E2618"/>
  <c r="B2619"/>
  <c r="E2619"/>
  <c r="B2620"/>
  <c r="E2620"/>
  <c r="B2621"/>
  <c r="E2621"/>
  <c r="B2622"/>
  <c r="E2622"/>
  <c r="B2623"/>
  <c r="E2623"/>
  <c r="B2624"/>
  <c r="E2624"/>
  <c r="B2625"/>
  <c r="E2625"/>
  <c r="B2626"/>
  <c r="E2626"/>
  <c r="B2627"/>
  <c r="E2627"/>
  <c r="B2628"/>
  <c r="E2628"/>
  <c r="B2629"/>
  <c r="E2629"/>
  <c r="B2630"/>
  <c r="E2630"/>
  <c r="B2631"/>
  <c r="E2631"/>
  <c r="B2632"/>
  <c r="E2632"/>
  <c r="B2633"/>
  <c r="E2633"/>
  <c r="B2634"/>
  <c r="E2634"/>
  <c r="B2635"/>
  <c r="E2635"/>
  <c r="B2636"/>
  <c r="E2636"/>
  <c r="B2637"/>
  <c r="E2637"/>
  <c r="B2638"/>
  <c r="E2638"/>
  <c r="B2639"/>
  <c r="E2639"/>
  <c r="B2640"/>
  <c r="E2640"/>
  <c r="B2641"/>
  <c r="E2641"/>
  <c r="B2642"/>
  <c r="E2642"/>
  <c r="B2643"/>
  <c r="E2643"/>
  <c r="B2644"/>
  <c r="E2644"/>
  <c r="B2645"/>
  <c r="E2645"/>
  <c r="B2646"/>
  <c r="E2646"/>
  <c r="B2647"/>
  <c r="E2647"/>
  <c r="B2648"/>
  <c r="E2648"/>
  <c r="B2649"/>
  <c r="E2649"/>
  <c r="B2650"/>
  <c r="E2650"/>
  <c r="B2651"/>
  <c r="E2651"/>
  <c r="B2652"/>
  <c r="E2652"/>
  <c r="B2653"/>
  <c r="E2653"/>
  <c r="B2654"/>
  <c r="E2654"/>
  <c r="B2655"/>
  <c r="E2655"/>
  <c r="B2656"/>
  <c r="E2656"/>
  <c r="B2657"/>
  <c r="E2657"/>
  <c r="B2658"/>
  <c r="E2658"/>
  <c r="B2659"/>
  <c r="E2659"/>
  <c r="B2660"/>
  <c r="E2660"/>
  <c r="B2661"/>
  <c r="E2661"/>
  <c r="B2662"/>
  <c r="E2662"/>
  <c r="B2663"/>
  <c r="E2663"/>
  <c r="B2664"/>
  <c r="E2664"/>
  <c r="B2665"/>
  <c r="E2665"/>
  <c r="B2666"/>
  <c r="E2666"/>
  <c r="B2667"/>
  <c r="E2667"/>
  <c r="B2668"/>
  <c r="E2668"/>
  <c r="B2669"/>
  <c r="E2669"/>
  <c r="B2670"/>
  <c r="E2670"/>
  <c r="B2671"/>
  <c r="E2671"/>
  <c r="B2672"/>
  <c r="E2672"/>
  <c r="B2673"/>
  <c r="E2673"/>
  <c r="B2674"/>
  <c r="E2674"/>
  <c r="B2675"/>
  <c r="E2675"/>
  <c r="B2676"/>
  <c r="E2676"/>
  <c r="B2677"/>
  <c r="E2677"/>
  <c r="B2678"/>
  <c r="E2678"/>
  <c r="B2679"/>
  <c r="E2679"/>
  <c r="B2680"/>
  <c r="E2680"/>
  <c r="B2681"/>
  <c r="E2681"/>
  <c r="B2682"/>
  <c r="E2682"/>
  <c r="B2683"/>
  <c r="E2683"/>
  <c r="B2684"/>
  <c r="E2684"/>
  <c r="B2685"/>
  <c r="E2685"/>
  <c r="B2686"/>
  <c r="E2686"/>
  <c r="B2687"/>
  <c r="E2687"/>
  <c r="B2688"/>
  <c r="E2688"/>
  <c r="B2689"/>
  <c r="E2689"/>
  <c r="B2690"/>
  <c r="E2690"/>
  <c r="B2691"/>
  <c r="E2691"/>
  <c r="B2692"/>
  <c r="E2692"/>
  <c r="B2693"/>
  <c r="E2693"/>
  <c r="B2694"/>
  <c r="E2694"/>
  <c r="B2695"/>
  <c r="E2695"/>
  <c r="B2696"/>
  <c r="E2696"/>
  <c r="B2697"/>
  <c r="E2697"/>
  <c r="B2698"/>
  <c r="E2698"/>
  <c r="B2699"/>
  <c r="E2699"/>
  <c r="B2700"/>
  <c r="E2700"/>
  <c r="B2701"/>
  <c r="E2701"/>
  <c r="B2702"/>
  <c r="E2702"/>
  <c r="B2703"/>
  <c r="E2703"/>
  <c r="B2704"/>
  <c r="E2704"/>
  <c r="B2705"/>
  <c r="E2705"/>
  <c r="B2706"/>
  <c r="E2706"/>
  <c r="B2707"/>
  <c r="E2707"/>
  <c r="B2708"/>
  <c r="E2708"/>
  <c r="B2709"/>
  <c r="E2709"/>
  <c r="B2710"/>
  <c r="E2710"/>
  <c r="B2711"/>
  <c r="E2711"/>
  <c r="B2712"/>
  <c r="E2712"/>
  <c r="B2713"/>
  <c r="E2713"/>
  <c r="B2714"/>
  <c r="E2714"/>
  <c r="B2715"/>
  <c r="E2715"/>
  <c r="B2716"/>
  <c r="E2716"/>
  <c r="B2717"/>
  <c r="E2717"/>
  <c r="B2718"/>
  <c r="E2718"/>
  <c r="B2719"/>
  <c r="E2719"/>
  <c r="B2720"/>
  <c r="E2720"/>
  <c r="B2721"/>
  <c r="E2721"/>
  <c r="B2722"/>
  <c r="E2722"/>
  <c r="B2723"/>
  <c r="E2723"/>
  <c r="B2724"/>
  <c r="E2724"/>
  <c r="B2725"/>
  <c r="E2725"/>
  <c r="B2726"/>
  <c r="E2726"/>
  <c r="B2727"/>
  <c r="E2727"/>
  <c r="B2728"/>
  <c r="E2728"/>
  <c r="B2729"/>
  <c r="E2729"/>
  <c r="B2730"/>
  <c r="E2730"/>
  <c r="B2731"/>
  <c r="E2731"/>
  <c r="B2732"/>
  <c r="E2732"/>
  <c r="B2733"/>
  <c r="E2733"/>
  <c r="B2734"/>
  <c r="E2734"/>
  <c r="B2735"/>
  <c r="E2735"/>
  <c r="B2736"/>
  <c r="E2736"/>
  <c r="B2737"/>
  <c r="E2737"/>
  <c r="B2738"/>
  <c r="E2738"/>
  <c r="B2739"/>
  <c r="E2739"/>
  <c r="B2740"/>
  <c r="E2740"/>
  <c r="B2741"/>
  <c r="E2741"/>
  <c r="B2742"/>
  <c r="E2742"/>
  <c r="B2743"/>
  <c r="E2743"/>
  <c r="B2744"/>
  <c r="E2744"/>
  <c r="B2745"/>
  <c r="E2745"/>
  <c r="B2746"/>
  <c r="E2746"/>
  <c r="B2747"/>
  <c r="E2747"/>
  <c r="B2748"/>
  <c r="E2748"/>
  <c r="B2749"/>
  <c r="E2749"/>
  <c r="B2750"/>
  <c r="E2750"/>
  <c r="B2751"/>
  <c r="E2751"/>
  <c r="B2752"/>
  <c r="E2752"/>
  <c r="B2753"/>
  <c r="E2753"/>
  <c r="B2754"/>
  <c r="E2754"/>
  <c r="B2755"/>
  <c r="E2755"/>
  <c r="B2756"/>
  <c r="E2756"/>
  <c r="B2757"/>
  <c r="E2757"/>
  <c r="B2758"/>
  <c r="E2758"/>
  <c r="B2759"/>
  <c r="E2759"/>
  <c r="B2760"/>
  <c r="E2760"/>
  <c r="B2761"/>
  <c r="E2761"/>
  <c r="B2762"/>
  <c r="E2762"/>
  <c r="B2763"/>
  <c r="E2763"/>
  <c r="B2764"/>
  <c r="E2764"/>
  <c r="B2765"/>
  <c r="E2765"/>
  <c r="B2766"/>
  <c r="E2766"/>
  <c r="B2767"/>
  <c r="E2767"/>
  <c r="B2768"/>
  <c r="E2768"/>
  <c r="B2769"/>
  <c r="E2769"/>
  <c r="B2770"/>
  <c r="E2770"/>
  <c r="B2771"/>
  <c r="E2771"/>
  <c r="B2772"/>
  <c r="E2772"/>
  <c r="B2773"/>
  <c r="E2773"/>
  <c r="B2774"/>
  <c r="E2774"/>
  <c r="B2775"/>
  <c r="E2775"/>
  <c r="B2776"/>
  <c r="E2776"/>
  <c r="B2777"/>
  <c r="E2777"/>
  <c r="B2778"/>
  <c r="E2778"/>
  <c r="B2779"/>
  <c r="E2779"/>
  <c r="B2780"/>
  <c r="E2780"/>
  <c r="B2781"/>
  <c r="E2781"/>
  <c r="B2782"/>
  <c r="E2782"/>
  <c r="B2783"/>
  <c r="E2783"/>
  <c r="B2784"/>
  <c r="E2784"/>
  <c r="B2785"/>
  <c r="E2785"/>
  <c r="B2786"/>
  <c r="E2786"/>
  <c r="B2787"/>
  <c r="E2787"/>
  <c r="B2788"/>
  <c r="E2788"/>
  <c r="B2789"/>
  <c r="E2789"/>
  <c r="B2790"/>
  <c r="E2790"/>
  <c r="B2791"/>
  <c r="E2791"/>
  <c r="B2792"/>
  <c r="E2792"/>
  <c r="B2793"/>
  <c r="E2793"/>
  <c r="B2794"/>
  <c r="E2794"/>
  <c r="B2795"/>
  <c r="E2795"/>
  <c r="B2796"/>
  <c r="E2796"/>
  <c r="B2797"/>
  <c r="E2797"/>
  <c r="B2798"/>
  <c r="E2798"/>
  <c r="B2799"/>
  <c r="E2799"/>
  <c r="B2800"/>
  <c r="E2800"/>
  <c r="B2801"/>
  <c r="E2801"/>
  <c r="B2802"/>
  <c r="E2802"/>
  <c r="B2803"/>
  <c r="E2803"/>
  <c r="B2804"/>
  <c r="E2804"/>
  <c r="B2805"/>
  <c r="E2805"/>
  <c r="B2806"/>
  <c r="E2806"/>
  <c r="B2807"/>
  <c r="E2807"/>
  <c r="B2808"/>
  <c r="E2808"/>
  <c r="B2809"/>
  <c r="E2809"/>
  <c r="B2810"/>
  <c r="E2810"/>
  <c r="B2811"/>
  <c r="E2811"/>
  <c r="B2812"/>
  <c r="E2812"/>
  <c r="B2813"/>
  <c r="E2813"/>
  <c r="B2814"/>
  <c r="E2814"/>
  <c r="B2815"/>
  <c r="E2815"/>
  <c r="B2816"/>
  <c r="E2816"/>
  <c r="B2817"/>
  <c r="E2817"/>
  <c r="B2818"/>
  <c r="E2818"/>
  <c r="B2819"/>
  <c r="E2819"/>
  <c r="B2820"/>
  <c r="E2820"/>
  <c r="B2821"/>
  <c r="E2821"/>
  <c r="B2822"/>
  <c r="E2822"/>
  <c r="B2823"/>
  <c r="E2823"/>
  <c r="B2824"/>
  <c r="E2824"/>
  <c r="B2825"/>
  <c r="E2825"/>
  <c r="B2826"/>
  <c r="E2826"/>
  <c r="B2827"/>
  <c r="E2827"/>
  <c r="B2828"/>
  <c r="E2828"/>
  <c r="B2829"/>
  <c r="E2829"/>
  <c r="B2830"/>
  <c r="E2830"/>
  <c r="B2831"/>
  <c r="E2831"/>
  <c r="B2832"/>
  <c r="E2832"/>
  <c r="B2833"/>
  <c r="E2833"/>
  <c r="B2834"/>
  <c r="E2834"/>
  <c r="B2835"/>
  <c r="E2835"/>
  <c r="B2836"/>
  <c r="E2836"/>
  <c r="B2837"/>
  <c r="E2837"/>
  <c r="B2838"/>
  <c r="E2838"/>
  <c r="B2839"/>
  <c r="E2839"/>
  <c r="B2840"/>
  <c r="E2840"/>
  <c r="B2841"/>
  <c r="E2841"/>
  <c r="B2842"/>
  <c r="E2842"/>
  <c r="B2843"/>
  <c r="E2843"/>
  <c r="B2844"/>
  <c r="E2844"/>
  <c r="B2845"/>
  <c r="E2845"/>
  <c r="B2846"/>
  <c r="E2846"/>
  <c r="B2847"/>
  <c r="E2847"/>
  <c r="B2848"/>
  <c r="E2848"/>
  <c r="B2849"/>
  <c r="E2849"/>
  <c r="B2850"/>
  <c r="E2850"/>
  <c r="B2851"/>
  <c r="E2851"/>
  <c r="B2852"/>
  <c r="E2852"/>
  <c r="B2853"/>
  <c r="E2853"/>
  <c r="B2854"/>
  <c r="E2854"/>
  <c r="B2855"/>
  <c r="E2855"/>
  <c r="B2856"/>
  <c r="E2856"/>
  <c r="B2857"/>
  <c r="E2857"/>
  <c r="B2858"/>
  <c r="E2858"/>
  <c r="B2859"/>
  <c r="E2859"/>
  <c r="B2860"/>
  <c r="E2860"/>
  <c r="B2861"/>
  <c r="E2861"/>
  <c r="B2862"/>
  <c r="E2862"/>
  <c r="B2863"/>
  <c r="E2863"/>
  <c r="B2864"/>
  <c r="E2864"/>
  <c r="B2865"/>
  <c r="E2865"/>
  <c r="B2866"/>
  <c r="E2866"/>
  <c r="B2867"/>
  <c r="E2867"/>
  <c r="B2868"/>
  <c r="E2868"/>
  <c r="B2869"/>
  <c r="E2869"/>
  <c r="B2870"/>
  <c r="E2870"/>
  <c r="B2871"/>
  <c r="E2871"/>
  <c r="B2872"/>
  <c r="E2872"/>
  <c r="B2873"/>
  <c r="E2873"/>
  <c r="B2874"/>
  <c r="E2874"/>
  <c r="B2875"/>
  <c r="E2875"/>
  <c r="B2876"/>
  <c r="E2876"/>
  <c r="B2877"/>
  <c r="E2877"/>
  <c r="B2878"/>
  <c r="E2878"/>
  <c r="B2879"/>
  <c r="E2879"/>
  <c r="B2880"/>
  <c r="E2880"/>
  <c r="B2881"/>
  <c r="E2881"/>
  <c r="B2882"/>
  <c r="E2882"/>
  <c r="B2883"/>
  <c r="E2883"/>
  <c r="B2884"/>
  <c r="E2884"/>
  <c r="B2885"/>
  <c r="E2885"/>
  <c r="B2886"/>
  <c r="E2886"/>
  <c r="B2887"/>
  <c r="E2887"/>
  <c r="B2888"/>
  <c r="E2888"/>
  <c r="B2889"/>
  <c r="E2889"/>
  <c r="B2890"/>
  <c r="E2890"/>
  <c r="B2891"/>
  <c r="E2891"/>
  <c r="B2892"/>
  <c r="E2892"/>
  <c r="B2893"/>
  <c r="E2893"/>
  <c r="B2894"/>
  <c r="E2894"/>
  <c r="B2895"/>
  <c r="E2895"/>
  <c r="B2896"/>
  <c r="E2896"/>
  <c r="B2897"/>
  <c r="E2897"/>
  <c r="B2898"/>
  <c r="E2898"/>
  <c r="B2899"/>
  <c r="E2899"/>
  <c r="B2900"/>
  <c r="E2900"/>
  <c r="B2901"/>
  <c r="E2901"/>
  <c r="B2902"/>
  <c r="E2902"/>
  <c r="B2903"/>
  <c r="E2903"/>
  <c r="B2904"/>
  <c r="E2904"/>
  <c r="B2905"/>
  <c r="E2905"/>
  <c r="B2906"/>
  <c r="E2906"/>
  <c r="B2907"/>
  <c r="E2907"/>
  <c r="B2908"/>
  <c r="E2908"/>
  <c r="B2909"/>
  <c r="E2909"/>
  <c r="B2910"/>
  <c r="E2910"/>
  <c r="B2911"/>
  <c r="E2911"/>
  <c r="B2912"/>
  <c r="E2912"/>
  <c r="B2913"/>
  <c r="E2913"/>
  <c r="B2914"/>
  <c r="E2914"/>
  <c r="B2915"/>
  <c r="E2915"/>
  <c r="B2916"/>
  <c r="E2916"/>
  <c r="B2917"/>
  <c r="E2917"/>
  <c r="B2918"/>
  <c r="E2918"/>
  <c r="B2919"/>
  <c r="E2919"/>
  <c r="B2920"/>
  <c r="E2920"/>
  <c r="B2921"/>
  <c r="E2921"/>
  <c r="B2922"/>
  <c r="E2922"/>
  <c r="B2923"/>
  <c r="E2923"/>
  <c r="B2924"/>
  <c r="E2924"/>
  <c r="B2925"/>
  <c r="E2925"/>
  <c r="B2926"/>
  <c r="E2926"/>
  <c r="B2927"/>
  <c r="E2927"/>
  <c r="B2928"/>
  <c r="E2928"/>
  <c r="B2929"/>
  <c r="E2929"/>
  <c r="B2930"/>
  <c r="E2930"/>
  <c r="B2931"/>
  <c r="E2931"/>
  <c r="B2932"/>
  <c r="E2932"/>
  <c r="B2933"/>
  <c r="E2933"/>
  <c r="B2934"/>
  <c r="E2934"/>
  <c r="B2935"/>
  <c r="E2935"/>
  <c r="B2936"/>
  <c r="E2936"/>
  <c r="B2937"/>
  <c r="E2937"/>
  <c r="B2938"/>
  <c r="E2938"/>
  <c r="B2939"/>
  <c r="E2939"/>
  <c r="B2940"/>
  <c r="E2940"/>
  <c r="B2941"/>
  <c r="E2941"/>
  <c r="B2942"/>
  <c r="E2942"/>
  <c r="B2943"/>
  <c r="E2943"/>
  <c r="B2944"/>
  <c r="E2944"/>
  <c r="B2945"/>
  <c r="E2945"/>
  <c r="B2946"/>
  <c r="E2946"/>
  <c r="B2947"/>
  <c r="E2947"/>
  <c r="B2948"/>
  <c r="E2948"/>
  <c r="B2949"/>
  <c r="E2949"/>
  <c r="B2950"/>
  <c r="E2950"/>
  <c r="B2951"/>
  <c r="E2951"/>
  <c r="B2952"/>
  <c r="E2952"/>
  <c r="B2953"/>
  <c r="E2953"/>
  <c r="B2954"/>
  <c r="E2954"/>
  <c r="B2955"/>
  <c r="E2955"/>
  <c r="B2956"/>
  <c r="E2956"/>
  <c r="B2957"/>
  <c r="E2957"/>
  <c r="B2958"/>
  <c r="E2958"/>
  <c r="B2959"/>
  <c r="E2959"/>
  <c r="B2960"/>
  <c r="E2960"/>
  <c r="B2961"/>
  <c r="E2961"/>
  <c r="B2962"/>
  <c r="E2962"/>
  <c r="B2963"/>
  <c r="E2963"/>
  <c r="B2964"/>
  <c r="E2964"/>
  <c r="B2965"/>
  <c r="E2965"/>
  <c r="B2966"/>
  <c r="E2966"/>
  <c r="B2967"/>
  <c r="E2967"/>
  <c r="B2968"/>
  <c r="E2968"/>
  <c r="B2969"/>
  <c r="E2969"/>
  <c r="B2970"/>
  <c r="E2970"/>
  <c r="B2971"/>
  <c r="E2971"/>
  <c r="B2972"/>
  <c r="E2972"/>
  <c r="B2973"/>
  <c r="E2973"/>
  <c r="B2974"/>
  <c r="E2974"/>
  <c r="B2975"/>
  <c r="E2975"/>
  <c r="B2976"/>
  <c r="E2976"/>
  <c r="B2977"/>
  <c r="E2977"/>
  <c r="B2978"/>
  <c r="E2978"/>
  <c r="B2979"/>
  <c r="E2979"/>
  <c r="B2980"/>
  <c r="E2980"/>
  <c r="B2981"/>
  <c r="E2981"/>
  <c r="B2982"/>
  <c r="E2982"/>
  <c r="B2983"/>
  <c r="E2983"/>
  <c r="B2984"/>
  <c r="E2984"/>
  <c r="B2985"/>
  <c r="E2985"/>
  <c r="B2986"/>
  <c r="E2986"/>
  <c r="B2987"/>
  <c r="E2987"/>
  <c r="B2988"/>
  <c r="E2988"/>
  <c r="B2989"/>
  <c r="E2989"/>
  <c r="B2990"/>
  <c r="E2990"/>
  <c r="B2991"/>
  <c r="E2991"/>
  <c r="B2992"/>
  <c r="E2992"/>
  <c r="B2993"/>
  <c r="E2993"/>
  <c r="B2994"/>
  <c r="E2994"/>
  <c r="B2995"/>
  <c r="E2995"/>
  <c r="B2996"/>
  <c r="E2996"/>
  <c r="B2997"/>
  <c r="E2997"/>
  <c r="B2998"/>
  <c r="E2998"/>
  <c r="B2999"/>
  <c r="E2999"/>
  <c r="B3000"/>
  <c r="E3000"/>
  <c r="B3001"/>
  <c r="E3001"/>
  <c r="B3002"/>
  <c r="E3002"/>
  <c r="B3003"/>
  <c r="E3003"/>
  <c r="B3004"/>
  <c r="E3004"/>
  <c r="B3005"/>
  <c r="E3005"/>
  <c r="B3006"/>
  <c r="E3006"/>
  <c r="B3007"/>
  <c r="E3007"/>
  <c r="B3008"/>
  <c r="E3008"/>
  <c r="B3009"/>
  <c r="E3009"/>
  <c r="B3010"/>
  <c r="E3010"/>
  <c r="B3011"/>
  <c r="E3011"/>
  <c r="B3012"/>
  <c r="E3012"/>
  <c r="B3013"/>
  <c r="E3013"/>
  <c r="B3014"/>
  <c r="E3014"/>
  <c r="B3015"/>
  <c r="E3015"/>
  <c r="B3016"/>
  <c r="E3016"/>
  <c r="B3017"/>
  <c r="E3017"/>
  <c r="B3018"/>
  <c r="E3018"/>
  <c r="B3019"/>
  <c r="E3019"/>
  <c r="B3020"/>
  <c r="E3020"/>
  <c r="B3021"/>
  <c r="E3021"/>
  <c r="B3022"/>
  <c r="E3022"/>
  <c r="B3023"/>
  <c r="E3023"/>
  <c r="B3024"/>
  <c r="E3024"/>
  <c r="B3025"/>
  <c r="E3025"/>
  <c r="B3026"/>
  <c r="E3026"/>
  <c r="B3027"/>
  <c r="E3027"/>
  <c r="B3028"/>
  <c r="E3028"/>
  <c r="B3029"/>
  <c r="E3029"/>
  <c r="B3030"/>
  <c r="E3030"/>
  <c r="B3031"/>
  <c r="E3031"/>
  <c r="B3032"/>
  <c r="E3032"/>
  <c r="B3033"/>
  <c r="E3033"/>
  <c r="B3034"/>
  <c r="E3034"/>
  <c r="B3035"/>
  <c r="E3035"/>
  <c r="B3036"/>
  <c r="E3036"/>
  <c r="B3037"/>
  <c r="E3037"/>
  <c r="B3038"/>
  <c r="E3038"/>
  <c r="B3039"/>
  <c r="E3039"/>
  <c r="B3040"/>
  <c r="E3040"/>
  <c r="B3041"/>
  <c r="E3041"/>
  <c r="B3042"/>
  <c r="E3042"/>
  <c r="B3043"/>
  <c r="E3043"/>
  <c r="B3044"/>
  <c r="E3044"/>
  <c r="B3045"/>
  <c r="E3045"/>
  <c r="B3046"/>
  <c r="E3046"/>
  <c r="B3047"/>
  <c r="E3047"/>
  <c r="B3048"/>
  <c r="E3048"/>
  <c r="B3049"/>
  <c r="E3049"/>
  <c r="B3050"/>
  <c r="E3050"/>
  <c r="B3051"/>
  <c r="E3051"/>
  <c r="B3052"/>
  <c r="E3052"/>
  <c r="B3053"/>
  <c r="E3053"/>
  <c r="B3054"/>
  <c r="E3054"/>
  <c r="B3055"/>
  <c r="E3055"/>
  <c r="B3056"/>
  <c r="E3056"/>
  <c r="B3057"/>
  <c r="E3057"/>
  <c r="B3058"/>
  <c r="E3058"/>
  <c r="B3059"/>
  <c r="E3059"/>
  <c r="B3060"/>
  <c r="E3060"/>
  <c r="B3061"/>
  <c r="E3061"/>
  <c r="B3062"/>
  <c r="E3062"/>
  <c r="B3063"/>
  <c r="E3063"/>
  <c r="B3064"/>
  <c r="E3064"/>
  <c r="B3065"/>
  <c r="E3065"/>
  <c r="B3066"/>
  <c r="E3066"/>
  <c r="B3067"/>
  <c r="E3067"/>
  <c r="B3068"/>
  <c r="E3068"/>
  <c r="B3069"/>
  <c r="E3069"/>
  <c r="B3070"/>
  <c r="E3070"/>
  <c r="B3071"/>
  <c r="E3071"/>
  <c r="B3072"/>
  <c r="E3072"/>
  <c r="B3073"/>
  <c r="E3073"/>
  <c r="B3074"/>
  <c r="E3074"/>
  <c r="B3075"/>
  <c r="E3075"/>
  <c r="B3076"/>
  <c r="E3076"/>
  <c r="B3077"/>
  <c r="E3077"/>
  <c r="B3078"/>
  <c r="E3078"/>
  <c r="B3079"/>
  <c r="E3079"/>
  <c r="B3080"/>
  <c r="E3080"/>
  <c r="B3081"/>
  <c r="E3081"/>
  <c r="B3082"/>
  <c r="E3082"/>
  <c r="B3083"/>
  <c r="E3083"/>
  <c r="B3084"/>
  <c r="E3084"/>
  <c r="B3085"/>
  <c r="E3085"/>
  <c r="B3086"/>
  <c r="E3086"/>
  <c r="B3087"/>
  <c r="E3087"/>
  <c r="B3088"/>
  <c r="E3088"/>
  <c r="B3089"/>
  <c r="E3089"/>
  <c r="B3090"/>
  <c r="E3090"/>
  <c r="B3091"/>
  <c r="E3091"/>
  <c r="B3092"/>
  <c r="E3092"/>
  <c r="B3093"/>
  <c r="E3093"/>
  <c r="B3094"/>
  <c r="E3094"/>
  <c r="B3095"/>
  <c r="E3095"/>
  <c r="B3096"/>
  <c r="E3096"/>
  <c r="B3097"/>
  <c r="E3097"/>
  <c r="B3098"/>
  <c r="E3098"/>
  <c r="B3099"/>
  <c r="E3099"/>
  <c r="B3100"/>
  <c r="E3100"/>
  <c r="B3101"/>
  <c r="E3101"/>
  <c r="B3102"/>
  <c r="E3102"/>
  <c r="B3103"/>
  <c r="E3103"/>
  <c r="B3104"/>
  <c r="E3104"/>
  <c r="B3105"/>
  <c r="E3105"/>
  <c r="B3106"/>
  <c r="E3106"/>
  <c r="B3107"/>
  <c r="E3107"/>
  <c r="B3108"/>
  <c r="E3108"/>
  <c r="B3109"/>
  <c r="E3109"/>
  <c r="B3110"/>
  <c r="E3110"/>
  <c r="B3111"/>
  <c r="E3111"/>
  <c r="B3112"/>
  <c r="E3112"/>
  <c r="B3113"/>
  <c r="E3113"/>
  <c r="B3114"/>
  <c r="E3114"/>
  <c r="B3115"/>
  <c r="E3115"/>
  <c r="B3116"/>
  <c r="E3116"/>
  <c r="B3117"/>
  <c r="E3117"/>
  <c r="B3118"/>
  <c r="E3118"/>
  <c r="B3119"/>
  <c r="E3119"/>
  <c r="B3120"/>
  <c r="E3120"/>
  <c r="B3121"/>
  <c r="E3121"/>
  <c r="B3122"/>
  <c r="E3122"/>
  <c r="B3123"/>
  <c r="E3123"/>
  <c r="B3124"/>
  <c r="E3124"/>
  <c r="B3125"/>
  <c r="E3125"/>
  <c r="B3126"/>
  <c r="E3126"/>
  <c r="B3127"/>
  <c r="E3127"/>
  <c r="B3128"/>
  <c r="E3128"/>
  <c r="B3129"/>
  <c r="E3129"/>
  <c r="B3130"/>
  <c r="E3130"/>
  <c r="B3131"/>
  <c r="E3131"/>
  <c r="B3132"/>
  <c r="E3132"/>
  <c r="B3133"/>
  <c r="E3133"/>
  <c r="B3134"/>
  <c r="E3134"/>
  <c r="B3135"/>
  <c r="E3135"/>
  <c r="B3136"/>
  <c r="E3136"/>
  <c r="B3137"/>
  <c r="E3137"/>
  <c r="B3138"/>
  <c r="E3138"/>
  <c r="B3139"/>
  <c r="E3139"/>
  <c r="B3140"/>
  <c r="E3140"/>
  <c r="B3141"/>
  <c r="E3141"/>
  <c r="B3142"/>
  <c r="E3142"/>
  <c r="B3143"/>
  <c r="E3143"/>
  <c r="B3144"/>
  <c r="E3144"/>
  <c r="B3145"/>
  <c r="E3145"/>
  <c r="B3146"/>
  <c r="E3146"/>
  <c r="B3147"/>
  <c r="E3147"/>
  <c r="B3148"/>
  <c r="E3148"/>
  <c r="B3149"/>
  <c r="E3149"/>
  <c r="B3150"/>
  <c r="E3150"/>
  <c r="B3151"/>
  <c r="E3151"/>
  <c r="B3152"/>
  <c r="E3152"/>
  <c r="B3153"/>
  <c r="E3153"/>
  <c r="B3154"/>
  <c r="E3154"/>
  <c r="B3155"/>
  <c r="E3155"/>
  <c r="B3156"/>
  <c r="E3156"/>
  <c r="B3157"/>
  <c r="E3157"/>
  <c r="B3158"/>
  <c r="E3158"/>
  <c r="B3159"/>
  <c r="E3159"/>
  <c r="B3160"/>
  <c r="E3160"/>
  <c r="B3161"/>
  <c r="E3161"/>
  <c r="B3162"/>
  <c r="E3162"/>
  <c r="B3163"/>
  <c r="E3163"/>
  <c r="B3164"/>
  <c r="E3164"/>
  <c r="B3165"/>
  <c r="E3165"/>
  <c r="B3166"/>
  <c r="E3166"/>
  <c r="B3167"/>
  <c r="E3167"/>
  <c r="B3168"/>
  <c r="E3168"/>
  <c r="B3169"/>
  <c r="E3169"/>
  <c r="B3170"/>
  <c r="E3170"/>
  <c r="B3171"/>
  <c r="E3171"/>
  <c r="B3172"/>
  <c r="E3172"/>
  <c r="B3173"/>
  <c r="E3173"/>
  <c r="B3174"/>
  <c r="E3174"/>
  <c r="B3175"/>
  <c r="E3175"/>
  <c r="B3176"/>
  <c r="E3176"/>
  <c r="B3177"/>
  <c r="E3177"/>
  <c r="B3178"/>
  <c r="E3178"/>
  <c r="B3179"/>
  <c r="E3179"/>
  <c r="B3180"/>
  <c r="E3180"/>
  <c r="B3181"/>
  <c r="E3181"/>
  <c r="B3182"/>
  <c r="E3182"/>
  <c r="B3183"/>
  <c r="E3183"/>
  <c r="B3184"/>
  <c r="E3184"/>
  <c r="B3185"/>
  <c r="E3185"/>
  <c r="B3186"/>
  <c r="E3186"/>
  <c r="B3187"/>
  <c r="E3187"/>
  <c r="B3188"/>
  <c r="E3188"/>
  <c r="B3189"/>
  <c r="E3189"/>
  <c r="B3190"/>
  <c r="E3190"/>
  <c r="B3191"/>
  <c r="E3191"/>
  <c r="B3192"/>
  <c r="E3192"/>
  <c r="B3193"/>
  <c r="E3193"/>
  <c r="B3194"/>
  <c r="E3194"/>
  <c r="B3195"/>
  <c r="E3195"/>
  <c r="B3196"/>
  <c r="E3196"/>
  <c r="B3197"/>
  <c r="E3197"/>
  <c r="B3198"/>
  <c r="E3198"/>
  <c r="B3199"/>
  <c r="E3199"/>
  <c r="B3200"/>
  <c r="E3200"/>
  <c r="B3201"/>
  <c r="E3201"/>
  <c r="B3202"/>
  <c r="E3202"/>
  <c r="B3203"/>
  <c r="E3203"/>
  <c r="B3204"/>
  <c r="E3204"/>
  <c r="B3205"/>
  <c r="E3205"/>
  <c r="B3206"/>
  <c r="E3206"/>
  <c r="B3207"/>
  <c r="E3207"/>
  <c r="B3208"/>
  <c r="E3208"/>
  <c r="B3209"/>
  <c r="E3209"/>
  <c r="B3210"/>
  <c r="E3210"/>
  <c r="B3211"/>
  <c r="E3211"/>
  <c r="B3212"/>
  <c r="E3212"/>
  <c r="B3213"/>
  <c r="E3213"/>
  <c r="B3214"/>
  <c r="E3214"/>
  <c r="B3215"/>
  <c r="E3215"/>
  <c r="B3216"/>
  <c r="E3216"/>
  <c r="B3217"/>
  <c r="E3217"/>
  <c r="B3218"/>
  <c r="E3218"/>
  <c r="B3219"/>
  <c r="E3219"/>
  <c r="B3220"/>
  <c r="E3220"/>
  <c r="B3221"/>
  <c r="E3221"/>
  <c r="B3222"/>
  <c r="E3222"/>
  <c r="B3223"/>
  <c r="E3223"/>
  <c r="B3224"/>
  <c r="E3224"/>
  <c r="B3225"/>
  <c r="E3225"/>
  <c r="B3226"/>
  <c r="E3226"/>
  <c r="B3227"/>
  <c r="E3227"/>
  <c r="B3228"/>
  <c r="E3228"/>
  <c r="B3229"/>
  <c r="E3229"/>
  <c r="B3230"/>
  <c r="E3230"/>
  <c r="B3231"/>
  <c r="E3231"/>
  <c r="B3232"/>
  <c r="E3232"/>
  <c r="B3233"/>
  <c r="E3233"/>
  <c r="B3234"/>
  <c r="E3234"/>
  <c r="B3235"/>
  <c r="E3235"/>
  <c r="B3236"/>
  <c r="E3236"/>
  <c r="B3237"/>
  <c r="E3237"/>
  <c r="B3238"/>
  <c r="E3238"/>
  <c r="B3239"/>
  <c r="E3239"/>
  <c r="B3240"/>
  <c r="E3240"/>
  <c r="B3241"/>
  <c r="E3241"/>
  <c r="B3242"/>
  <c r="E3242"/>
  <c r="B3243"/>
  <c r="E3243"/>
  <c r="B3244"/>
  <c r="E3244"/>
  <c r="B3245"/>
  <c r="E3245"/>
  <c r="B3246"/>
  <c r="E3246"/>
  <c r="B3247"/>
  <c r="E3247"/>
  <c r="B3248"/>
  <c r="E3248"/>
  <c r="B3249"/>
  <c r="E3249"/>
  <c r="B3250"/>
  <c r="E3250"/>
  <c r="B3251"/>
  <c r="E3251"/>
  <c r="B3252"/>
  <c r="E3252"/>
  <c r="B3253"/>
  <c r="E3253"/>
  <c r="B3254"/>
  <c r="E3254"/>
  <c r="B3255"/>
  <c r="E3255"/>
  <c r="B3256"/>
  <c r="E3256"/>
  <c r="B3257"/>
  <c r="E3257"/>
  <c r="B3258"/>
  <c r="E3258"/>
  <c r="B3259"/>
  <c r="E3259"/>
  <c r="B3260"/>
  <c r="E3260"/>
  <c r="B3261"/>
  <c r="E3261"/>
  <c r="B3262"/>
  <c r="E3262"/>
  <c r="B3263"/>
  <c r="E3263"/>
  <c r="B3264"/>
  <c r="E3264"/>
  <c r="B3265"/>
  <c r="E3265"/>
  <c r="B3266"/>
  <c r="E3266"/>
  <c r="B3267"/>
  <c r="E3267"/>
  <c r="B3268"/>
  <c r="E3268"/>
  <c r="B3269"/>
  <c r="E3269"/>
  <c r="B3270"/>
  <c r="E3270"/>
  <c r="B3271"/>
  <c r="E3271"/>
  <c r="B3272"/>
  <c r="E3272"/>
  <c r="B3273"/>
  <c r="E3273"/>
  <c r="B3274"/>
  <c r="E3274"/>
  <c r="B3275"/>
  <c r="E3275"/>
  <c r="B3276"/>
  <c r="E3276"/>
  <c r="B3277"/>
  <c r="E3277"/>
  <c r="B3278"/>
  <c r="E3278"/>
  <c r="B3279"/>
  <c r="E3279"/>
  <c r="B3280"/>
  <c r="E3280"/>
  <c r="B3281"/>
  <c r="E3281"/>
  <c r="B3282"/>
  <c r="E3282"/>
  <c r="B3283"/>
  <c r="E3283"/>
  <c r="B3284"/>
  <c r="E3284"/>
  <c r="B3285"/>
  <c r="E3285"/>
  <c r="B3286"/>
  <c r="E3286"/>
  <c r="B3287"/>
  <c r="E3287"/>
  <c r="B3288"/>
  <c r="E3288"/>
  <c r="B3289"/>
  <c r="E3289"/>
  <c r="B3290"/>
  <c r="E3290"/>
  <c r="B3291"/>
  <c r="E3291"/>
  <c r="B3292"/>
  <c r="E3292"/>
  <c r="B3293"/>
  <c r="E3293"/>
  <c r="B3294"/>
  <c r="E3294"/>
  <c r="B3295"/>
  <c r="E3295"/>
  <c r="B3296"/>
  <c r="E3296"/>
  <c r="B3297"/>
  <c r="E3297"/>
  <c r="B3298"/>
  <c r="E3298"/>
  <c r="B3299"/>
  <c r="E3299"/>
  <c r="B3300"/>
  <c r="E3300"/>
  <c r="B3301"/>
  <c r="E3301"/>
  <c r="B3302"/>
  <c r="E3302"/>
  <c r="B3303"/>
  <c r="E3303"/>
  <c r="B3304"/>
  <c r="E3304"/>
  <c r="B3305"/>
  <c r="E3305"/>
  <c r="B3306"/>
  <c r="E3306"/>
  <c r="B3307"/>
  <c r="E3307"/>
  <c r="B3308"/>
  <c r="E3308"/>
  <c r="B3309"/>
  <c r="E3309"/>
  <c r="B3310"/>
  <c r="E3310"/>
  <c r="B3311"/>
  <c r="E3311"/>
  <c r="B3312"/>
  <c r="E3312"/>
  <c r="B3313"/>
  <c r="E3313"/>
  <c r="B3314"/>
  <c r="E3314"/>
  <c r="B3315"/>
  <c r="E3315"/>
  <c r="B3316"/>
  <c r="E3316"/>
  <c r="B3317"/>
  <c r="E3317"/>
  <c r="B3318"/>
  <c r="E3318"/>
  <c r="B3319"/>
  <c r="E3319"/>
  <c r="B3320"/>
  <c r="E3320"/>
  <c r="B3321"/>
  <c r="E3321"/>
  <c r="B3322"/>
  <c r="E3322"/>
  <c r="B3323"/>
  <c r="E3323"/>
  <c r="B3324"/>
  <c r="E3324"/>
  <c r="B3325"/>
  <c r="E3325"/>
  <c r="B3326"/>
  <c r="E3326"/>
  <c r="B3327"/>
  <c r="E3327"/>
  <c r="B3328"/>
  <c r="E3328"/>
  <c r="B3329"/>
  <c r="E3329"/>
  <c r="B3330"/>
  <c r="E3330"/>
  <c r="B3331"/>
  <c r="E3331"/>
  <c r="B3332"/>
  <c r="E3332"/>
  <c r="B3333"/>
  <c r="E3333"/>
  <c r="B3334"/>
  <c r="E3334"/>
  <c r="B3335"/>
  <c r="E3335"/>
  <c r="B3336"/>
  <c r="E3336"/>
  <c r="B3337"/>
  <c r="E3337"/>
  <c r="B3338"/>
  <c r="E3338"/>
  <c r="B3339"/>
  <c r="E3339"/>
  <c r="B3340"/>
  <c r="E3340"/>
  <c r="B3341"/>
  <c r="E3341"/>
  <c r="B3342"/>
  <c r="E3342"/>
  <c r="B3343"/>
  <c r="E3343"/>
  <c r="B3344"/>
  <c r="E3344"/>
  <c r="B3345"/>
  <c r="E3345"/>
  <c r="B3346"/>
  <c r="E3346"/>
  <c r="B3347"/>
  <c r="E3347"/>
  <c r="B3348"/>
  <c r="E3348"/>
  <c r="B3349"/>
  <c r="E3349"/>
  <c r="B3350"/>
  <c r="E3350"/>
  <c r="B3351"/>
  <c r="E3351"/>
  <c r="B3352"/>
  <c r="E3352"/>
  <c r="B3353"/>
  <c r="E3353"/>
  <c r="B3354"/>
  <c r="E3354"/>
  <c r="B3355"/>
  <c r="E3355"/>
  <c r="B3356"/>
  <c r="E3356"/>
  <c r="B3357"/>
  <c r="E3357"/>
  <c r="B3358"/>
  <c r="E3358"/>
  <c r="B3359"/>
  <c r="E3359"/>
  <c r="B3360"/>
  <c r="E3360"/>
  <c r="B3361"/>
  <c r="E3361"/>
  <c r="B3362"/>
  <c r="E3362"/>
  <c r="B3363"/>
  <c r="E3363"/>
  <c r="B3364"/>
  <c r="E3364"/>
  <c r="B3365"/>
  <c r="E3365"/>
  <c r="B3366"/>
  <c r="E3366"/>
  <c r="B3367"/>
  <c r="E3367"/>
  <c r="B3368"/>
  <c r="E3368"/>
  <c r="B3369"/>
  <c r="E3369"/>
  <c r="B3370"/>
  <c r="E3370"/>
  <c r="B3371"/>
  <c r="E3371"/>
  <c r="B3372"/>
  <c r="E3372"/>
  <c r="B3373"/>
  <c r="E3373"/>
  <c r="B3374"/>
  <c r="E3374"/>
  <c r="B3375"/>
  <c r="E3375"/>
  <c r="B3376"/>
  <c r="E3376"/>
  <c r="B3377"/>
  <c r="E3377"/>
  <c r="B3378"/>
  <c r="E3378"/>
  <c r="B3379"/>
  <c r="E3379"/>
  <c r="B3380"/>
  <c r="E3380"/>
  <c r="B3381"/>
  <c r="E3381"/>
  <c r="B3382"/>
  <c r="E3382"/>
  <c r="B3383"/>
  <c r="E3383"/>
  <c r="B3384"/>
  <c r="E3384"/>
  <c r="B3385"/>
  <c r="E3385"/>
  <c r="B3386"/>
  <c r="E3386"/>
  <c r="B3387"/>
  <c r="E3387"/>
  <c r="B3388"/>
  <c r="E3388"/>
  <c r="B3389"/>
  <c r="E3389"/>
  <c r="B3390"/>
  <c r="E3390"/>
  <c r="B3391"/>
  <c r="E3391"/>
  <c r="B3392"/>
  <c r="E3392"/>
  <c r="B3393"/>
  <c r="E3393"/>
  <c r="B3394"/>
  <c r="E3394"/>
  <c r="B3395"/>
  <c r="E3395"/>
  <c r="B3396"/>
  <c r="E3396"/>
  <c r="B3397"/>
  <c r="E3397"/>
  <c r="B3398"/>
  <c r="E3398"/>
  <c r="B3399"/>
  <c r="E3399"/>
  <c r="B3400"/>
  <c r="E3400"/>
  <c r="B3401"/>
  <c r="E3401"/>
  <c r="B3402"/>
  <c r="E3402"/>
  <c r="B3403"/>
  <c r="E3403"/>
  <c r="B3404"/>
  <c r="E3404"/>
  <c r="B3405"/>
  <c r="E3405"/>
  <c r="B3406"/>
  <c r="E3406"/>
  <c r="B3407"/>
  <c r="E3407"/>
  <c r="B3408"/>
  <c r="E3408"/>
  <c r="B3409"/>
  <c r="E3409"/>
  <c r="B3410"/>
  <c r="E3410"/>
  <c r="B3411"/>
  <c r="E3411"/>
  <c r="B3412"/>
  <c r="E3412"/>
  <c r="B3413"/>
  <c r="E3413"/>
  <c r="B3414"/>
  <c r="E3414"/>
  <c r="B3415"/>
  <c r="E3415"/>
  <c r="B3416"/>
  <c r="E3416"/>
  <c r="B3417"/>
  <c r="E3417"/>
  <c r="B3418"/>
  <c r="E3418"/>
  <c r="B3419"/>
  <c r="E3419"/>
  <c r="B3420"/>
  <c r="E3420"/>
  <c r="B3421"/>
  <c r="E3421"/>
  <c r="B3422"/>
  <c r="E3422"/>
  <c r="B3423"/>
  <c r="E3423"/>
  <c r="B3424"/>
  <c r="E3424"/>
  <c r="B3425"/>
  <c r="E3425"/>
  <c r="B3426"/>
  <c r="E3426"/>
  <c r="B3427"/>
  <c r="E3427"/>
  <c r="B3428"/>
  <c r="E3428"/>
  <c r="B3429"/>
  <c r="E3429"/>
  <c r="B3430"/>
  <c r="E3430"/>
  <c r="B3431"/>
  <c r="E3431"/>
  <c r="B3432"/>
  <c r="E3432"/>
  <c r="B3433"/>
  <c r="E3433"/>
  <c r="B3434"/>
  <c r="E3434"/>
  <c r="B3435"/>
  <c r="E3435"/>
  <c r="B3436"/>
  <c r="E3436"/>
  <c r="B3437"/>
  <c r="E3437"/>
  <c r="B3438"/>
  <c r="E3438"/>
  <c r="B3439"/>
  <c r="E3439"/>
  <c r="B3440"/>
  <c r="E3440"/>
  <c r="B3441"/>
  <c r="E3441"/>
  <c r="B3442"/>
  <c r="E3442"/>
  <c r="B3443"/>
  <c r="E3443"/>
  <c r="B3444"/>
  <c r="E3444"/>
  <c r="B3445"/>
  <c r="E3445"/>
  <c r="B3446"/>
  <c r="E3446"/>
  <c r="B3447"/>
  <c r="E3447"/>
  <c r="B3448"/>
  <c r="E3448"/>
  <c r="B3449"/>
  <c r="E3449"/>
  <c r="B3450"/>
  <c r="E3450"/>
  <c r="B3451"/>
  <c r="E3451"/>
  <c r="B3452"/>
  <c r="E3452"/>
  <c r="B3453"/>
  <c r="E3453"/>
  <c r="B3454"/>
  <c r="E3454"/>
  <c r="B3455"/>
  <c r="E3455"/>
  <c r="B3456"/>
  <c r="E3456"/>
  <c r="B3457"/>
  <c r="E3457"/>
  <c r="B3458"/>
  <c r="E3458"/>
  <c r="B3459"/>
  <c r="E3459"/>
  <c r="B3460"/>
  <c r="E3460"/>
  <c r="B3461"/>
  <c r="E3461"/>
  <c r="B3462"/>
  <c r="E3462"/>
  <c r="B3463"/>
  <c r="E3463"/>
  <c r="B3464"/>
  <c r="E3464"/>
  <c r="B3465"/>
  <c r="E3465"/>
  <c r="B3466"/>
  <c r="E3466"/>
  <c r="B3467"/>
  <c r="E3467"/>
  <c r="B3468"/>
  <c r="E3468"/>
  <c r="B3469"/>
  <c r="E3469"/>
  <c r="B3470"/>
  <c r="E3470"/>
  <c r="B3471"/>
  <c r="E3471"/>
  <c r="B3472"/>
  <c r="E3472"/>
  <c r="B3473"/>
  <c r="E3473"/>
  <c r="B3474"/>
  <c r="E3474"/>
  <c r="B3475"/>
  <c r="E3475"/>
  <c r="B3476"/>
  <c r="E3476"/>
  <c r="B3477"/>
  <c r="E3477"/>
  <c r="B3478"/>
  <c r="E3478"/>
  <c r="B3479"/>
  <c r="E3479"/>
  <c r="B3480"/>
  <c r="E3480"/>
  <c r="B3481"/>
  <c r="E3481"/>
  <c r="B3482"/>
  <c r="E3482"/>
  <c r="B3483"/>
  <c r="E3483"/>
  <c r="B3484"/>
  <c r="E3484"/>
  <c r="B3485"/>
  <c r="E3485"/>
  <c r="B3486"/>
  <c r="E3486"/>
  <c r="B3487"/>
  <c r="E3487"/>
  <c r="B3488"/>
  <c r="E3488"/>
  <c r="B3489"/>
  <c r="E3489"/>
  <c r="B3490"/>
  <c r="E3490"/>
  <c r="B3491"/>
  <c r="E3491"/>
  <c r="B3492"/>
  <c r="E3492"/>
  <c r="B3493"/>
  <c r="E3493"/>
  <c r="B3494"/>
  <c r="E3494"/>
  <c r="B3495"/>
  <c r="E3495"/>
  <c r="B3496"/>
  <c r="E3496"/>
  <c r="B3497"/>
  <c r="E3497"/>
  <c r="B3498"/>
  <c r="E3498"/>
  <c r="B3499"/>
  <c r="E3499"/>
  <c r="B3500"/>
  <c r="E3500"/>
  <c r="B3501"/>
  <c r="E3501"/>
  <c r="B3502"/>
  <c r="E3502"/>
  <c r="B3503"/>
  <c r="E3503"/>
  <c r="B3504"/>
  <c r="E3504"/>
  <c r="B3505"/>
  <c r="E3505"/>
  <c r="B3506"/>
  <c r="E3506"/>
  <c r="B3507"/>
  <c r="E3507"/>
  <c r="B3508"/>
  <c r="E3508"/>
  <c r="B3509"/>
  <c r="E3509"/>
  <c r="B3510"/>
  <c r="E3510"/>
  <c r="B3511"/>
  <c r="E3511"/>
  <c r="B3512"/>
  <c r="E3512"/>
  <c r="B3513"/>
  <c r="E3513"/>
  <c r="B3514"/>
  <c r="E3514"/>
  <c r="B3515"/>
  <c r="E3515"/>
  <c r="B3516"/>
  <c r="E3516"/>
  <c r="B3517"/>
  <c r="E3517"/>
  <c r="B3518"/>
  <c r="E3518"/>
  <c r="B3519"/>
  <c r="E3519"/>
  <c r="B3520"/>
  <c r="E3520"/>
  <c r="B3521"/>
  <c r="E3521"/>
  <c r="B3522"/>
  <c r="E3522"/>
  <c r="B3523"/>
  <c r="E3523"/>
  <c r="B3524"/>
  <c r="E3524"/>
  <c r="B3525"/>
  <c r="E3525"/>
  <c r="B3526"/>
  <c r="E3526"/>
  <c r="B3527"/>
  <c r="E3527"/>
  <c r="B3528"/>
  <c r="E3528"/>
  <c r="B3529"/>
  <c r="E3529"/>
  <c r="B3530"/>
  <c r="E3530"/>
  <c r="B3531"/>
  <c r="E3531"/>
  <c r="B3532"/>
  <c r="E3532"/>
  <c r="B3533"/>
  <c r="E3533"/>
  <c r="B3534"/>
  <c r="E3534"/>
  <c r="B3535"/>
  <c r="E3535"/>
  <c r="B3536"/>
  <c r="E3536"/>
  <c r="B3537"/>
  <c r="E3537"/>
  <c r="B3538"/>
  <c r="E3538"/>
  <c r="B3539"/>
  <c r="E3539"/>
  <c r="B3540"/>
  <c r="E3540"/>
  <c r="B3541"/>
  <c r="E3541"/>
  <c r="B3542"/>
  <c r="E3542"/>
  <c r="B3543"/>
  <c r="E3543"/>
  <c r="B3544"/>
  <c r="E3544"/>
  <c r="B3545"/>
  <c r="E3545"/>
  <c r="B3546"/>
  <c r="E3546"/>
  <c r="B3547"/>
  <c r="E3547"/>
  <c r="B3548"/>
  <c r="E3548"/>
  <c r="B3549"/>
  <c r="E3549"/>
  <c r="B3550"/>
  <c r="E3550"/>
  <c r="B3551"/>
  <c r="E3551"/>
  <c r="B3552"/>
  <c r="E3552"/>
  <c r="B3553"/>
  <c r="E3553"/>
  <c r="B3554"/>
  <c r="E3554"/>
  <c r="B3555"/>
  <c r="E3555"/>
  <c r="B3556"/>
  <c r="E3556"/>
  <c r="B3557"/>
  <c r="E3557"/>
  <c r="B3558"/>
  <c r="E3558"/>
  <c r="B3559"/>
  <c r="E3559"/>
  <c r="B3560"/>
  <c r="E3560"/>
  <c r="B3561"/>
  <c r="E3561"/>
  <c r="B3562"/>
  <c r="E3562"/>
  <c r="B3563"/>
  <c r="E3563"/>
  <c r="B3564"/>
  <c r="E3564"/>
  <c r="B3565"/>
  <c r="E3565"/>
  <c r="B3566"/>
  <c r="E3566"/>
  <c r="B3567"/>
  <c r="E3567"/>
  <c r="B3568"/>
  <c r="E3568"/>
  <c r="B3569"/>
  <c r="E3569"/>
  <c r="B3570"/>
  <c r="E3570"/>
  <c r="B3571"/>
  <c r="E3571"/>
  <c r="B3572"/>
  <c r="E3572"/>
  <c r="B3573"/>
  <c r="E3573"/>
  <c r="B3574"/>
  <c r="E3574"/>
  <c r="B3575"/>
  <c r="E3575"/>
  <c r="B3576"/>
  <c r="E3576"/>
  <c r="B3577"/>
  <c r="E3577"/>
  <c r="B3578"/>
  <c r="E3578"/>
  <c r="B3579"/>
  <c r="E3579"/>
  <c r="B3580"/>
  <c r="E3580"/>
  <c r="B3581"/>
  <c r="E3581"/>
  <c r="B3582"/>
  <c r="E3582"/>
  <c r="B3583"/>
  <c r="E3583"/>
  <c r="B3584"/>
  <c r="E3584"/>
  <c r="B3585"/>
  <c r="E3585"/>
  <c r="B3586"/>
  <c r="E3586"/>
  <c r="B3587"/>
  <c r="E3587"/>
  <c r="B3588"/>
  <c r="E3588"/>
  <c r="B3589"/>
  <c r="E3589"/>
  <c r="B3590"/>
  <c r="E3590"/>
  <c r="B3591"/>
  <c r="E3591"/>
  <c r="B3592"/>
  <c r="E3592"/>
  <c r="B3593"/>
  <c r="E3593"/>
  <c r="B3594"/>
  <c r="E3594"/>
  <c r="B3595"/>
  <c r="E3595"/>
  <c r="B3596"/>
  <c r="E3596"/>
  <c r="B3597"/>
  <c r="E3597"/>
  <c r="B3598"/>
  <c r="E3598"/>
  <c r="B3599"/>
  <c r="E3599"/>
  <c r="B3600"/>
  <c r="E3600"/>
  <c r="B3601"/>
  <c r="E3601"/>
  <c r="B3602"/>
  <c r="E3602"/>
  <c r="B3603"/>
  <c r="E3603"/>
  <c r="B3604"/>
  <c r="E3604"/>
  <c r="B3605"/>
  <c r="E3605"/>
  <c r="B3606"/>
  <c r="E3606"/>
  <c r="B3607"/>
  <c r="E3607"/>
  <c r="B3608"/>
  <c r="E3608"/>
  <c r="B3609"/>
  <c r="E3609"/>
  <c r="B3610"/>
  <c r="E3610"/>
  <c r="B3611"/>
  <c r="E3611"/>
  <c r="B3612"/>
  <c r="E3612"/>
  <c r="B3613"/>
  <c r="E3613"/>
  <c r="B3614"/>
  <c r="E3614"/>
  <c r="B3615"/>
  <c r="E3615"/>
  <c r="B3616"/>
  <c r="E3616"/>
  <c r="B3617"/>
  <c r="E3617"/>
  <c r="B3618"/>
  <c r="E3618"/>
  <c r="B3619"/>
  <c r="E3619"/>
  <c r="B3620"/>
  <c r="E3620"/>
  <c r="B3621"/>
  <c r="E3621"/>
  <c r="B3622"/>
  <c r="E3622"/>
  <c r="B3623"/>
  <c r="E3623"/>
  <c r="B3624"/>
  <c r="E3624"/>
  <c r="B3625"/>
  <c r="E3625"/>
  <c r="B3626"/>
  <c r="E3626"/>
  <c r="B3627"/>
  <c r="E3627"/>
  <c r="B3628"/>
  <c r="E3628"/>
  <c r="B3629"/>
  <c r="E3629"/>
  <c r="B3630"/>
  <c r="E3630"/>
  <c r="B3631"/>
  <c r="E3631"/>
  <c r="B3632"/>
  <c r="E3632"/>
  <c r="B3633"/>
  <c r="E3633"/>
  <c r="B3634"/>
  <c r="E3634"/>
  <c r="B3635"/>
  <c r="E3635"/>
  <c r="B3636"/>
  <c r="E3636"/>
  <c r="B3637"/>
  <c r="E3637"/>
  <c r="B3638"/>
  <c r="E3638"/>
  <c r="B3639"/>
  <c r="E3639"/>
  <c r="B3640"/>
  <c r="E3640"/>
  <c r="B3641"/>
  <c r="E3641"/>
  <c r="B3642"/>
  <c r="E3642"/>
  <c r="B3643"/>
  <c r="E3643"/>
  <c r="B3644"/>
  <c r="E3644"/>
  <c r="B3645"/>
  <c r="E3645"/>
  <c r="B3646"/>
  <c r="E3646"/>
  <c r="B3647"/>
  <c r="E3647"/>
  <c r="B3648"/>
  <c r="E3648"/>
  <c r="B3649"/>
  <c r="E3649"/>
  <c r="B3650"/>
  <c r="E3650"/>
  <c r="B3651"/>
  <c r="E3651"/>
  <c r="B3652"/>
  <c r="E3652"/>
  <c r="B3653"/>
  <c r="E3653"/>
  <c r="B3654"/>
  <c r="E3654"/>
  <c r="B3655"/>
  <c r="E3655"/>
  <c r="B3656"/>
  <c r="E3656"/>
  <c r="B3657"/>
  <c r="E3657"/>
  <c r="B3658"/>
  <c r="E3658"/>
  <c r="B3659"/>
  <c r="E3659"/>
  <c r="B3660"/>
  <c r="E3660"/>
  <c r="B3661"/>
  <c r="E3661"/>
  <c r="B3662"/>
  <c r="E3662"/>
  <c r="B3663"/>
  <c r="E3663"/>
  <c r="B3664"/>
  <c r="E3664"/>
  <c r="B3665"/>
  <c r="E3665"/>
  <c r="B3666"/>
  <c r="E3666"/>
  <c r="B3667"/>
  <c r="E3667"/>
  <c r="B3668"/>
  <c r="E3668"/>
  <c r="B3669"/>
  <c r="E3669"/>
  <c r="B3670"/>
  <c r="E3670"/>
  <c r="B3671"/>
  <c r="E3671"/>
  <c r="B3672"/>
  <c r="E3672"/>
  <c r="B3673"/>
  <c r="E3673"/>
  <c r="B3674"/>
  <c r="E3674"/>
  <c r="B3675"/>
  <c r="E3675"/>
  <c r="B3676"/>
  <c r="E3676"/>
  <c r="B3677"/>
  <c r="E3677"/>
  <c r="B3678"/>
  <c r="E3678"/>
  <c r="B3679"/>
  <c r="E3679"/>
  <c r="B3680"/>
  <c r="E3680"/>
  <c r="B3681"/>
  <c r="E3681"/>
  <c r="B3682"/>
  <c r="E3682"/>
  <c r="B3683"/>
  <c r="E3683"/>
  <c r="B3684"/>
  <c r="E3684"/>
  <c r="B3685"/>
  <c r="E3685"/>
  <c r="B3686"/>
  <c r="E3686"/>
  <c r="B3687"/>
  <c r="E3687"/>
  <c r="B3688"/>
  <c r="E3688"/>
  <c r="B3689"/>
  <c r="E3689"/>
  <c r="B3690"/>
  <c r="E3690"/>
  <c r="B3691"/>
  <c r="E3691"/>
  <c r="B3692"/>
  <c r="E3692"/>
  <c r="B3693"/>
  <c r="E3693"/>
  <c r="B3694"/>
  <c r="E3694"/>
  <c r="B3695"/>
  <c r="E3695"/>
  <c r="B3696"/>
  <c r="E3696"/>
  <c r="B3697"/>
  <c r="E3697"/>
  <c r="B3698"/>
  <c r="E3698"/>
  <c r="B3699"/>
  <c r="E3699"/>
  <c r="B3700"/>
  <c r="E3700"/>
  <c r="B3701"/>
  <c r="E3701"/>
  <c r="B3702"/>
  <c r="E3702"/>
  <c r="B3703"/>
  <c r="E3703"/>
  <c r="B3704"/>
  <c r="E3704"/>
  <c r="B3705"/>
  <c r="E3705"/>
  <c r="B3706"/>
  <c r="E3706"/>
  <c r="B3707"/>
  <c r="E3707"/>
  <c r="B3708"/>
  <c r="E3708"/>
  <c r="B3709"/>
  <c r="E3709"/>
  <c r="B3710"/>
  <c r="E3710"/>
  <c r="B3711"/>
  <c r="E3711"/>
  <c r="B3712"/>
  <c r="E3712"/>
  <c r="B3713"/>
  <c r="E3713"/>
  <c r="B3714"/>
  <c r="E3714"/>
  <c r="B3715"/>
  <c r="E3715"/>
  <c r="B3716"/>
  <c r="E3716"/>
  <c r="B3717"/>
  <c r="E3717"/>
  <c r="B3718"/>
  <c r="E3718"/>
  <c r="B3719"/>
  <c r="E3719"/>
  <c r="B3720"/>
  <c r="E3720"/>
  <c r="B3721"/>
  <c r="E3721"/>
  <c r="B3722"/>
  <c r="E3722"/>
  <c r="B3723"/>
  <c r="E3723"/>
  <c r="B3724"/>
  <c r="E3724"/>
  <c r="B3725"/>
  <c r="E3725"/>
  <c r="B3726"/>
  <c r="E3726"/>
  <c r="B3727"/>
  <c r="E3727"/>
  <c r="B3728"/>
  <c r="E3728"/>
  <c r="B3729"/>
  <c r="E3729"/>
  <c r="B3730"/>
  <c r="E3730"/>
  <c r="B3731"/>
  <c r="E3731"/>
  <c r="B3732"/>
  <c r="E3732"/>
  <c r="B3733"/>
  <c r="E3733"/>
  <c r="B3734"/>
  <c r="E3734"/>
  <c r="B3735"/>
  <c r="E3735"/>
  <c r="B3736"/>
  <c r="E3736"/>
  <c r="B3737"/>
  <c r="E3737"/>
  <c r="B3738"/>
  <c r="E3738"/>
  <c r="B3739"/>
  <c r="E3739"/>
  <c r="B3740"/>
  <c r="E3740"/>
  <c r="B3741"/>
  <c r="E3741"/>
  <c r="B3742"/>
  <c r="E3742"/>
  <c r="B3743"/>
  <c r="E3743"/>
  <c r="B3744"/>
  <c r="E3744"/>
  <c r="B3745"/>
  <c r="E3745"/>
  <c r="B3746"/>
  <c r="E3746"/>
  <c r="B3747"/>
  <c r="E3747"/>
  <c r="B3748"/>
  <c r="E3748"/>
  <c r="B3749"/>
  <c r="E3749"/>
  <c r="B3750"/>
  <c r="E3750"/>
  <c r="B3751"/>
  <c r="E3751"/>
  <c r="B3752"/>
  <c r="E3752"/>
  <c r="B3753"/>
  <c r="E3753"/>
  <c r="B3754"/>
  <c r="E3754"/>
  <c r="B3755"/>
  <c r="E3755"/>
  <c r="B3756"/>
  <c r="E3756"/>
  <c r="B3757"/>
  <c r="E3757"/>
  <c r="B3758"/>
  <c r="E3758"/>
  <c r="B3759"/>
  <c r="E3759"/>
  <c r="B3760"/>
  <c r="E3760"/>
  <c r="B3761"/>
  <c r="E3761"/>
  <c r="B3762"/>
  <c r="E3762"/>
  <c r="B3763"/>
  <c r="E3763"/>
  <c r="B3764"/>
  <c r="E3764"/>
  <c r="B3765"/>
  <c r="E3765"/>
  <c r="B3766"/>
  <c r="E3766"/>
  <c r="B3767"/>
  <c r="E3767"/>
  <c r="B3768"/>
  <c r="E3768"/>
  <c r="B3769"/>
  <c r="E3769"/>
  <c r="B3770"/>
  <c r="E3770"/>
  <c r="B3771"/>
  <c r="E3771"/>
  <c r="B3772"/>
  <c r="E3772"/>
  <c r="B3773"/>
  <c r="E3773"/>
  <c r="B3774"/>
  <c r="E3774"/>
  <c r="B3775"/>
  <c r="E3775"/>
  <c r="B3776"/>
  <c r="E3776"/>
  <c r="B3777"/>
  <c r="E3777"/>
  <c r="B3778"/>
  <c r="E3778"/>
  <c r="B3779"/>
  <c r="E3779"/>
  <c r="B3780"/>
  <c r="E3780"/>
  <c r="B3781"/>
  <c r="E3781"/>
  <c r="B3782"/>
  <c r="E3782"/>
  <c r="B3783"/>
  <c r="E3783"/>
  <c r="B3784"/>
  <c r="E3784"/>
  <c r="B3785"/>
  <c r="E3785"/>
  <c r="B3786"/>
  <c r="E3786"/>
  <c r="B3787"/>
  <c r="E3787"/>
  <c r="B3788"/>
  <c r="E3788"/>
  <c r="B3789"/>
  <c r="E3789"/>
  <c r="B3790"/>
  <c r="E3790"/>
  <c r="B3791"/>
  <c r="E3791"/>
  <c r="B3792"/>
  <c r="E3792"/>
  <c r="B3793"/>
  <c r="E3793"/>
  <c r="B3794"/>
  <c r="E3794"/>
  <c r="B3795"/>
  <c r="E3795"/>
  <c r="B3796"/>
  <c r="E3796"/>
  <c r="B3797"/>
  <c r="E3797"/>
  <c r="B3798"/>
  <c r="E3798"/>
  <c r="B3799"/>
  <c r="E3799"/>
  <c r="B3800"/>
  <c r="E3800"/>
  <c r="B3801"/>
  <c r="E3801"/>
  <c r="B3802"/>
  <c r="E3802"/>
  <c r="B3803"/>
  <c r="E3803"/>
  <c r="B3804"/>
  <c r="E3804"/>
  <c r="B3805"/>
  <c r="E3805"/>
  <c r="B3806"/>
  <c r="E3806"/>
  <c r="B3807"/>
  <c r="E3807"/>
  <c r="B3808"/>
  <c r="E3808"/>
  <c r="B3809"/>
  <c r="E3809"/>
  <c r="B3810"/>
  <c r="E3810"/>
  <c r="B3811"/>
  <c r="E3811"/>
  <c r="B3812"/>
  <c r="E3812"/>
  <c r="B3813"/>
  <c r="E3813"/>
  <c r="B3814"/>
  <c r="E3814"/>
  <c r="B3815"/>
  <c r="E3815"/>
  <c r="B3816"/>
  <c r="E3816"/>
  <c r="B3817"/>
  <c r="E3817"/>
  <c r="B3818"/>
  <c r="E3818"/>
  <c r="B3819"/>
  <c r="E3819"/>
  <c r="B3820"/>
  <c r="E3820"/>
  <c r="B3821"/>
  <c r="E3821"/>
  <c r="B3822"/>
  <c r="E3822"/>
  <c r="B3823"/>
  <c r="E3823"/>
  <c r="B3824"/>
  <c r="E3824"/>
  <c r="B3825"/>
  <c r="E3825"/>
  <c r="B3826"/>
  <c r="E3826"/>
  <c r="B3827"/>
  <c r="E3827"/>
  <c r="B3828"/>
  <c r="E3828"/>
  <c r="B3829"/>
  <c r="E3829"/>
  <c r="B3830"/>
  <c r="E3830"/>
  <c r="B3831"/>
  <c r="E3831"/>
  <c r="B3832"/>
  <c r="E3832"/>
  <c r="B3833"/>
  <c r="E3833"/>
  <c r="B3834"/>
  <c r="E3834"/>
  <c r="B3835"/>
  <c r="E3835"/>
  <c r="B3836"/>
  <c r="E3836"/>
  <c r="B3837"/>
  <c r="E3837"/>
  <c r="B3838"/>
  <c r="E3838"/>
  <c r="B3839"/>
  <c r="E3839"/>
  <c r="B3840"/>
  <c r="E3840"/>
  <c r="B3841"/>
  <c r="E3841"/>
  <c r="B3842"/>
  <c r="E3842"/>
  <c r="B3843"/>
  <c r="E3843"/>
  <c r="B3844"/>
  <c r="E3844"/>
  <c r="B3845"/>
  <c r="E3845"/>
  <c r="B3846"/>
  <c r="E3846"/>
  <c r="B3847"/>
  <c r="E3847"/>
  <c r="B3848"/>
  <c r="E3848"/>
  <c r="B3849"/>
  <c r="E3849"/>
  <c r="B3850"/>
  <c r="E3850"/>
  <c r="B3851"/>
  <c r="E3851"/>
  <c r="B3852"/>
  <c r="E3852"/>
  <c r="B3853"/>
  <c r="E3853"/>
  <c r="B3854"/>
  <c r="E3854"/>
  <c r="B3855"/>
  <c r="E3855"/>
  <c r="B3856"/>
  <c r="E3856"/>
  <c r="B3857"/>
  <c r="E3857"/>
  <c r="B3858"/>
  <c r="E3858"/>
  <c r="B3859"/>
  <c r="E3859"/>
  <c r="B3860"/>
  <c r="E3860"/>
  <c r="B3861"/>
  <c r="E3861"/>
  <c r="B3862"/>
  <c r="E3862"/>
  <c r="B3863"/>
  <c r="E3863"/>
  <c r="B3864"/>
  <c r="E3864"/>
  <c r="B3865"/>
  <c r="E3865"/>
  <c r="B3866"/>
  <c r="E3866"/>
  <c r="B3867"/>
  <c r="E3867"/>
  <c r="B3868"/>
  <c r="E3868"/>
  <c r="B3869"/>
  <c r="E3869"/>
  <c r="B3870"/>
  <c r="E3870"/>
  <c r="B3871"/>
  <c r="E3871"/>
  <c r="B3872"/>
  <c r="E3872"/>
  <c r="B3873"/>
  <c r="E3873"/>
  <c r="B3874"/>
  <c r="E3874"/>
  <c r="B3875"/>
  <c r="E3875"/>
  <c r="B3876"/>
  <c r="E3876"/>
  <c r="B3877"/>
  <c r="E3877"/>
  <c r="B3878"/>
  <c r="E3878"/>
  <c r="B3879"/>
  <c r="E3879"/>
  <c r="B3880"/>
  <c r="E3880"/>
  <c r="B3881"/>
  <c r="E3881"/>
  <c r="B3882"/>
  <c r="E3882"/>
  <c r="B3883"/>
  <c r="E3883"/>
  <c r="B3884"/>
  <c r="E3884"/>
  <c r="B3885"/>
  <c r="E3885"/>
  <c r="B3886"/>
  <c r="E3886"/>
  <c r="B3887"/>
  <c r="E3887"/>
  <c r="B3888"/>
  <c r="E3888"/>
  <c r="B3889"/>
  <c r="E3889"/>
  <c r="B3890"/>
  <c r="E3890"/>
  <c r="B3891"/>
  <c r="E3891"/>
  <c r="B3892"/>
  <c r="E3892"/>
  <c r="B3893"/>
  <c r="E3893"/>
  <c r="B3894"/>
  <c r="E3894"/>
  <c r="B3895"/>
  <c r="E3895"/>
  <c r="B3896"/>
  <c r="E3896"/>
  <c r="B3897"/>
  <c r="E3897"/>
  <c r="B3898"/>
  <c r="E3898"/>
  <c r="B3899"/>
  <c r="E3899"/>
  <c r="B3900"/>
  <c r="E3900"/>
  <c r="B3901"/>
  <c r="E3901"/>
  <c r="B3902"/>
  <c r="E3902"/>
  <c r="B3903"/>
  <c r="E3903"/>
  <c r="B3904"/>
  <c r="E3904"/>
  <c r="B3905"/>
  <c r="E3905"/>
  <c r="B3906"/>
  <c r="E3906"/>
  <c r="B3907"/>
  <c r="E3907"/>
  <c r="B3908"/>
  <c r="E3908"/>
  <c r="B3909"/>
  <c r="E3909"/>
  <c r="B3910"/>
  <c r="E3910"/>
  <c r="B3911"/>
  <c r="E3911"/>
  <c r="B3912"/>
  <c r="E3912"/>
  <c r="B3913"/>
  <c r="E3913"/>
  <c r="B3914"/>
  <c r="E3914"/>
  <c r="B3915"/>
  <c r="E3915"/>
  <c r="B3916"/>
  <c r="E3916"/>
  <c r="B3917"/>
  <c r="E3917"/>
  <c r="B3918"/>
  <c r="E3918"/>
  <c r="B3919"/>
  <c r="E3919"/>
  <c r="B3920"/>
  <c r="E3920"/>
  <c r="B3921"/>
  <c r="E3921"/>
  <c r="B3922"/>
  <c r="E3922"/>
  <c r="B3923"/>
  <c r="E3923"/>
  <c r="B3924"/>
  <c r="E3924"/>
  <c r="B3925"/>
  <c r="E3925"/>
  <c r="B3926"/>
  <c r="E3926"/>
  <c r="B3927"/>
  <c r="E3927"/>
  <c r="B3928"/>
  <c r="E3928"/>
  <c r="B3929"/>
  <c r="E3929"/>
  <c r="B3930"/>
  <c r="E3930"/>
  <c r="B3931"/>
  <c r="E3931"/>
  <c r="B3932"/>
  <c r="E3932"/>
  <c r="B3933"/>
  <c r="E3933"/>
  <c r="B3934"/>
  <c r="E3934"/>
  <c r="B3935"/>
  <c r="E3935"/>
  <c r="B3936"/>
  <c r="E3936"/>
  <c r="B3937"/>
  <c r="E3937"/>
  <c r="B3938"/>
  <c r="E3938"/>
  <c r="B3939"/>
  <c r="E3939"/>
  <c r="B3940"/>
  <c r="E3940"/>
  <c r="B3941"/>
  <c r="E3941"/>
  <c r="B3942"/>
  <c r="E3942"/>
  <c r="B3943"/>
  <c r="E3943"/>
  <c r="B3944"/>
  <c r="E3944"/>
  <c r="B3945"/>
  <c r="E3945"/>
  <c r="B3946"/>
  <c r="E3946"/>
  <c r="B3947"/>
  <c r="E3947"/>
  <c r="B3948"/>
  <c r="E3948"/>
  <c r="B3949"/>
  <c r="E3949"/>
  <c r="B3950"/>
  <c r="E3950"/>
  <c r="B3951"/>
  <c r="E3951"/>
  <c r="B3952"/>
  <c r="E3952"/>
  <c r="B3953"/>
  <c r="E3953"/>
  <c r="B3954"/>
  <c r="E3954"/>
  <c r="B3955"/>
  <c r="E3955"/>
  <c r="B3956"/>
  <c r="E3956"/>
  <c r="B3957"/>
  <c r="E3957"/>
  <c r="B3958"/>
  <c r="E3958"/>
  <c r="B3959"/>
  <c r="E3959"/>
  <c r="B3960"/>
  <c r="E3960"/>
  <c r="B3961"/>
  <c r="E3961"/>
  <c r="B3962"/>
  <c r="E3962"/>
  <c r="B3963"/>
  <c r="E3963"/>
  <c r="B3964"/>
  <c r="E3964"/>
  <c r="B3965"/>
  <c r="E3965"/>
  <c r="B3966"/>
  <c r="E3966"/>
  <c r="B3967"/>
  <c r="E3967"/>
  <c r="B3968"/>
  <c r="E3968"/>
  <c r="B3969"/>
  <c r="E3969"/>
  <c r="B3970"/>
  <c r="E3970"/>
  <c r="B3971"/>
  <c r="E3971"/>
  <c r="B3972"/>
  <c r="E3972"/>
  <c r="B3973"/>
  <c r="E3973"/>
  <c r="B3974"/>
  <c r="E3974"/>
  <c r="B3975"/>
  <c r="E3975"/>
  <c r="B3976"/>
  <c r="E3976"/>
  <c r="B3977"/>
  <c r="E3977"/>
  <c r="B3978"/>
  <c r="E3978"/>
  <c r="B3979"/>
  <c r="E3979"/>
  <c r="B3980"/>
  <c r="E3980"/>
  <c r="B3981"/>
  <c r="E3981"/>
  <c r="B3982"/>
  <c r="E3982"/>
  <c r="B3983"/>
  <c r="E3983"/>
  <c r="B3984"/>
  <c r="E3984"/>
  <c r="B3985"/>
  <c r="E3985"/>
  <c r="B3986"/>
  <c r="E3986"/>
  <c r="B3987"/>
  <c r="E3987"/>
  <c r="B3988"/>
  <c r="E3988"/>
  <c r="B3989"/>
  <c r="E3989"/>
  <c r="B3990"/>
  <c r="E3990"/>
  <c r="B3991"/>
  <c r="E3991"/>
  <c r="B3992"/>
  <c r="E3992"/>
  <c r="B3993"/>
  <c r="E3993"/>
  <c r="B3994"/>
  <c r="E3994"/>
  <c r="B3995"/>
  <c r="E3995"/>
  <c r="B3996"/>
  <c r="E3996"/>
  <c r="B3997"/>
  <c r="E3997"/>
  <c r="B3998"/>
  <c r="E3998"/>
  <c r="B3999"/>
  <c r="E3999"/>
  <c r="B4000"/>
  <c r="E4000"/>
  <c r="B4001"/>
  <c r="E4001"/>
  <c r="B4002"/>
  <c r="E4002"/>
  <c r="B4003"/>
  <c r="E4003"/>
  <c r="B4004"/>
  <c r="E4004"/>
  <c r="B4005"/>
  <c r="E4005"/>
  <c r="B4006"/>
  <c r="E4006"/>
  <c r="B4007"/>
  <c r="E4007"/>
  <c r="B4008"/>
  <c r="E4008"/>
  <c r="B4009"/>
  <c r="E4009"/>
  <c r="B4010"/>
  <c r="E4010"/>
  <c r="B4011"/>
  <c r="E4011"/>
  <c r="B4012"/>
  <c r="E4012"/>
  <c r="B4013"/>
  <c r="E4013"/>
  <c r="B4014"/>
  <c r="E4014"/>
  <c r="B4015"/>
  <c r="E4015"/>
  <c r="B4016"/>
  <c r="E4016"/>
  <c r="B4017"/>
  <c r="E4017"/>
  <c r="B4018"/>
  <c r="E4018"/>
  <c r="B4019"/>
  <c r="E4019"/>
  <c r="B4020"/>
  <c r="E4020"/>
  <c r="B4021"/>
  <c r="E4021"/>
  <c r="B4022"/>
  <c r="E4022"/>
  <c r="B4023"/>
  <c r="E4023"/>
  <c r="B4024"/>
  <c r="E4024"/>
  <c r="B4025"/>
  <c r="E4025"/>
  <c r="B4026"/>
  <c r="E4026"/>
  <c r="B4027"/>
  <c r="E4027"/>
  <c r="B4028"/>
  <c r="E4028"/>
  <c r="B4029"/>
  <c r="E4029"/>
  <c r="B4030"/>
  <c r="E4030"/>
  <c r="B4031"/>
  <c r="E4031"/>
  <c r="B4032"/>
  <c r="E4032"/>
  <c r="B4033"/>
  <c r="E4033"/>
  <c r="B4034"/>
  <c r="E4034"/>
  <c r="B4035"/>
  <c r="E4035"/>
  <c r="B4036"/>
  <c r="E4036"/>
  <c r="B4037"/>
  <c r="E4037"/>
  <c r="B4038"/>
  <c r="E4038"/>
  <c r="B4039"/>
  <c r="E4039"/>
  <c r="B4040"/>
  <c r="E4040"/>
  <c r="B4041"/>
  <c r="E4041"/>
  <c r="B4042"/>
  <c r="E4042"/>
  <c r="B4043"/>
  <c r="E4043"/>
  <c r="B4044"/>
  <c r="E4044"/>
  <c r="B4045"/>
  <c r="E4045"/>
  <c r="B4046"/>
  <c r="E4046"/>
  <c r="B4047"/>
  <c r="E4047"/>
  <c r="B4048"/>
  <c r="E4048"/>
  <c r="B4049"/>
  <c r="E4049"/>
  <c r="B4050"/>
  <c r="E4050"/>
  <c r="B4051"/>
  <c r="E4051"/>
  <c r="B4052"/>
  <c r="E4052"/>
  <c r="B4053"/>
  <c r="E4053"/>
  <c r="B4054"/>
  <c r="E4054"/>
  <c r="B4055"/>
  <c r="E4055"/>
  <c r="B4056"/>
  <c r="E4056"/>
  <c r="B4057"/>
  <c r="E4057"/>
  <c r="B4058"/>
  <c r="E4058"/>
  <c r="B4059"/>
  <c r="E4059"/>
  <c r="B4060"/>
  <c r="E4060"/>
  <c r="B4061"/>
  <c r="E4061"/>
  <c r="B4062"/>
  <c r="E4062"/>
  <c r="B4063"/>
  <c r="E4063"/>
  <c r="B4064"/>
  <c r="E4064"/>
  <c r="B4065"/>
  <c r="E4065"/>
  <c r="B4066"/>
  <c r="E4066"/>
  <c r="B4067"/>
  <c r="E4067"/>
  <c r="B4068"/>
  <c r="E4068"/>
  <c r="B4069"/>
  <c r="E4069"/>
  <c r="B4070"/>
  <c r="E4070"/>
  <c r="B4071"/>
  <c r="E4071"/>
  <c r="B4072"/>
  <c r="E4072"/>
  <c r="B4073"/>
  <c r="E4073"/>
  <c r="B4074"/>
  <c r="E4074"/>
  <c r="B4075"/>
  <c r="E4075"/>
  <c r="B4076"/>
  <c r="E4076"/>
  <c r="B4077"/>
  <c r="E4077"/>
  <c r="B4078"/>
  <c r="E4078"/>
  <c r="B4079"/>
  <c r="E4079"/>
  <c r="B4080"/>
  <c r="E4080"/>
  <c r="B4081"/>
  <c r="E4081"/>
  <c r="B4082"/>
  <c r="E4082"/>
  <c r="B4083"/>
  <c r="E4083"/>
  <c r="B4084"/>
  <c r="E4084"/>
  <c r="B4085"/>
  <c r="E4085"/>
  <c r="B4086"/>
  <c r="E4086"/>
  <c r="B4087"/>
  <c r="E4087"/>
  <c r="B4088"/>
  <c r="E4088"/>
  <c r="B4089"/>
  <c r="E4089"/>
  <c r="B4090"/>
  <c r="E4090"/>
  <c r="B4091"/>
  <c r="E4091"/>
  <c r="B4092"/>
  <c r="E4092"/>
  <c r="B4093"/>
  <c r="E4093"/>
  <c r="B4094"/>
  <c r="E4094"/>
  <c r="B4095"/>
  <c r="E4095"/>
  <c r="B4096"/>
  <c r="E4096"/>
  <c r="B4097"/>
  <c r="E4097"/>
  <c r="B4098"/>
  <c r="E4098"/>
  <c r="B4099"/>
  <c r="E4099"/>
  <c r="B4100"/>
  <c r="E4100"/>
  <c r="B4101"/>
  <c r="E4101"/>
  <c r="B4102"/>
  <c r="E4102"/>
  <c r="B4103"/>
  <c r="E4103"/>
  <c r="B4104"/>
  <c r="E4104"/>
  <c r="B4105"/>
  <c r="E4105"/>
  <c r="B4106"/>
  <c r="E4106"/>
  <c r="B4107"/>
  <c r="E4107"/>
  <c r="B4108"/>
  <c r="E4108"/>
  <c r="B4109"/>
  <c r="E4109"/>
  <c r="B4110"/>
  <c r="E4110"/>
  <c r="B4111"/>
  <c r="E4111"/>
  <c r="B4112"/>
  <c r="E4112"/>
  <c r="B4113"/>
  <c r="E4113"/>
  <c r="B4114"/>
  <c r="E4114"/>
  <c r="B4115"/>
  <c r="E4115"/>
  <c r="B4116"/>
  <c r="E4116"/>
  <c r="B4117"/>
  <c r="E4117"/>
  <c r="B4118"/>
  <c r="E4118"/>
  <c r="B4119"/>
  <c r="E4119"/>
  <c r="B4120"/>
  <c r="E4120"/>
  <c r="B4121"/>
  <c r="E4121"/>
  <c r="B4122"/>
  <c r="E4122"/>
  <c r="B4123"/>
  <c r="E4123"/>
  <c r="B4124"/>
  <c r="E4124"/>
  <c r="B4125"/>
  <c r="E4125"/>
  <c r="B4126"/>
  <c r="E4126"/>
  <c r="B4127"/>
  <c r="E4127"/>
  <c r="B4128"/>
  <c r="E4128"/>
  <c r="B4129"/>
  <c r="E4129"/>
  <c r="B4130"/>
  <c r="E4130"/>
  <c r="B4131"/>
  <c r="E4131"/>
  <c r="B4132"/>
  <c r="E4132"/>
  <c r="B4133"/>
  <c r="E4133"/>
  <c r="B4134"/>
  <c r="E4134"/>
  <c r="B4135"/>
  <c r="E4135"/>
  <c r="B4136"/>
  <c r="E4136"/>
  <c r="B4137"/>
  <c r="E4137"/>
  <c r="B4138"/>
  <c r="E4138"/>
  <c r="B4139"/>
  <c r="E4139"/>
  <c r="B4140"/>
  <c r="E4140"/>
  <c r="B4141"/>
  <c r="E4141"/>
  <c r="B4142"/>
  <c r="E4142"/>
  <c r="B4143"/>
  <c r="E4143"/>
  <c r="B4144"/>
  <c r="E4144"/>
  <c r="B4145"/>
  <c r="E4145"/>
  <c r="B4146"/>
  <c r="E4146"/>
  <c r="B4147"/>
  <c r="E4147"/>
  <c r="B4148"/>
  <c r="E4148"/>
  <c r="B4149"/>
  <c r="E4149"/>
  <c r="B4150"/>
  <c r="E4150"/>
  <c r="B4151"/>
  <c r="E4151"/>
  <c r="B4152"/>
  <c r="E4152"/>
  <c r="B4153"/>
  <c r="E4153"/>
  <c r="B4154"/>
  <c r="E4154"/>
  <c r="B4155"/>
  <c r="E4155"/>
  <c r="B4156"/>
  <c r="E4156"/>
  <c r="B4157"/>
  <c r="E4157"/>
  <c r="B4158"/>
  <c r="E4158"/>
  <c r="B4159"/>
  <c r="E4159"/>
  <c r="B4160"/>
  <c r="E4160"/>
  <c r="B4161"/>
  <c r="E4161"/>
  <c r="B4162"/>
  <c r="E4162"/>
  <c r="B4163"/>
  <c r="E4163"/>
  <c r="B4164"/>
  <c r="E4164"/>
  <c r="B4165"/>
  <c r="E4165"/>
  <c r="B4166"/>
  <c r="E4166"/>
  <c r="B4167"/>
  <c r="E4167"/>
  <c r="B4168"/>
  <c r="E4168"/>
  <c r="B4169"/>
  <c r="E4169"/>
  <c r="B4170"/>
  <c r="E4170"/>
  <c r="B4171"/>
  <c r="E4171"/>
  <c r="B4172"/>
  <c r="E4172"/>
  <c r="B4173"/>
  <c r="E4173"/>
  <c r="B4174"/>
  <c r="E4174"/>
  <c r="B4175"/>
  <c r="E4175"/>
  <c r="B4176"/>
  <c r="E4176"/>
  <c r="B4177"/>
  <c r="E4177"/>
  <c r="B4178"/>
  <c r="E4178"/>
  <c r="B4179"/>
  <c r="E4179"/>
  <c r="B4180"/>
  <c r="E4180"/>
  <c r="B4181"/>
  <c r="E4181"/>
  <c r="B4182"/>
  <c r="E4182"/>
  <c r="B4183"/>
  <c r="E4183"/>
  <c r="B4184"/>
  <c r="E4184"/>
  <c r="B4185"/>
  <c r="E4185"/>
  <c r="B4186"/>
  <c r="E4186"/>
  <c r="B4187"/>
  <c r="E4187"/>
  <c r="B4188"/>
  <c r="E4188"/>
  <c r="B4189"/>
  <c r="E4189"/>
  <c r="B4190"/>
  <c r="E4190"/>
  <c r="B4191"/>
  <c r="E4191"/>
  <c r="B4192"/>
  <c r="E4192"/>
  <c r="B4193"/>
  <c r="E4193"/>
  <c r="B4194"/>
  <c r="E4194"/>
  <c r="B4195"/>
  <c r="E4195"/>
  <c r="B4196"/>
  <c r="E4196"/>
  <c r="B4197"/>
  <c r="E4197"/>
  <c r="B4198"/>
  <c r="E4198"/>
  <c r="B4199"/>
  <c r="E4199"/>
  <c r="B4200"/>
  <c r="E4200"/>
  <c r="B4201"/>
  <c r="E4201"/>
  <c r="B4202"/>
  <c r="E4202"/>
  <c r="B4203"/>
  <c r="E4203"/>
  <c r="B4204"/>
  <c r="E4204"/>
  <c r="B4205"/>
  <c r="E4205"/>
  <c r="B4206"/>
  <c r="E4206"/>
  <c r="B4207"/>
  <c r="E4207"/>
  <c r="B4208"/>
  <c r="E4208"/>
  <c r="B4209"/>
  <c r="E4209"/>
  <c r="B4210"/>
  <c r="E4210"/>
  <c r="B4211"/>
  <c r="E4211"/>
  <c r="B4212"/>
  <c r="E4212"/>
  <c r="B4213"/>
  <c r="E4213"/>
  <c r="B4214"/>
  <c r="E4214"/>
  <c r="B4215"/>
  <c r="E4215"/>
  <c r="B4216"/>
  <c r="E4216"/>
  <c r="B4217"/>
  <c r="E4217"/>
  <c r="B4218"/>
  <c r="E4218"/>
  <c r="B4219"/>
  <c r="E4219"/>
  <c r="B4220"/>
  <c r="E4220"/>
  <c r="B4221"/>
  <c r="E4221"/>
  <c r="B4222"/>
  <c r="E4222"/>
  <c r="B4223"/>
  <c r="E4223"/>
  <c r="B4224"/>
  <c r="E4224"/>
  <c r="B4225"/>
  <c r="E4225"/>
  <c r="B4226"/>
  <c r="E4226"/>
  <c r="B4227"/>
  <c r="E4227"/>
  <c r="B4228"/>
  <c r="E4228"/>
  <c r="B4229"/>
  <c r="E4229"/>
  <c r="B4230"/>
  <c r="E4230"/>
  <c r="B4231"/>
  <c r="E4231"/>
  <c r="B4232"/>
  <c r="E4232"/>
  <c r="B4233"/>
  <c r="E4233"/>
  <c r="B4234"/>
  <c r="E4234"/>
  <c r="B4235"/>
  <c r="E4235"/>
  <c r="B4236"/>
  <c r="E4236"/>
  <c r="B4237"/>
  <c r="E4237"/>
  <c r="B4238"/>
  <c r="E4238"/>
  <c r="B4239"/>
  <c r="E4239"/>
  <c r="B4240"/>
  <c r="E4240"/>
  <c r="B4241"/>
  <c r="E4241"/>
  <c r="B4242"/>
  <c r="E4242"/>
  <c r="B4243"/>
  <c r="E4243"/>
  <c r="B4244"/>
  <c r="E4244"/>
  <c r="B4245"/>
  <c r="E4245"/>
  <c r="B4246"/>
  <c r="E4246"/>
  <c r="B4247"/>
  <c r="E4247"/>
  <c r="B4248"/>
  <c r="E4248"/>
  <c r="B4249"/>
  <c r="E4249"/>
  <c r="B4250"/>
  <c r="E4250"/>
  <c r="B4251"/>
  <c r="E4251"/>
  <c r="B4252"/>
  <c r="E4252"/>
  <c r="B4253"/>
  <c r="E4253"/>
  <c r="B4254"/>
  <c r="E4254"/>
  <c r="B4255"/>
  <c r="E4255"/>
  <c r="B4256"/>
  <c r="E4256"/>
  <c r="B4257"/>
  <c r="E4257"/>
  <c r="B4258"/>
  <c r="E4258"/>
  <c r="B4259"/>
  <c r="E4259"/>
  <c r="B4260"/>
  <c r="E4260"/>
  <c r="B4261"/>
  <c r="E4261"/>
  <c r="B4262"/>
  <c r="E4262"/>
  <c r="B4263"/>
  <c r="E4263"/>
  <c r="B4264"/>
  <c r="E4264"/>
  <c r="B4265"/>
  <c r="E4265"/>
  <c r="B4266"/>
  <c r="E4266"/>
  <c r="B4267"/>
  <c r="E4267"/>
  <c r="B4268"/>
  <c r="E4268"/>
  <c r="B4269"/>
  <c r="E4269"/>
  <c r="B4270"/>
  <c r="E4270"/>
  <c r="B4271"/>
  <c r="E4271"/>
  <c r="B4272"/>
  <c r="E4272"/>
  <c r="B4273"/>
  <c r="E4273"/>
  <c r="B4274"/>
  <c r="E4274"/>
  <c r="B4275"/>
  <c r="E4275"/>
  <c r="B4276"/>
  <c r="E4276"/>
  <c r="B4277"/>
  <c r="E4277"/>
  <c r="B4278"/>
  <c r="E4278"/>
  <c r="B4279"/>
  <c r="E4279"/>
  <c r="B4280"/>
  <c r="E4280"/>
  <c r="B4281"/>
  <c r="E4281"/>
  <c r="B4282"/>
  <c r="E4282"/>
  <c r="B4283"/>
  <c r="E4283"/>
  <c r="B4284"/>
  <c r="E4284"/>
  <c r="B4285"/>
  <c r="E4285"/>
  <c r="B4286"/>
  <c r="E4286"/>
  <c r="B4287"/>
  <c r="E4287"/>
  <c r="B4288"/>
  <c r="E4288"/>
  <c r="B4289"/>
  <c r="E4289"/>
  <c r="B4290"/>
  <c r="E4290"/>
  <c r="B4291"/>
  <c r="E4291"/>
  <c r="B4292"/>
  <c r="E4292"/>
  <c r="B4293"/>
  <c r="E4293"/>
  <c r="B4294"/>
  <c r="E4294"/>
  <c r="B4295"/>
  <c r="E4295"/>
  <c r="B4296"/>
  <c r="E4296"/>
  <c r="B4297"/>
  <c r="E4297"/>
  <c r="B4298"/>
  <c r="E4298"/>
  <c r="B4299"/>
  <c r="E4299"/>
  <c r="B4300"/>
  <c r="E4300"/>
  <c r="B4301"/>
  <c r="E4301"/>
  <c r="B4302"/>
  <c r="E4302"/>
  <c r="B4303"/>
  <c r="E4303"/>
  <c r="B4304"/>
  <c r="E4304"/>
  <c r="B4305"/>
  <c r="E4305"/>
  <c r="B4306"/>
  <c r="E4306"/>
  <c r="B4307"/>
  <c r="E4307"/>
  <c r="B4308"/>
  <c r="E4308"/>
  <c r="B4309"/>
  <c r="E4309"/>
  <c r="B4310"/>
  <c r="E4310"/>
  <c r="B4311"/>
  <c r="E4311"/>
  <c r="B4312"/>
  <c r="E4312"/>
  <c r="B4313"/>
  <c r="E4313"/>
  <c r="B4314"/>
  <c r="E4314"/>
  <c r="B4315"/>
  <c r="E4315"/>
  <c r="B4316"/>
  <c r="E4316"/>
  <c r="B4317"/>
  <c r="E4317"/>
  <c r="B4318"/>
  <c r="E4318"/>
  <c r="B4319"/>
  <c r="E4319"/>
  <c r="B4320"/>
  <c r="E4320"/>
  <c r="B4321"/>
  <c r="E4321"/>
  <c r="B4322"/>
  <c r="E4322"/>
  <c r="B4323"/>
  <c r="E4323"/>
  <c r="B4324"/>
  <c r="E4324"/>
  <c r="B4325"/>
  <c r="E4325"/>
  <c r="B4326"/>
  <c r="E4326"/>
  <c r="B4327"/>
  <c r="E4327"/>
  <c r="B4328"/>
  <c r="E4328"/>
  <c r="B4329"/>
  <c r="E4329"/>
  <c r="B4330"/>
  <c r="E4330"/>
  <c r="B4331"/>
  <c r="E4331"/>
  <c r="B4332"/>
  <c r="E4332"/>
  <c r="B4333"/>
  <c r="E4333"/>
  <c r="B4334"/>
  <c r="E4334"/>
  <c r="B4335"/>
  <c r="E4335"/>
  <c r="B4336"/>
  <c r="E4336"/>
  <c r="B4337"/>
  <c r="E4337"/>
  <c r="B4338"/>
  <c r="E4338"/>
  <c r="B4339"/>
  <c r="E4339"/>
  <c r="B4340"/>
  <c r="E4340"/>
  <c r="B4341"/>
  <c r="E4341"/>
  <c r="B4342"/>
  <c r="E4342"/>
  <c r="B4343"/>
  <c r="E4343"/>
  <c r="B4344"/>
  <c r="E4344"/>
  <c r="B4345"/>
  <c r="E4345"/>
  <c r="B4346"/>
  <c r="E4346"/>
  <c r="B4347"/>
  <c r="E4347"/>
  <c r="B4348"/>
  <c r="E4348"/>
  <c r="B4349"/>
  <c r="E4349"/>
  <c r="B4350"/>
  <c r="E4350"/>
  <c r="B4351"/>
  <c r="E4351"/>
  <c r="B4352"/>
  <c r="E4352"/>
  <c r="B4353"/>
  <c r="E4353"/>
  <c r="B4354"/>
  <c r="E4354"/>
  <c r="B4355"/>
  <c r="E4355"/>
  <c r="B4356"/>
  <c r="E4356"/>
  <c r="B4357"/>
  <c r="E4357"/>
  <c r="B4358"/>
  <c r="E4358"/>
  <c r="B4359"/>
  <c r="E4359"/>
  <c r="B4360"/>
  <c r="E4360"/>
  <c r="B4361"/>
  <c r="E4361"/>
  <c r="B4362"/>
  <c r="E4362"/>
  <c r="B4363"/>
  <c r="E4363"/>
  <c r="B4364"/>
  <c r="E4364"/>
  <c r="B4365"/>
  <c r="E4365"/>
  <c r="B4366"/>
  <c r="E4366"/>
  <c r="B4367"/>
  <c r="E4367"/>
  <c r="B4368"/>
  <c r="E4368"/>
  <c r="B4369"/>
  <c r="E4369"/>
  <c r="B4370"/>
  <c r="E4370"/>
  <c r="B4371"/>
  <c r="E4371"/>
  <c r="B4372"/>
  <c r="E4372"/>
  <c r="B4373"/>
  <c r="E4373"/>
  <c r="B4374"/>
  <c r="E4374"/>
  <c r="B4375"/>
  <c r="E4375"/>
  <c r="B4376"/>
  <c r="E4376"/>
  <c r="B4377"/>
  <c r="E4377"/>
  <c r="B4378"/>
  <c r="E4378"/>
  <c r="B4379"/>
  <c r="E4379"/>
  <c r="B4380"/>
  <c r="E4380"/>
  <c r="B4381"/>
  <c r="E4381"/>
  <c r="B4382"/>
  <c r="E4382"/>
  <c r="B4383"/>
  <c r="E4383"/>
  <c r="B4384"/>
  <c r="E4384"/>
  <c r="B4385"/>
  <c r="E4385"/>
  <c r="B4386"/>
  <c r="E4386"/>
  <c r="B4387"/>
  <c r="E4387"/>
  <c r="B4388"/>
  <c r="E4388"/>
  <c r="B4389"/>
  <c r="E4389"/>
  <c r="B4390"/>
  <c r="E4390"/>
  <c r="B4391"/>
  <c r="E4391"/>
  <c r="B4392"/>
  <c r="E4392"/>
  <c r="B4393"/>
  <c r="E4393"/>
  <c r="B4394"/>
  <c r="E4394"/>
  <c r="B4395"/>
  <c r="E4395"/>
  <c r="B4396"/>
  <c r="E4396"/>
  <c r="B4397"/>
  <c r="E4397"/>
  <c r="B4398"/>
  <c r="E4398"/>
  <c r="B4399"/>
  <c r="E4399"/>
  <c r="B4400"/>
  <c r="E4400"/>
  <c r="B4401"/>
  <c r="E4401"/>
  <c r="B4402"/>
  <c r="E4402"/>
  <c r="B4403"/>
  <c r="E4403"/>
  <c r="B4404"/>
  <c r="E4404"/>
  <c r="B4405"/>
  <c r="E4405"/>
  <c r="B4406"/>
  <c r="E4406"/>
  <c r="B4407"/>
  <c r="E4407"/>
  <c r="B4408"/>
  <c r="E4408"/>
  <c r="B4409"/>
  <c r="E4409"/>
  <c r="B4410"/>
  <c r="E4410"/>
  <c r="B4411"/>
  <c r="E4411"/>
  <c r="B4412"/>
  <c r="E4412"/>
  <c r="B4413"/>
  <c r="E4413"/>
  <c r="B4414"/>
  <c r="E4414"/>
  <c r="B4415"/>
  <c r="E4415"/>
  <c r="B4416"/>
  <c r="E4416"/>
  <c r="B4417"/>
  <c r="E4417"/>
  <c r="B4418"/>
  <c r="E4418"/>
  <c r="B4419"/>
  <c r="E4419"/>
  <c r="B4420"/>
  <c r="E4420"/>
  <c r="B4421"/>
  <c r="E4421"/>
  <c r="B4422"/>
  <c r="E4422"/>
  <c r="B4423"/>
  <c r="E4423"/>
  <c r="B4424"/>
  <c r="E4424"/>
  <c r="B4425"/>
  <c r="E4425"/>
  <c r="B4426"/>
  <c r="E4426"/>
  <c r="B4427"/>
  <c r="E4427"/>
  <c r="B4428"/>
  <c r="E4428"/>
  <c r="B4429"/>
  <c r="E4429"/>
  <c r="B4430"/>
  <c r="E4430"/>
  <c r="B4431"/>
  <c r="E4431"/>
  <c r="B4432"/>
  <c r="E4432"/>
  <c r="B4433"/>
  <c r="E4433"/>
  <c r="B4434"/>
  <c r="E4434"/>
  <c r="B4435"/>
  <c r="E4435"/>
  <c r="B4436"/>
  <c r="E4436"/>
  <c r="B4437"/>
  <c r="E4437"/>
  <c r="B4438"/>
  <c r="E4438"/>
  <c r="B4439"/>
  <c r="E4439"/>
  <c r="B4440"/>
  <c r="E4440"/>
  <c r="B4441"/>
  <c r="E4441"/>
  <c r="B4442"/>
  <c r="E4442"/>
  <c r="B4443"/>
  <c r="E4443"/>
  <c r="B4444"/>
  <c r="E4444"/>
  <c r="B4445"/>
  <c r="E4445"/>
  <c r="B4446"/>
  <c r="E4446"/>
  <c r="B4447"/>
  <c r="E4447"/>
  <c r="B4448"/>
  <c r="E4448"/>
  <c r="B4449"/>
  <c r="E4449"/>
  <c r="B4450"/>
  <c r="E4450"/>
  <c r="B4451"/>
  <c r="E4451"/>
  <c r="B4452"/>
  <c r="E4452"/>
  <c r="B4453"/>
  <c r="E4453"/>
  <c r="B4454"/>
  <c r="E4454"/>
  <c r="B4455"/>
  <c r="E4455"/>
  <c r="B4456"/>
  <c r="E4456"/>
  <c r="B4457"/>
  <c r="E4457"/>
  <c r="B4458"/>
  <c r="E4458"/>
  <c r="B4459"/>
  <c r="E4459"/>
  <c r="B4460"/>
  <c r="E4460"/>
  <c r="B4461"/>
  <c r="E4461"/>
  <c r="B4462"/>
  <c r="E4462"/>
  <c r="B4463"/>
  <c r="E4463"/>
  <c r="B4464"/>
  <c r="E4464"/>
  <c r="B4465"/>
  <c r="E4465"/>
  <c r="B4466"/>
  <c r="E4466"/>
  <c r="B4467"/>
  <c r="E4467"/>
  <c r="B4468"/>
  <c r="E4468"/>
  <c r="B4469"/>
  <c r="E4469"/>
  <c r="B4470"/>
  <c r="E4470"/>
  <c r="B4471"/>
  <c r="E4471"/>
  <c r="B4472"/>
  <c r="E4472"/>
  <c r="B4473"/>
  <c r="E4473"/>
  <c r="B4474"/>
  <c r="E4474"/>
  <c r="B4475"/>
  <c r="E4475"/>
  <c r="B4476"/>
  <c r="E4476"/>
  <c r="B4477"/>
  <c r="E4477"/>
  <c r="B4478"/>
  <c r="E4478"/>
  <c r="B4479"/>
  <c r="E4479"/>
  <c r="B4480"/>
  <c r="E4480"/>
  <c r="B4481"/>
  <c r="E4481"/>
  <c r="B4482"/>
  <c r="E4482"/>
  <c r="B4483"/>
  <c r="E4483"/>
  <c r="B4484"/>
  <c r="E4484"/>
  <c r="B4485"/>
  <c r="E4485"/>
  <c r="B4486"/>
  <c r="E4486"/>
  <c r="B4487"/>
  <c r="E4487"/>
  <c r="B4488"/>
  <c r="E4488"/>
  <c r="B4489"/>
  <c r="E4489"/>
  <c r="B4490"/>
  <c r="E4490"/>
  <c r="B4491"/>
  <c r="E4491"/>
  <c r="B4492"/>
  <c r="E4492"/>
  <c r="B4493"/>
  <c r="E4493"/>
  <c r="B4494"/>
  <c r="E4494"/>
  <c r="B4495"/>
  <c r="E4495"/>
  <c r="B4496"/>
  <c r="E4496"/>
  <c r="B4497"/>
  <c r="E4497"/>
  <c r="B4498"/>
  <c r="E4498"/>
  <c r="B4499"/>
  <c r="E4499"/>
  <c r="B4500"/>
  <c r="E4500"/>
  <c r="B4501"/>
  <c r="E4501"/>
  <c r="B4502"/>
  <c r="E4502"/>
  <c r="B4503"/>
  <c r="E4503"/>
  <c r="B4504"/>
  <c r="E4504"/>
  <c r="B4505"/>
  <c r="E4505"/>
  <c r="B4506"/>
  <c r="E4506"/>
  <c r="B4507"/>
  <c r="E4507"/>
  <c r="B4508"/>
  <c r="E4508"/>
  <c r="B4509"/>
  <c r="E4509"/>
  <c r="B4510"/>
  <c r="E4510"/>
  <c r="B4511"/>
  <c r="E4511"/>
  <c r="B4512"/>
  <c r="E4512"/>
  <c r="B4513"/>
  <c r="E4513"/>
  <c r="B4514"/>
  <c r="E4514"/>
  <c r="B4515"/>
  <c r="E4515"/>
  <c r="B4516"/>
  <c r="E4516"/>
  <c r="B4517"/>
  <c r="E4517"/>
  <c r="B4518"/>
  <c r="E4518"/>
  <c r="B4519"/>
  <c r="E4519"/>
  <c r="B4520"/>
  <c r="E4520"/>
  <c r="B4521"/>
  <c r="E4521"/>
  <c r="B4522"/>
  <c r="E4522"/>
  <c r="B4523"/>
  <c r="E4523"/>
  <c r="B4524"/>
  <c r="E4524"/>
  <c r="B4525"/>
  <c r="E4525"/>
  <c r="B4526"/>
  <c r="E4526"/>
  <c r="B4527"/>
  <c r="E4527"/>
  <c r="B4528"/>
  <c r="E4528"/>
  <c r="B4529"/>
  <c r="E4529"/>
  <c r="B4530"/>
  <c r="E4530"/>
  <c r="B4531"/>
  <c r="E4531"/>
  <c r="B4532"/>
  <c r="E4532"/>
  <c r="B4533"/>
  <c r="E4533"/>
  <c r="B4534"/>
  <c r="E4534"/>
  <c r="B4535"/>
  <c r="E4535"/>
  <c r="B4536"/>
  <c r="E4536"/>
  <c r="B4537"/>
  <c r="E4537"/>
  <c r="B4538"/>
  <c r="E4538"/>
  <c r="B4539"/>
  <c r="E4539"/>
  <c r="B4540"/>
  <c r="E4540"/>
  <c r="B4541"/>
  <c r="E4541"/>
  <c r="B4542"/>
  <c r="E4542"/>
  <c r="B4543"/>
  <c r="E4543"/>
  <c r="B4544"/>
  <c r="E4544"/>
  <c r="B4545"/>
  <c r="E4545"/>
  <c r="B4546"/>
  <c r="E4546"/>
  <c r="B4547"/>
  <c r="E4547"/>
  <c r="B4548"/>
  <c r="E4548"/>
  <c r="B4549"/>
  <c r="E4549"/>
  <c r="B4550"/>
  <c r="E4550"/>
  <c r="B4551"/>
  <c r="E4551"/>
  <c r="B4552"/>
  <c r="E4552"/>
  <c r="B4553"/>
  <c r="E4553"/>
  <c r="B4554"/>
  <c r="E4554"/>
  <c r="B4555"/>
  <c r="E4555"/>
  <c r="B4556"/>
  <c r="E4556"/>
  <c r="B4557"/>
  <c r="E4557"/>
  <c r="B4558"/>
  <c r="E4558"/>
  <c r="B4559"/>
  <c r="E4559"/>
  <c r="B4560"/>
  <c r="E4560"/>
  <c r="B4561"/>
  <c r="E4561"/>
  <c r="B4562"/>
  <c r="E4562"/>
  <c r="B4563"/>
  <c r="E4563"/>
  <c r="B4564"/>
  <c r="E4564"/>
  <c r="B4565"/>
  <c r="E4565"/>
  <c r="B4566"/>
  <c r="E4566"/>
  <c r="B4567"/>
  <c r="E4567"/>
  <c r="B4568"/>
  <c r="E4568"/>
  <c r="B4569"/>
  <c r="E4569"/>
  <c r="B4570"/>
  <c r="E4570"/>
  <c r="B4571"/>
  <c r="E4571"/>
  <c r="B4572"/>
  <c r="E4572"/>
  <c r="B4573"/>
  <c r="E4573"/>
  <c r="B4574"/>
  <c r="E4574"/>
  <c r="B4575"/>
  <c r="E4575"/>
  <c r="B4576"/>
  <c r="E4576"/>
  <c r="B4577"/>
  <c r="E4577"/>
  <c r="B4578"/>
  <c r="E4578"/>
  <c r="B4579"/>
  <c r="E4579"/>
  <c r="B4580"/>
  <c r="E4580"/>
  <c r="B4581"/>
  <c r="E4581"/>
  <c r="B4582"/>
  <c r="E4582"/>
  <c r="B4583"/>
  <c r="E4583"/>
  <c r="B4584"/>
  <c r="E4584"/>
  <c r="B4585"/>
  <c r="E4585"/>
  <c r="B4586"/>
  <c r="E4586"/>
  <c r="B4587"/>
  <c r="E4587"/>
  <c r="B4588"/>
  <c r="E4588"/>
  <c r="B4589"/>
  <c r="E4589"/>
  <c r="B4590"/>
  <c r="E4590"/>
  <c r="B4591"/>
  <c r="E4591"/>
  <c r="B4592"/>
  <c r="E4592"/>
  <c r="B4593"/>
  <c r="E4593"/>
  <c r="B4594"/>
  <c r="E4594"/>
  <c r="B4595"/>
  <c r="E4595"/>
  <c r="B4596"/>
  <c r="E4596"/>
  <c r="B4597"/>
  <c r="E4597"/>
  <c r="B4598"/>
  <c r="E4598"/>
  <c r="B4599"/>
  <c r="E4599"/>
  <c r="B4600"/>
  <c r="E4600"/>
  <c r="B4601"/>
  <c r="E4601"/>
  <c r="B4602"/>
  <c r="E4602"/>
  <c r="B4603"/>
  <c r="E4603"/>
  <c r="B4604"/>
  <c r="E4604"/>
  <c r="B4605"/>
  <c r="E4605"/>
  <c r="B4606"/>
  <c r="E4606"/>
  <c r="B4607"/>
  <c r="E4607"/>
  <c r="B4608"/>
  <c r="E4608"/>
  <c r="B4609"/>
  <c r="E4609"/>
  <c r="B4610"/>
  <c r="E4610"/>
  <c r="B4611"/>
  <c r="E4611"/>
  <c r="B4612"/>
  <c r="E4612"/>
  <c r="B4613"/>
  <c r="E4613"/>
  <c r="B4614"/>
  <c r="E4614"/>
  <c r="B4615"/>
  <c r="E4615"/>
  <c r="B4616"/>
  <c r="E4616"/>
  <c r="B4617"/>
  <c r="E4617"/>
  <c r="B4618"/>
  <c r="E4618"/>
  <c r="B4619"/>
  <c r="E4619"/>
  <c r="B4620"/>
  <c r="E4620"/>
  <c r="B4621"/>
  <c r="E4621"/>
  <c r="B4622"/>
  <c r="E4622"/>
  <c r="B4623"/>
  <c r="E4623"/>
  <c r="B4624"/>
  <c r="E4624"/>
  <c r="B4625"/>
  <c r="E4625"/>
  <c r="B4626"/>
  <c r="E4626"/>
  <c r="B4627"/>
  <c r="E4627"/>
  <c r="B4628"/>
  <c r="E4628"/>
  <c r="B4629"/>
  <c r="E4629"/>
  <c r="B4630"/>
  <c r="E4630"/>
  <c r="B4631"/>
  <c r="E4631"/>
  <c r="B4632"/>
  <c r="E4632"/>
  <c r="B4633"/>
  <c r="E4633"/>
  <c r="B4634"/>
  <c r="E4634"/>
  <c r="B4635"/>
  <c r="E4635"/>
  <c r="B4636"/>
  <c r="E4636"/>
  <c r="B4637"/>
  <c r="E4637"/>
  <c r="B4638"/>
  <c r="E4638"/>
  <c r="B4639"/>
  <c r="E4639"/>
  <c r="B4640"/>
  <c r="E4640"/>
  <c r="B4641"/>
  <c r="E4641"/>
  <c r="B4642"/>
  <c r="E4642"/>
  <c r="B4643"/>
  <c r="E4643"/>
  <c r="B4644"/>
  <c r="E4644"/>
  <c r="B4645"/>
  <c r="E4645"/>
  <c r="B4646"/>
  <c r="E4646"/>
  <c r="B4647"/>
  <c r="E4647"/>
  <c r="B4648"/>
  <c r="E4648"/>
  <c r="B4649"/>
  <c r="E4649"/>
  <c r="B4650"/>
  <c r="E4650"/>
  <c r="B4651"/>
  <c r="E4651"/>
  <c r="B4652"/>
  <c r="E4652"/>
  <c r="B4653"/>
  <c r="E4653"/>
  <c r="B4654"/>
  <c r="E4654"/>
  <c r="B4655"/>
  <c r="E4655"/>
  <c r="B4656"/>
  <c r="E4656"/>
  <c r="B4657"/>
  <c r="E4657"/>
  <c r="B4658"/>
  <c r="E4658"/>
  <c r="B4659"/>
  <c r="E4659"/>
  <c r="B4660"/>
  <c r="E4660"/>
  <c r="B4661"/>
  <c r="E4661"/>
  <c r="B4662"/>
  <c r="E4662"/>
  <c r="B4663"/>
  <c r="E4663"/>
  <c r="B4664"/>
  <c r="E4664"/>
  <c r="B4665"/>
  <c r="E4665"/>
  <c r="B4666"/>
  <c r="E4666"/>
  <c r="B4667"/>
  <c r="E4667"/>
  <c r="B4668"/>
  <c r="E4668"/>
  <c r="B4669"/>
  <c r="E4669"/>
  <c r="B4670"/>
  <c r="E4670"/>
  <c r="B4671"/>
  <c r="E4671"/>
  <c r="B4672"/>
  <c r="E4672"/>
  <c r="B4673"/>
  <c r="E4673"/>
  <c r="B4674"/>
  <c r="E4674"/>
  <c r="B4675"/>
  <c r="E4675"/>
  <c r="B4676"/>
  <c r="E4676"/>
  <c r="B4677"/>
  <c r="E4677"/>
  <c r="B4678"/>
  <c r="E4678"/>
  <c r="B4679"/>
  <c r="E4679"/>
  <c r="B4680"/>
  <c r="E4680"/>
  <c r="B4681"/>
  <c r="E4681"/>
  <c r="B4682"/>
  <c r="E4682"/>
  <c r="B4683"/>
  <c r="E4683"/>
  <c r="B4684"/>
  <c r="E4684"/>
  <c r="B4685"/>
  <c r="E4685"/>
  <c r="B4686"/>
  <c r="E4686"/>
  <c r="B4687"/>
  <c r="E4687"/>
  <c r="B4688"/>
  <c r="E4688"/>
  <c r="B4689"/>
  <c r="E4689"/>
  <c r="B4690"/>
  <c r="E4690"/>
  <c r="B4691"/>
  <c r="E4691"/>
  <c r="B4692"/>
  <c r="E4692"/>
  <c r="B4693"/>
  <c r="E4693"/>
  <c r="B4694"/>
  <c r="E4694"/>
  <c r="B4695"/>
  <c r="E4695"/>
  <c r="B4696"/>
  <c r="E4696"/>
  <c r="B4697"/>
  <c r="E4697"/>
  <c r="B4698"/>
  <c r="E4698"/>
  <c r="B4699"/>
  <c r="E4699"/>
  <c r="B4700"/>
  <c r="E4700"/>
  <c r="B4701"/>
  <c r="E4701"/>
  <c r="B4702"/>
  <c r="E4702"/>
  <c r="B4703"/>
  <c r="E4703"/>
  <c r="B4704"/>
  <c r="E4704"/>
  <c r="B4705"/>
  <c r="E4705"/>
  <c r="B4706"/>
  <c r="E4706"/>
  <c r="B4707"/>
  <c r="E4707"/>
  <c r="B4708"/>
  <c r="E4708"/>
  <c r="B4709"/>
  <c r="E4709"/>
  <c r="B4710"/>
  <c r="E4710"/>
  <c r="B4711"/>
  <c r="E4711"/>
  <c r="B4712"/>
  <c r="E4712"/>
  <c r="B4713"/>
  <c r="E4713"/>
  <c r="B4714"/>
  <c r="E4714"/>
  <c r="B4715"/>
  <c r="E4715"/>
  <c r="B4716"/>
  <c r="E4716"/>
  <c r="B4717"/>
  <c r="E4717"/>
  <c r="B4718"/>
  <c r="E4718"/>
  <c r="B4719"/>
  <c r="E4719"/>
  <c r="B4720"/>
  <c r="E4720"/>
  <c r="B4721"/>
  <c r="E4721"/>
  <c r="B4722"/>
  <c r="E4722"/>
  <c r="B4723"/>
  <c r="E4723"/>
  <c r="B4724"/>
  <c r="E4724"/>
  <c r="B4725"/>
  <c r="E4725"/>
  <c r="B4726"/>
  <c r="E4726"/>
  <c r="B4727"/>
  <c r="E4727"/>
  <c r="B4728"/>
  <c r="E4728"/>
  <c r="B4729"/>
  <c r="E4729"/>
  <c r="B4730"/>
  <c r="E4730"/>
  <c r="B4731"/>
  <c r="E4731"/>
  <c r="B4732"/>
  <c r="E4732"/>
  <c r="B4733"/>
  <c r="E4733"/>
  <c r="B4734"/>
  <c r="E4734"/>
  <c r="B4735"/>
  <c r="E4735"/>
  <c r="B4736"/>
  <c r="E4736"/>
  <c r="B4737"/>
  <c r="E4737"/>
  <c r="B4738"/>
  <c r="E4738"/>
  <c r="B4739"/>
  <c r="E4739"/>
  <c r="B4740"/>
  <c r="E4740"/>
  <c r="B4741"/>
  <c r="E4741"/>
  <c r="B4742"/>
  <c r="E4742"/>
  <c r="B4743"/>
  <c r="E4743"/>
  <c r="B4744"/>
  <c r="E4744"/>
  <c r="B4745"/>
  <c r="E4745"/>
  <c r="B4746"/>
  <c r="E4746"/>
  <c r="B4747"/>
  <c r="E4747"/>
  <c r="B4748"/>
  <c r="E4748"/>
  <c r="B4749"/>
  <c r="E4749"/>
  <c r="B4750"/>
  <c r="E4750"/>
  <c r="B4751"/>
  <c r="E4751"/>
  <c r="B4752"/>
  <c r="E4752"/>
  <c r="B4753"/>
  <c r="E4753"/>
  <c r="B4754"/>
  <c r="E4754"/>
  <c r="B4755"/>
  <c r="E4755"/>
  <c r="B4756"/>
  <c r="E4756"/>
  <c r="B4757"/>
  <c r="E4757"/>
  <c r="B4758"/>
  <c r="E4758"/>
  <c r="B4759"/>
  <c r="E4759"/>
  <c r="B4760"/>
  <c r="E4760"/>
  <c r="B4761"/>
  <c r="E4761"/>
  <c r="B4762"/>
  <c r="E4762"/>
  <c r="B4763"/>
  <c r="E4763"/>
  <c r="B4764"/>
  <c r="E4764"/>
  <c r="B4765"/>
  <c r="E4765"/>
  <c r="B4766"/>
  <c r="E4766"/>
  <c r="B4767"/>
  <c r="E4767"/>
  <c r="B4768"/>
  <c r="E4768"/>
  <c r="B4769"/>
  <c r="E4769"/>
  <c r="B4770"/>
  <c r="E4770"/>
  <c r="B4771"/>
  <c r="E4771"/>
  <c r="B4772"/>
  <c r="E4772"/>
  <c r="B4773"/>
  <c r="E4773"/>
  <c r="B4774"/>
  <c r="E4774"/>
  <c r="B4775"/>
  <c r="E4775"/>
  <c r="B4776"/>
  <c r="E4776"/>
  <c r="B4777"/>
  <c r="E4777"/>
  <c r="B4778"/>
  <c r="E4778"/>
  <c r="B4779"/>
  <c r="E4779"/>
  <c r="B4780"/>
  <c r="E4780"/>
  <c r="B4781"/>
  <c r="E4781"/>
  <c r="B4782"/>
  <c r="E4782"/>
  <c r="B4783"/>
  <c r="E4783"/>
  <c r="B4784"/>
  <c r="E4784"/>
  <c r="B4785"/>
  <c r="E4785"/>
  <c r="B4786"/>
  <c r="E4786"/>
  <c r="B4787"/>
  <c r="E4787"/>
  <c r="B4788"/>
  <c r="E4788"/>
  <c r="B4789"/>
  <c r="E4789"/>
  <c r="B4790"/>
  <c r="E4790"/>
  <c r="B4791"/>
  <c r="E4791"/>
  <c r="B4792"/>
  <c r="E4792"/>
  <c r="B4793"/>
  <c r="E4793"/>
  <c r="B4794"/>
  <c r="E4794"/>
  <c r="B4795"/>
  <c r="E4795"/>
  <c r="B4796"/>
  <c r="E4796"/>
  <c r="B4797"/>
  <c r="E4797"/>
  <c r="B4798"/>
  <c r="E4798"/>
  <c r="B4799"/>
  <c r="E4799"/>
  <c r="B4800"/>
  <c r="E4800"/>
  <c r="B4801"/>
  <c r="E4801"/>
  <c r="B4802"/>
  <c r="E4802"/>
  <c r="B4803"/>
  <c r="E4803"/>
  <c r="B4804"/>
  <c r="E4804"/>
  <c r="B4805"/>
  <c r="E4805"/>
  <c r="B4806"/>
  <c r="E4806"/>
  <c r="B4807"/>
  <c r="E4807"/>
  <c r="B4808"/>
  <c r="E4808"/>
  <c r="B4809"/>
  <c r="E4809"/>
  <c r="B4810"/>
  <c r="E4810"/>
  <c r="B4811"/>
  <c r="E4811"/>
  <c r="B4812"/>
  <c r="E4812"/>
  <c r="B4813"/>
  <c r="E4813"/>
  <c r="B4814"/>
  <c r="E4814"/>
  <c r="B4815"/>
  <c r="E4815"/>
  <c r="B4816"/>
  <c r="E4816"/>
  <c r="B4817"/>
  <c r="E4817"/>
  <c r="B4818"/>
  <c r="E4818"/>
  <c r="B4819"/>
  <c r="E4819"/>
  <c r="B4820"/>
  <c r="E4820"/>
  <c r="B4821"/>
  <c r="E4821"/>
  <c r="B4822"/>
  <c r="E4822"/>
  <c r="B4823"/>
  <c r="E4823"/>
  <c r="B4824"/>
  <c r="E4824"/>
  <c r="B4825"/>
  <c r="E4825"/>
  <c r="B4826"/>
  <c r="E4826"/>
  <c r="B4827"/>
  <c r="E4827"/>
  <c r="B4828"/>
  <c r="E4828"/>
  <c r="B4829"/>
  <c r="E4829"/>
  <c r="B4830"/>
  <c r="E4830"/>
  <c r="B4831"/>
  <c r="E4831"/>
  <c r="B4832"/>
  <c r="E4832"/>
  <c r="B4833"/>
  <c r="E4833"/>
  <c r="B4834"/>
  <c r="E4834"/>
  <c r="B4835"/>
  <c r="E4835"/>
  <c r="B4836"/>
  <c r="E4836"/>
  <c r="B4837"/>
  <c r="E4837"/>
  <c r="B4838"/>
  <c r="E4838"/>
  <c r="B4839"/>
  <c r="E4839"/>
  <c r="B4840"/>
  <c r="E4840"/>
  <c r="B4841"/>
  <c r="E4841"/>
  <c r="B4842"/>
  <c r="E4842"/>
  <c r="B4843"/>
  <c r="E4843"/>
  <c r="B4844"/>
  <c r="E4844"/>
  <c r="B4845"/>
  <c r="E4845"/>
  <c r="B4846"/>
  <c r="E4846"/>
  <c r="B4847"/>
  <c r="E4847"/>
  <c r="B4848"/>
  <c r="E4848"/>
  <c r="B4849"/>
  <c r="E4849"/>
  <c r="B4850"/>
  <c r="E4850"/>
  <c r="B4851"/>
  <c r="E4851"/>
  <c r="B4852"/>
  <c r="E4852"/>
  <c r="B4853"/>
  <c r="E4853"/>
  <c r="B4854"/>
  <c r="E4854"/>
  <c r="B4855"/>
  <c r="E4855"/>
  <c r="B4856"/>
  <c r="E4856"/>
  <c r="B4857"/>
  <c r="E4857"/>
  <c r="B4858"/>
  <c r="E4858"/>
  <c r="B4859"/>
  <c r="E4859"/>
  <c r="B4860"/>
  <c r="E4860"/>
  <c r="B4861"/>
  <c r="E4861"/>
  <c r="B4862"/>
  <c r="E4862"/>
  <c r="B4863"/>
  <c r="E4863"/>
  <c r="B4864"/>
  <c r="E4864"/>
  <c r="B4865"/>
  <c r="E4865"/>
  <c r="B4866"/>
  <c r="E4866"/>
  <c r="B4867"/>
  <c r="E4867"/>
  <c r="B4868"/>
  <c r="E4868"/>
  <c r="B4869"/>
  <c r="E4869"/>
  <c r="B4870"/>
  <c r="E4870"/>
  <c r="B4871"/>
  <c r="E4871"/>
  <c r="B4872"/>
  <c r="E4872"/>
  <c r="B4873"/>
  <c r="E4873"/>
  <c r="B4874"/>
  <c r="E4874"/>
  <c r="B4875"/>
  <c r="E4875"/>
  <c r="B4876"/>
  <c r="E4876"/>
  <c r="B4877"/>
  <c r="E4877"/>
  <c r="B4878"/>
  <c r="E4878"/>
  <c r="B4879"/>
  <c r="E4879"/>
  <c r="B4880"/>
  <c r="E4880"/>
  <c r="B4881"/>
  <c r="E4881"/>
  <c r="B4882"/>
  <c r="E4882"/>
  <c r="B4883"/>
  <c r="E4883"/>
  <c r="B4884"/>
  <c r="E4884"/>
  <c r="B4885"/>
  <c r="E4885"/>
  <c r="B4886"/>
  <c r="E4886"/>
  <c r="B4887"/>
  <c r="E4887"/>
  <c r="B4888"/>
  <c r="E4888"/>
  <c r="B4889"/>
  <c r="E4889"/>
  <c r="B4890"/>
  <c r="E4890"/>
  <c r="B4891"/>
  <c r="E4891"/>
  <c r="B4892"/>
  <c r="E4892"/>
  <c r="B4893"/>
  <c r="E4893"/>
  <c r="B4894"/>
  <c r="E4894"/>
  <c r="B4895"/>
  <c r="E4895"/>
  <c r="B4896"/>
  <c r="E4896"/>
  <c r="B4897"/>
  <c r="E4897"/>
  <c r="B4898"/>
  <c r="E4898"/>
  <c r="B4899"/>
  <c r="E4899"/>
  <c r="B4900"/>
  <c r="E4900"/>
  <c r="B4901"/>
  <c r="E4901"/>
  <c r="B4902"/>
  <c r="E4902"/>
  <c r="B4903"/>
  <c r="E4903"/>
  <c r="B4904"/>
  <c r="E4904"/>
  <c r="B4905"/>
  <c r="E4905"/>
  <c r="B4906"/>
  <c r="E4906"/>
  <c r="B4907"/>
  <c r="E4907"/>
  <c r="B4908"/>
  <c r="E4908"/>
  <c r="B4909"/>
  <c r="E4909"/>
  <c r="B4910"/>
  <c r="E4910"/>
  <c r="B4911"/>
  <c r="E4911"/>
  <c r="B4912"/>
  <c r="E4912"/>
  <c r="B4913"/>
  <c r="E4913"/>
  <c r="B4914"/>
  <c r="E4914"/>
  <c r="B4915"/>
  <c r="E4915"/>
  <c r="B4916"/>
  <c r="E4916"/>
  <c r="B4917"/>
  <c r="E4917"/>
  <c r="B4918"/>
  <c r="E4918"/>
  <c r="B4919"/>
  <c r="E4919"/>
  <c r="B4920"/>
  <c r="E4920"/>
  <c r="B4921"/>
  <c r="E4921"/>
  <c r="B4922"/>
  <c r="E4922"/>
  <c r="B4923"/>
  <c r="E4923"/>
  <c r="B4924"/>
  <c r="E4924"/>
  <c r="B4925"/>
  <c r="E4925"/>
  <c r="B4926"/>
  <c r="E4926"/>
  <c r="B4927"/>
  <c r="E4927"/>
  <c r="B4928"/>
  <c r="E4928"/>
  <c r="B4929"/>
  <c r="E4929"/>
  <c r="B4930"/>
  <c r="E4930"/>
  <c r="B4931"/>
  <c r="E4931"/>
  <c r="B4932"/>
  <c r="E4932"/>
  <c r="B4933"/>
  <c r="E4933"/>
  <c r="B4934"/>
  <c r="E4934"/>
  <c r="B4935"/>
  <c r="E4935"/>
  <c r="B4936"/>
  <c r="E4936"/>
  <c r="B4937"/>
  <c r="E4937"/>
  <c r="B4938"/>
  <c r="E4938"/>
  <c r="B4939"/>
  <c r="E4939"/>
  <c r="B4940"/>
  <c r="E4940"/>
  <c r="B4941"/>
  <c r="E4941"/>
  <c r="B4942"/>
  <c r="E4942"/>
  <c r="B4943"/>
  <c r="E4943"/>
  <c r="B4944"/>
  <c r="E4944"/>
  <c r="B4945"/>
  <c r="E4945"/>
  <c r="B4946"/>
  <c r="E4946"/>
  <c r="B4947"/>
  <c r="E4947"/>
  <c r="B4948"/>
  <c r="E4948"/>
  <c r="B4949"/>
  <c r="E4949"/>
  <c r="B4950"/>
  <c r="E4950"/>
  <c r="B4951"/>
  <c r="E4951"/>
  <c r="B4952"/>
  <c r="E4952"/>
  <c r="B4953"/>
  <c r="E4953"/>
  <c r="B4954"/>
  <c r="E4954"/>
  <c r="B4955"/>
  <c r="E4955"/>
  <c r="B4956"/>
  <c r="E4956"/>
  <c r="B4957"/>
  <c r="E4957"/>
  <c r="B4958"/>
  <c r="E4958"/>
  <c r="B4959"/>
  <c r="E4959"/>
  <c r="B4960"/>
  <c r="E4960"/>
  <c r="B4961"/>
  <c r="E4961"/>
  <c r="B4962"/>
  <c r="E4962"/>
  <c r="B4963"/>
  <c r="E4963"/>
  <c r="B4964"/>
  <c r="E4964"/>
  <c r="B4965"/>
  <c r="E4965"/>
  <c r="B4966"/>
  <c r="E4966"/>
  <c r="B4967"/>
  <c r="E4967"/>
  <c r="B4968"/>
  <c r="E4968"/>
  <c r="B4969"/>
  <c r="E4969"/>
  <c r="B4970"/>
  <c r="E4970"/>
  <c r="B4971"/>
  <c r="E4971"/>
  <c r="B4972"/>
  <c r="E4972"/>
  <c r="B4973"/>
  <c r="E4973"/>
  <c r="B4974"/>
  <c r="E4974"/>
  <c r="B4975"/>
  <c r="E4975"/>
  <c r="B4976"/>
  <c r="E4976"/>
  <c r="B4977"/>
  <c r="E4977"/>
  <c r="B4978"/>
  <c r="E4978"/>
  <c r="B4979"/>
  <c r="E4979"/>
  <c r="B4980"/>
  <c r="E4980"/>
  <c r="B4981"/>
  <c r="E4981"/>
  <c r="B4982"/>
  <c r="E4982"/>
  <c r="B4983"/>
  <c r="E4983"/>
  <c r="B4984"/>
  <c r="E4984"/>
  <c r="B4985"/>
  <c r="E4985"/>
  <c r="B4986"/>
  <c r="E4986"/>
  <c r="B4987"/>
  <c r="E4987"/>
  <c r="B4988"/>
  <c r="E4988"/>
  <c r="B4989"/>
  <c r="E4989"/>
  <c r="B4990"/>
  <c r="E4990"/>
  <c r="B4991"/>
  <c r="E4991"/>
  <c r="B4992"/>
  <c r="E4992"/>
  <c r="B4993"/>
  <c r="E4993"/>
  <c r="B4994"/>
  <c r="E4994"/>
  <c r="B4995"/>
  <c r="E4995"/>
  <c r="B4996"/>
  <c r="E4996"/>
  <c r="B4997"/>
  <c r="E4997"/>
  <c r="B4998"/>
  <c r="E4998"/>
  <c r="B4999"/>
  <c r="E4999"/>
  <c r="B5000"/>
  <c r="E5000"/>
  <c r="B5001"/>
  <c r="E5001"/>
  <c r="B5002"/>
  <c r="E5002"/>
  <c r="B5003"/>
  <c r="E5003"/>
  <c r="B5004"/>
  <c r="E5004"/>
  <c r="B5005"/>
  <c r="E5005"/>
  <c r="B5006"/>
  <c r="E5006"/>
  <c r="B5007"/>
  <c r="E5007"/>
  <c r="B5008"/>
  <c r="E5008"/>
  <c r="B5009"/>
  <c r="E5009"/>
  <c r="B5010"/>
  <c r="E5010"/>
  <c r="B5011"/>
  <c r="E5011"/>
  <c r="B5012"/>
  <c r="E5012"/>
  <c r="B5013"/>
  <c r="E5013"/>
  <c r="B5014"/>
  <c r="E5014"/>
  <c r="B5015"/>
  <c r="E5015"/>
  <c r="B5016"/>
  <c r="E5016"/>
  <c r="B5017"/>
  <c r="E5017"/>
  <c r="B5018"/>
  <c r="E5018"/>
  <c r="B5019"/>
  <c r="E5019"/>
  <c r="B5020"/>
  <c r="E5020"/>
  <c r="B5021"/>
  <c r="E5021"/>
  <c r="B5022"/>
  <c r="E5022"/>
  <c r="B5023"/>
  <c r="E5023"/>
  <c r="B5024"/>
  <c r="E5024"/>
  <c r="B5025"/>
  <c r="E5025"/>
  <c r="B5026"/>
  <c r="E5026"/>
  <c r="B5027"/>
  <c r="E5027"/>
  <c r="B5028"/>
  <c r="E5028"/>
  <c r="B5029"/>
  <c r="E5029"/>
  <c r="B5030"/>
  <c r="E5030"/>
  <c r="B5031"/>
  <c r="E5031"/>
  <c r="B5032"/>
  <c r="E5032"/>
  <c r="B5033"/>
  <c r="E5033"/>
  <c r="B5034"/>
  <c r="E5034"/>
  <c r="B5035"/>
  <c r="E5035"/>
  <c r="B5036"/>
  <c r="E5036"/>
  <c r="B5037"/>
  <c r="E5037"/>
  <c r="B5038"/>
  <c r="E5038"/>
  <c r="B5039"/>
  <c r="E5039"/>
  <c r="B5040"/>
  <c r="E5040"/>
  <c r="B5041"/>
  <c r="E5041"/>
  <c r="B5042"/>
  <c r="E5042"/>
  <c r="B5043"/>
  <c r="E5043"/>
  <c r="B5044"/>
  <c r="E5044"/>
  <c r="B5045"/>
  <c r="E5045"/>
  <c r="B5046"/>
  <c r="E5046"/>
  <c r="B5047"/>
  <c r="E5047"/>
  <c r="B5048"/>
  <c r="E5048"/>
  <c r="B5049"/>
  <c r="E5049"/>
  <c r="B5050"/>
  <c r="E5050"/>
  <c r="B5051"/>
  <c r="E5051"/>
  <c r="B5052"/>
  <c r="E5052"/>
  <c r="B5053"/>
  <c r="E5053"/>
  <c r="B5054"/>
  <c r="E5054"/>
  <c r="B5055"/>
  <c r="E5055"/>
  <c r="B5056"/>
  <c r="E5056"/>
  <c r="B5057"/>
  <c r="E5057"/>
  <c r="B5058"/>
  <c r="E5058"/>
  <c r="B5059"/>
  <c r="E5059"/>
  <c r="B5060"/>
  <c r="E5060"/>
  <c r="B5061"/>
  <c r="E5061"/>
  <c r="B5062"/>
  <c r="E5062"/>
  <c r="B5063"/>
  <c r="E5063"/>
  <c r="B5064"/>
  <c r="E5064"/>
  <c r="B5065"/>
  <c r="E5065"/>
  <c r="B5066"/>
  <c r="E5066"/>
  <c r="B5067"/>
  <c r="E5067"/>
  <c r="B5068"/>
  <c r="E5068"/>
  <c r="B5069"/>
  <c r="E5069"/>
  <c r="B5070"/>
  <c r="E5070"/>
  <c r="B5071"/>
  <c r="E5071"/>
  <c r="B5072"/>
  <c r="E5072"/>
  <c r="B5073"/>
  <c r="E5073"/>
  <c r="B5074"/>
  <c r="E5074"/>
  <c r="B5075"/>
  <c r="E5075"/>
  <c r="B5076"/>
  <c r="E5076"/>
  <c r="B5077"/>
  <c r="E5077"/>
  <c r="B5078"/>
  <c r="E5078"/>
  <c r="B5079"/>
  <c r="E5079"/>
  <c r="B5080"/>
  <c r="E5080"/>
  <c r="B5081"/>
  <c r="E5081"/>
  <c r="B5082"/>
  <c r="E5082"/>
  <c r="B5083"/>
  <c r="E5083"/>
  <c r="B5084"/>
  <c r="E5084"/>
  <c r="B5085"/>
  <c r="E5085"/>
  <c r="B5086"/>
  <c r="E5086"/>
  <c r="B5087"/>
  <c r="E5087"/>
  <c r="B5088"/>
  <c r="E5088"/>
  <c r="B5089"/>
  <c r="E5089"/>
  <c r="B5090"/>
  <c r="E5090"/>
  <c r="B5091"/>
  <c r="E5091"/>
  <c r="B5092"/>
  <c r="E5092"/>
  <c r="B5093"/>
  <c r="E5093"/>
  <c r="B5094"/>
  <c r="E5094"/>
  <c r="B5095"/>
  <c r="E5095"/>
  <c r="B5096"/>
  <c r="E5096"/>
  <c r="B5097"/>
  <c r="E5097"/>
  <c r="B5098"/>
  <c r="E5098"/>
  <c r="B5099"/>
  <c r="E5099"/>
  <c r="B5100"/>
  <c r="E5100"/>
  <c r="B5101"/>
  <c r="E5101"/>
  <c r="B5102"/>
  <c r="E5102"/>
  <c r="B5103"/>
  <c r="E5103"/>
  <c r="B5104"/>
  <c r="E5104"/>
  <c r="B5105"/>
  <c r="E5105"/>
  <c r="B5106"/>
  <c r="E5106"/>
  <c r="B5107"/>
  <c r="E5107"/>
  <c r="B5108"/>
  <c r="E5108"/>
  <c r="B5109"/>
  <c r="E5109"/>
  <c r="B5110"/>
  <c r="E5110"/>
  <c r="B5111"/>
  <c r="E5111"/>
  <c r="B5112"/>
  <c r="E5112"/>
  <c r="B5113"/>
  <c r="E5113"/>
  <c r="B5114"/>
  <c r="E5114"/>
  <c r="B5115"/>
  <c r="E5115"/>
  <c r="B5116"/>
  <c r="E5116"/>
  <c r="B5117"/>
  <c r="E5117"/>
  <c r="B5118"/>
  <c r="E5118"/>
  <c r="B5119"/>
  <c r="E5119"/>
  <c r="B5120"/>
  <c r="E5120"/>
  <c r="B5121"/>
  <c r="E5121"/>
  <c r="B5122"/>
  <c r="E5122"/>
  <c r="B5123"/>
  <c r="E5123"/>
  <c r="B5124"/>
  <c r="E5124"/>
  <c r="B5125"/>
  <c r="E5125"/>
  <c r="B5126"/>
  <c r="E5126"/>
  <c r="B5127"/>
  <c r="E5127"/>
  <c r="B5128"/>
  <c r="E5128"/>
  <c r="B5129"/>
  <c r="E5129"/>
  <c r="B5130"/>
  <c r="E5130"/>
  <c r="B5131"/>
  <c r="E5131"/>
  <c r="B5132"/>
  <c r="E5132"/>
  <c r="B5133"/>
  <c r="E5133"/>
  <c r="B5134"/>
  <c r="E5134"/>
  <c r="B5135"/>
  <c r="E5135"/>
  <c r="B5136"/>
  <c r="E5136"/>
  <c r="B5137"/>
  <c r="E5137"/>
  <c r="B5138"/>
  <c r="E5138"/>
  <c r="B5139"/>
  <c r="E5139"/>
  <c r="B5140"/>
  <c r="E5140"/>
  <c r="B5141"/>
  <c r="E5141"/>
  <c r="B5142"/>
  <c r="E5142"/>
  <c r="B5143"/>
  <c r="E5143"/>
  <c r="B5144"/>
  <c r="E5144"/>
  <c r="B5145"/>
  <c r="E5145"/>
  <c r="B5146"/>
  <c r="E5146"/>
  <c r="B5147"/>
  <c r="E5147"/>
  <c r="B5148"/>
  <c r="E5148"/>
  <c r="B5149"/>
  <c r="E5149"/>
  <c r="B5150"/>
  <c r="E5150"/>
  <c r="B5151"/>
  <c r="E5151"/>
  <c r="B5152"/>
  <c r="E5152"/>
  <c r="B5153"/>
  <c r="E5153"/>
  <c r="B5154"/>
  <c r="E5154"/>
  <c r="B5155"/>
  <c r="E5155"/>
  <c r="B5156"/>
  <c r="E5156"/>
  <c r="B5157"/>
  <c r="E5157"/>
  <c r="B5158"/>
  <c r="E5158"/>
  <c r="B5159"/>
  <c r="E5159"/>
  <c r="B5160"/>
  <c r="E5160"/>
  <c r="B5161"/>
  <c r="E5161"/>
  <c r="B5162"/>
  <c r="E5162"/>
  <c r="B5163"/>
  <c r="E5163"/>
  <c r="B5164"/>
  <c r="E5164"/>
  <c r="B5165"/>
  <c r="E5165"/>
  <c r="B5166"/>
  <c r="E5166"/>
  <c r="B5167"/>
  <c r="E5167"/>
  <c r="B5168"/>
  <c r="E5168"/>
  <c r="B5169"/>
  <c r="E5169"/>
  <c r="B5170"/>
  <c r="E5170"/>
  <c r="B5171"/>
  <c r="E5171"/>
  <c r="B5172"/>
  <c r="E5172"/>
  <c r="B5173"/>
  <c r="E5173"/>
  <c r="B5174"/>
  <c r="E5174"/>
  <c r="B5175"/>
  <c r="E5175"/>
  <c r="B5176"/>
  <c r="E5176"/>
  <c r="B5177"/>
  <c r="E5177"/>
  <c r="B5178"/>
  <c r="E5178"/>
  <c r="B5179"/>
  <c r="E5179"/>
  <c r="B5180"/>
  <c r="E5180"/>
  <c r="B5181"/>
  <c r="E5181"/>
  <c r="B5182"/>
  <c r="E5182"/>
  <c r="B5183"/>
  <c r="E5183"/>
  <c r="B5184"/>
  <c r="E5184"/>
  <c r="B5185"/>
  <c r="E5185"/>
  <c r="B5186"/>
  <c r="E5186"/>
  <c r="B5187"/>
  <c r="E5187"/>
  <c r="B5188"/>
  <c r="E5188"/>
  <c r="B5189"/>
  <c r="E5189"/>
  <c r="B5190"/>
  <c r="E5190"/>
  <c r="B5191"/>
  <c r="E5191"/>
  <c r="B5192"/>
  <c r="E5192"/>
  <c r="B5193"/>
  <c r="E5193"/>
  <c r="B5194"/>
  <c r="E5194"/>
  <c r="B5195"/>
  <c r="E5195"/>
  <c r="B5196"/>
  <c r="E5196"/>
  <c r="B5197"/>
  <c r="E5197"/>
  <c r="B5198"/>
  <c r="E5198"/>
  <c r="B5199"/>
  <c r="E5199"/>
  <c r="B5200"/>
  <c r="E5200"/>
  <c r="B5201"/>
  <c r="E5201"/>
  <c r="B5202"/>
  <c r="E5202"/>
  <c r="B5203"/>
  <c r="E5203"/>
  <c r="B5204"/>
  <c r="E5204"/>
  <c r="B5205"/>
  <c r="E5205"/>
  <c r="B5206"/>
  <c r="E5206"/>
  <c r="B5207"/>
  <c r="E5207"/>
  <c r="B5208"/>
  <c r="E5208"/>
  <c r="B5209"/>
  <c r="E5209"/>
  <c r="B5210"/>
  <c r="E5210"/>
  <c r="B5211"/>
  <c r="E5211"/>
  <c r="B5212"/>
  <c r="E5212"/>
  <c r="B5213"/>
  <c r="E5213"/>
  <c r="B5214"/>
  <c r="E5214"/>
  <c r="B5215"/>
  <c r="E5215"/>
  <c r="B5216"/>
  <c r="E5216"/>
  <c r="B5217"/>
  <c r="E5217"/>
  <c r="B5218"/>
  <c r="E5218"/>
  <c r="B5219"/>
  <c r="E5219"/>
  <c r="B5220"/>
  <c r="E5220"/>
  <c r="B5221"/>
  <c r="E5221"/>
  <c r="B5222"/>
  <c r="E5222"/>
  <c r="B5223"/>
  <c r="E5223"/>
  <c r="B5224"/>
  <c r="E5224"/>
  <c r="B5225"/>
  <c r="E5225"/>
  <c r="B5226"/>
  <c r="E5226"/>
  <c r="B5227"/>
  <c r="E5227"/>
  <c r="B5228"/>
  <c r="E5228"/>
  <c r="B5229"/>
  <c r="E5229"/>
  <c r="B5230"/>
  <c r="E5230"/>
  <c r="B5231"/>
  <c r="E5231"/>
  <c r="B5232"/>
  <c r="E5232"/>
  <c r="B5233"/>
  <c r="E5233"/>
  <c r="B5234"/>
  <c r="E5234"/>
  <c r="B5235"/>
  <c r="E5235"/>
  <c r="B5236"/>
  <c r="E5236"/>
  <c r="B5237"/>
  <c r="E5237"/>
  <c r="B5238"/>
  <c r="E5238"/>
  <c r="B5239"/>
  <c r="E5239"/>
  <c r="B5240"/>
  <c r="E5240"/>
  <c r="B5241"/>
  <c r="E5241"/>
  <c r="B5242"/>
  <c r="E5242"/>
  <c r="B5243"/>
  <c r="E5243"/>
  <c r="B5244"/>
  <c r="E5244"/>
  <c r="B5245"/>
  <c r="E5245"/>
  <c r="B5246"/>
  <c r="E5246"/>
  <c r="B5247"/>
  <c r="E5247"/>
  <c r="B5248"/>
  <c r="E5248"/>
  <c r="B5249"/>
  <c r="E5249"/>
  <c r="B5250"/>
  <c r="E5250"/>
  <c r="B5251"/>
  <c r="E5251"/>
  <c r="B5252"/>
  <c r="E5252"/>
  <c r="B5253"/>
  <c r="E5253"/>
  <c r="B5254"/>
  <c r="E5254"/>
  <c r="B5255"/>
  <c r="E5255"/>
  <c r="B5256"/>
  <c r="E5256"/>
  <c r="B5257"/>
  <c r="E5257"/>
  <c r="B5258"/>
  <c r="E5258"/>
  <c r="B5259"/>
  <c r="E5259"/>
  <c r="B5260"/>
  <c r="E5260"/>
  <c r="B5261"/>
  <c r="E5261"/>
  <c r="B5262"/>
  <c r="E5262"/>
  <c r="B5263"/>
  <c r="E5263"/>
  <c r="B5264"/>
  <c r="E5264"/>
  <c r="B5265"/>
  <c r="E5265"/>
  <c r="B5266"/>
  <c r="E5266"/>
  <c r="B5267"/>
  <c r="E5267"/>
  <c r="B5268"/>
  <c r="E5268"/>
  <c r="B5269"/>
  <c r="E5269"/>
  <c r="B5270"/>
  <c r="E5270"/>
  <c r="B5271"/>
  <c r="E5271"/>
  <c r="B5272"/>
  <c r="E5272"/>
  <c r="B5273"/>
  <c r="E5273"/>
  <c r="B5274"/>
  <c r="E5274"/>
  <c r="B5275"/>
  <c r="E5275"/>
  <c r="B5276"/>
  <c r="E5276"/>
  <c r="B5277"/>
  <c r="E5277"/>
  <c r="B5278"/>
  <c r="E5278"/>
  <c r="B5279"/>
  <c r="E5279"/>
  <c r="B5280"/>
  <c r="E5280"/>
  <c r="B5281"/>
  <c r="E5281"/>
  <c r="B5282"/>
  <c r="E5282"/>
  <c r="B5283"/>
  <c r="E5283"/>
  <c r="B5284"/>
  <c r="E5284"/>
  <c r="B5285"/>
  <c r="E5285"/>
  <c r="B5286"/>
  <c r="E5286"/>
  <c r="B5287"/>
  <c r="E5287"/>
  <c r="B5288"/>
  <c r="E5288"/>
  <c r="B5289"/>
  <c r="E5289"/>
  <c r="B5290"/>
  <c r="E5290"/>
  <c r="B5291"/>
  <c r="E5291"/>
  <c r="B5292"/>
  <c r="E5292"/>
  <c r="B5293"/>
  <c r="E5293"/>
  <c r="B5294"/>
  <c r="E5294"/>
  <c r="B5295"/>
  <c r="E5295"/>
  <c r="B5296"/>
  <c r="E5296"/>
  <c r="B5297"/>
  <c r="E5297"/>
  <c r="B5298"/>
  <c r="E5298"/>
  <c r="B5299"/>
  <c r="E5299"/>
  <c r="B5300"/>
  <c r="E5300"/>
  <c r="B5301"/>
  <c r="E5301"/>
  <c r="B5302"/>
  <c r="E5302"/>
  <c r="B5303"/>
  <c r="E5303"/>
  <c r="B5304"/>
  <c r="E5304"/>
  <c r="B5305"/>
  <c r="E5305"/>
  <c r="B5306"/>
  <c r="E5306"/>
  <c r="B5307"/>
  <c r="E5307"/>
  <c r="B5308"/>
  <c r="E5308"/>
  <c r="B5309"/>
  <c r="E5309"/>
  <c r="B5310"/>
  <c r="E5310"/>
  <c r="B5311"/>
  <c r="E5311"/>
  <c r="B5312"/>
  <c r="E5312"/>
  <c r="B5313"/>
  <c r="E5313"/>
  <c r="B5314"/>
  <c r="E5314"/>
  <c r="B5315"/>
  <c r="E5315"/>
  <c r="B5316"/>
  <c r="E5316"/>
  <c r="B5317"/>
  <c r="E5317"/>
  <c r="B5318"/>
  <c r="E5318"/>
  <c r="B5319"/>
  <c r="E5319"/>
  <c r="B5320"/>
  <c r="E5320"/>
  <c r="B5321"/>
  <c r="E5321"/>
  <c r="B5322"/>
  <c r="E5322"/>
  <c r="B5323"/>
  <c r="E5323"/>
  <c r="B5324"/>
  <c r="E5324"/>
  <c r="B5325"/>
  <c r="E5325"/>
  <c r="B5326"/>
  <c r="E5326"/>
  <c r="B5327"/>
  <c r="E5327"/>
  <c r="B5328"/>
  <c r="E5328"/>
  <c r="B5329"/>
  <c r="E5329"/>
  <c r="B5330"/>
  <c r="E5330"/>
  <c r="B5331"/>
  <c r="E5331"/>
  <c r="B5332"/>
  <c r="E5332"/>
  <c r="B5333"/>
  <c r="E5333"/>
  <c r="B5334"/>
  <c r="E5334"/>
  <c r="B5335"/>
  <c r="E5335"/>
  <c r="B5336"/>
  <c r="E5336"/>
  <c r="B5337"/>
  <c r="E5337"/>
  <c r="B5338"/>
  <c r="E5338"/>
  <c r="B5339"/>
  <c r="E5339"/>
  <c r="B5340"/>
  <c r="E5340"/>
  <c r="B5341"/>
  <c r="E5341"/>
  <c r="B5342"/>
  <c r="E5342"/>
  <c r="B5343"/>
  <c r="E5343"/>
  <c r="B5344"/>
  <c r="E5344"/>
  <c r="B5345"/>
  <c r="E5345"/>
  <c r="B5346"/>
  <c r="E5346"/>
  <c r="B5347"/>
  <c r="E5347"/>
  <c r="B5348"/>
  <c r="E5348"/>
  <c r="B5349"/>
  <c r="E5349"/>
  <c r="B5350"/>
  <c r="E5350"/>
  <c r="B5351"/>
  <c r="E5351"/>
  <c r="B5352"/>
  <c r="E5352"/>
  <c r="B5353"/>
  <c r="E5353"/>
  <c r="B5354"/>
  <c r="E5354"/>
  <c r="B5355"/>
  <c r="E5355"/>
  <c r="B5356"/>
  <c r="E5356"/>
  <c r="B5357"/>
  <c r="E5357"/>
  <c r="B5358"/>
  <c r="E5358"/>
  <c r="B5359"/>
  <c r="E5359"/>
  <c r="B5360"/>
  <c r="E5360"/>
  <c r="B5361"/>
  <c r="E5361"/>
  <c r="B5362"/>
  <c r="E5362"/>
  <c r="B5363"/>
  <c r="E5363"/>
  <c r="B5364"/>
  <c r="E5364"/>
  <c r="B5365"/>
  <c r="E5365"/>
  <c r="B5366"/>
  <c r="E5366"/>
  <c r="B5367"/>
  <c r="E5367"/>
  <c r="B5368"/>
  <c r="E5368"/>
  <c r="B5369"/>
  <c r="E5369"/>
  <c r="B5370"/>
  <c r="E5370"/>
  <c r="B5371"/>
  <c r="E5371"/>
  <c r="B5372"/>
  <c r="E5372"/>
  <c r="B5373"/>
  <c r="E5373"/>
  <c r="B5374"/>
  <c r="E5374"/>
  <c r="B5375"/>
  <c r="E5375"/>
  <c r="B5376"/>
  <c r="E5376"/>
  <c r="B5377"/>
  <c r="E5377"/>
  <c r="B5378"/>
  <c r="E5378"/>
  <c r="B5379"/>
  <c r="E5379"/>
  <c r="B5380"/>
  <c r="E5380"/>
  <c r="B5381"/>
  <c r="E5381"/>
  <c r="B5382"/>
  <c r="E5382"/>
  <c r="B5383"/>
  <c r="E5383"/>
  <c r="B5384"/>
  <c r="E5384"/>
  <c r="B5385"/>
  <c r="E5385"/>
  <c r="B5386"/>
  <c r="E5386"/>
  <c r="B5387"/>
  <c r="E5387"/>
  <c r="B5388"/>
  <c r="E5388"/>
  <c r="B5389"/>
  <c r="E5389"/>
  <c r="B5390"/>
  <c r="E5390"/>
  <c r="B5391"/>
  <c r="E5391"/>
  <c r="B5392"/>
  <c r="E5392"/>
  <c r="B5393"/>
  <c r="E5393"/>
  <c r="B5394"/>
  <c r="E5394"/>
  <c r="B5395"/>
  <c r="E5395"/>
  <c r="B5396"/>
  <c r="E5396"/>
  <c r="B5397"/>
  <c r="E5397"/>
  <c r="B5398"/>
  <c r="E5398"/>
  <c r="B5399"/>
  <c r="E5399"/>
  <c r="B5400"/>
  <c r="E5400"/>
  <c r="B5401"/>
  <c r="E5401"/>
  <c r="B5402"/>
  <c r="E5402"/>
  <c r="B5403"/>
  <c r="E5403"/>
  <c r="B5404"/>
  <c r="E5404"/>
  <c r="B5405"/>
  <c r="E5405"/>
  <c r="B5406"/>
  <c r="E5406"/>
  <c r="B5407"/>
  <c r="E5407"/>
  <c r="B5408"/>
  <c r="E5408"/>
  <c r="B5409"/>
  <c r="E5409"/>
  <c r="B5410"/>
  <c r="E5410"/>
  <c r="B5411"/>
  <c r="E5411"/>
  <c r="B5412"/>
  <c r="E5412"/>
  <c r="B5413"/>
  <c r="E5413"/>
  <c r="B5414"/>
  <c r="E5414"/>
  <c r="B5415"/>
  <c r="E5415"/>
  <c r="B5416"/>
  <c r="E5416"/>
  <c r="B5417"/>
  <c r="E5417"/>
  <c r="B5418"/>
  <c r="E5418"/>
  <c r="B5419"/>
  <c r="E5419"/>
  <c r="B5420"/>
  <c r="E5420"/>
  <c r="B5421"/>
  <c r="E5421"/>
  <c r="B5422"/>
  <c r="E5422"/>
  <c r="B5423"/>
  <c r="E5423"/>
  <c r="B5424"/>
  <c r="E5424"/>
  <c r="B5425"/>
  <c r="E5425"/>
  <c r="B5426"/>
  <c r="E5426"/>
  <c r="B5427"/>
  <c r="E5427"/>
  <c r="B5428"/>
  <c r="E5428"/>
  <c r="B5429"/>
  <c r="E5429"/>
  <c r="B5430"/>
  <c r="E5430"/>
  <c r="B5431"/>
  <c r="E5431"/>
  <c r="B5432"/>
  <c r="E5432"/>
  <c r="B5433"/>
  <c r="E5433"/>
  <c r="B5434"/>
  <c r="E5434"/>
  <c r="B5435"/>
  <c r="E5435"/>
  <c r="B5436"/>
  <c r="E5436"/>
  <c r="B5437"/>
  <c r="E5437"/>
  <c r="B5438"/>
  <c r="E5438"/>
  <c r="B5439"/>
  <c r="E5439"/>
  <c r="B5440"/>
  <c r="E5440"/>
  <c r="B5441"/>
  <c r="E5441"/>
  <c r="B5442"/>
  <c r="E5442"/>
  <c r="B5443"/>
  <c r="E5443"/>
  <c r="B5444"/>
  <c r="E5444"/>
  <c r="B5445"/>
  <c r="E5445"/>
  <c r="B5446"/>
  <c r="E5446"/>
  <c r="B5447"/>
  <c r="E5447"/>
  <c r="B5448"/>
  <c r="E5448"/>
  <c r="B5449"/>
  <c r="E5449"/>
  <c r="B5450"/>
  <c r="E5450"/>
  <c r="B5451"/>
  <c r="E5451"/>
  <c r="B5452"/>
  <c r="E5452"/>
  <c r="B5453"/>
  <c r="E5453"/>
  <c r="B5454"/>
  <c r="E5454"/>
  <c r="B5455"/>
  <c r="E5455"/>
  <c r="B5456"/>
  <c r="E5456"/>
  <c r="B5457"/>
  <c r="E5457"/>
  <c r="B5458"/>
  <c r="E5458"/>
  <c r="B5459"/>
  <c r="E5459"/>
  <c r="B5460"/>
  <c r="E5460"/>
  <c r="B5461"/>
  <c r="E5461"/>
  <c r="B5462"/>
  <c r="E5462"/>
  <c r="B5463"/>
  <c r="E5463"/>
  <c r="B5464"/>
  <c r="E5464"/>
  <c r="B5465"/>
  <c r="E5465"/>
  <c r="B5466"/>
  <c r="E5466"/>
  <c r="B5467"/>
  <c r="E5467"/>
  <c r="B5468"/>
  <c r="E5468"/>
  <c r="B5469"/>
  <c r="E5469"/>
  <c r="B5470"/>
  <c r="E5470"/>
  <c r="B5471"/>
  <c r="E5471"/>
  <c r="B5472"/>
  <c r="E5472"/>
  <c r="B5473"/>
  <c r="E5473"/>
  <c r="B5474"/>
  <c r="E5474"/>
  <c r="B5475"/>
  <c r="E5475"/>
  <c r="B5476"/>
  <c r="E5476"/>
  <c r="B5477"/>
  <c r="E5477"/>
  <c r="B5478"/>
  <c r="E5478"/>
  <c r="B5479"/>
  <c r="E5479"/>
  <c r="B5480"/>
  <c r="E5480"/>
  <c r="B5481"/>
  <c r="E5481"/>
  <c r="B5482"/>
  <c r="E5482"/>
  <c r="B5483"/>
  <c r="E5483"/>
  <c r="B5484"/>
  <c r="E5484"/>
  <c r="B5485"/>
  <c r="E5485"/>
  <c r="B5486"/>
  <c r="E5486"/>
  <c r="B5487"/>
  <c r="E5487"/>
  <c r="B5488"/>
  <c r="E5488"/>
  <c r="B5489"/>
  <c r="E5489"/>
  <c r="B5490"/>
  <c r="E5490"/>
  <c r="B5491"/>
  <c r="E5491"/>
  <c r="B5492"/>
  <c r="E5492"/>
  <c r="B5493"/>
  <c r="E5493"/>
  <c r="B5494"/>
  <c r="E5494"/>
  <c r="B5495"/>
  <c r="E5495"/>
  <c r="B5496"/>
  <c r="E5496"/>
  <c r="B5497"/>
  <c r="E5497"/>
  <c r="B5498"/>
  <c r="E5498"/>
  <c r="B5499"/>
  <c r="E5499"/>
  <c r="B5500"/>
  <c r="E5500"/>
  <c r="B5501"/>
  <c r="E5501"/>
  <c r="B5502"/>
  <c r="E5502"/>
  <c r="B5503"/>
  <c r="E5503"/>
  <c r="B5504"/>
  <c r="E5504"/>
  <c r="B5505"/>
  <c r="E5505"/>
  <c r="B5506"/>
  <c r="E5506"/>
  <c r="B5507"/>
  <c r="E5507"/>
  <c r="B5508"/>
  <c r="E5508"/>
  <c r="B5509"/>
  <c r="E5509"/>
  <c r="B5510"/>
  <c r="E5510"/>
  <c r="B5511"/>
  <c r="E5511"/>
  <c r="B5512"/>
  <c r="E5512"/>
  <c r="B5513"/>
  <c r="E5513"/>
  <c r="B5514"/>
  <c r="E5514"/>
  <c r="B5515"/>
  <c r="E5515"/>
  <c r="B5516"/>
  <c r="E5516"/>
  <c r="B5517"/>
  <c r="E5517"/>
  <c r="B5518"/>
  <c r="E5518"/>
  <c r="B5519"/>
  <c r="E5519"/>
  <c r="B5520"/>
  <c r="E5520"/>
  <c r="B5521"/>
  <c r="E5521"/>
  <c r="B5522"/>
  <c r="E5522"/>
  <c r="B5523"/>
  <c r="E5523"/>
  <c r="B5524"/>
  <c r="E5524"/>
  <c r="B5525"/>
  <c r="E5525"/>
  <c r="B5526"/>
  <c r="E5526"/>
  <c r="B5527"/>
  <c r="E5527"/>
  <c r="B5528"/>
  <c r="E5528"/>
  <c r="B5529"/>
  <c r="E5529"/>
  <c r="B5530"/>
  <c r="E5530"/>
  <c r="B5531"/>
  <c r="E5531"/>
  <c r="B5532"/>
  <c r="E5532"/>
  <c r="B5533"/>
  <c r="E5533"/>
  <c r="B5534"/>
  <c r="E5534"/>
  <c r="B5535"/>
  <c r="E5535"/>
  <c r="B5536"/>
  <c r="E5536"/>
  <c r="B5537"/>
  <c r="E5537"/>
  <c r="B5538"/>
  <c r="E5538"/>
  <c r="B5539"/>
  <c r="E5539"/>
  <c r="B5540"/>
  <c r="E5540"/>
  <c r="B5541"/>
  <c r="E5541"/>
  <c r="B5542"/>
  <c r="E5542"/>
  <c r="B5543"/>
  <c r="E5543"/>
  <c r="B5544"/>
  <c r="E5544"/>
  <c r="B5545"/>
  <c r="E5545"/>
  <c r="B5546"/>
  <c r="E5546"/>
  <c r="B5547"/>
  <c r="E5547"/>
  <c r="B5548"/>
  <c r="E5548"/>
  <c r="B5549"/>
  <c r="E5549"/>
  <c r="B5550"/>
  <c r="E5550"/>
  <c r="B5551"/>
  <c r="E5551"/>
  <c r="B5552"/>
  <c r="E5552"/>
  <c r="B5553"/>
  <c r="E5553"/>
  <c r="B5554"/>
  <c r="E5554"/>
  <c r="B5555"/>
  <c r="E5555"/>
  <c r="B5556"/>
  <c r="E5556"/>
  <c r="B5557"/>
  <c r="E5557"/>
  <c r="B5558"/>
  <c r="E5558"/>
  <c r="B5559"/>
  <c r="E5559"/>
  <c r="B5560"/>
  <c r="E5560"/>
  <c r="B5561"/>
  <c r="E5561"/>
  <c r="B5562"/>
  <c r="E5562"/>
  <c r="B5563"/>
  <c r="E5563"/>
  <c r="B5564"/>
  <c r="E5564"/>
  <c r="B5565"/>
  <c r="E5565"/>
  <c r="B5566"/>
  <c r="E5566"/>
  <c r="B5567"/>
  <c r="E5567"/>
  <c r="B5568"/>
  <c r="E5568"/>
  <c r="B5569"/>
  <c r="E5569"/>
  <c r="B5570"/>
  <c r="E5570"/>
  <c r="B5571"/>
  <c r="E5571"/>
  <c r="B5572"/>
  <c r="E5572"/>
  <c r="B5573"/>
  <c r="E5573"/>
  <c r="B5574"/>
  <c r="E5574"/>
  <c r="B5575"/>
  <c r="E5575"/>
  <c r="B5576"/>
  <c r="E5576"/>
  <c r="B5577"/>
  <c r="E5577"/>
  <c r="B5578"/>
  <c r="E5578"/>
  <c r="B5579"/>
  <c r="E5579"/>
  <c r="B5580"/>
  <c r="E5580"/>
  <c r="B5581"/>
  <c r="E5581"/>
  <c r="B5582"/>
  <c r="E5582"/>
  <c r="B5583"/>
  <c r="E5583"/>
  <c r="B5584"/>
  <c r="E5584"/>
  <c r="B5585"/>
  <c r="E5585"/>
  <c r="B5586"/>
  <c r="E5586"/>
  <c r="B5587"/>
  <c r="E5587"/>
  <c r="B5588"/>
  <c r="E5588"/>
  <c r="B5589"/>
  <c r="E5589"/>
  <c r="B5590"/>
  <c r="E5590"/>
  <c r="B5591"/>
  <c r="E5591"/>
  <c r="B5592"/>
  <c r="E5592"/>
  <c r="B5593"/>
  <c r="E5593"/>
  <c r="B5594"/>
  <c r="E5594"/>
  <c r="B5595"/>
  <c r="E5595"/>
  <c r="B5596"/>
  <c r="E5596"/>
  <c r="B5597"/>
  <c r="E5597"/>
  <c r="B5598"/>
  <c r="E5598"/>
  <c r="B5599"/>
  <c r="E5599"/>
  <c r="B5600"/>
  <c r="E5600"/>
  <c r="B5601"/>
  <c r="E5601"/>
  <c r="B5602"/>
  <c r="E5602"/>
  <c r="B5603"/>
  <c r="E5603"/>
  <c r="B5604"/>
  <c r="E5604"/>
  <c r="B5605"/>
  <c r="E5605"/>
  <c r="B5606"/>
  <c r="E5606"/>
  <c r="B5607"/>
  <c r="E5607"/>
  <c r="B5608"/>
  <c r="E5608"/>
  <c r="B5609"/>
  <c r="E5609"/>
  <c r="B5610"/>
  <c r="E5610"/>
  <c r="B5611"/>
  <c r="E5611"/>
  <c r="B5612"/>
  <c r="E5612"/>
  <c r="B5613"/>
  <c r="E5613"/>
  <c r="B5614"/>
  <c r="E5614"/>
  <c r="B5615"/>
  <c r="E5615"/>
  <c r="B5616"/>
  <c r="E5616"/>
  <c r="B5617"/>
  <c r="E5617"/>
  <c r="B5618"/>
  <c r="E5618"/>
  <c r="B5619"/>
  <c r="E5619"/>
  <c r="B5620"/>
  <c r="E5620"/>
  <c r="B5621"/>
  <c r="E5621"/>
  <c r="B5622"/>
  <c r="E5622"/>
  <c r="B5623"/>
  <c r="E5623"/>
  <c r="B5624"/>
  <c r="E5624"/>
  <c r="B5625"/>
  <c r="E5625"/>
  <c r="B5626"/>
  <c r="E5626"/>
  <c r="B5627"/>
  <c r="E5627"/>
  <c r="B5628"/>
  <c r="E5628"/>
  <c r="B5629"/>
  <c r="E5629"/>
  <c r="B5630"/>
  <c r="E5630"/>
  <c r="B5631"/>
  <c r="E5631"/>
  <c r="B5632"/>
  <c r="E5632"/>
  <c r="B5633"/>
  <c r="E5633"/>
  <c r="B5634"/>
  <c r="E5634"/>
  <c r="B5635"/>
  <c r="E5635"/>
  <c r="B5636"/>
  <c r="E5636"/>
  <c r="B5637"/>
  <c r="E5637"/>
  <c r="B5638"/>
  <c r="E5638"/>
  <c r="B5639"/>
  <c r="E5639"/>
  <c r="B5640"/>
  <c r="E5640"/>
  <c r="B5641"/>
  <c r="E5641"/>
  <c r="B5642"/>
  <c r="E5642"/>
  <c r="B5643"/>
  <c r="E5643"/>
  <c r="B5644"/>
  <c r="E5644"/>
  <c r="B5645"/>
  <c r="E5645"/>
  <c r="B5646"/>
  <c r="E5646"/>
  <c r="B5647"/>
  <c r="E5647"/>
  <c r="B5648"/>
  <c r="E5648"/>
  <c r="B5649"/>
  <c r="E5649"/>
  <c r="B5650"/>
  <c r="E5650"/>
  <c r="B5651"/>
  <c r="E5651"/>
  <c r="B5652"/>
  <c r="E5652"/>
  <c r="B5653"/>
  <c r="E5653"/>
  <c r="B5654"/>
  <c r="E5654"/>
  <c r="B5655"/>
  <c r="E5655"/>
  <c r="B5656"/>
  <c r="E5656"/>
  <c r="B5657"/>
  <c r="E5657"/>
  <c r="B5658"/>
  <c r="E5658"/>
  <c r="B5659"/>
  <c r="E5659"/>
  <c r="B5660"/>
  <c r="E5660"/>
  <c r="B5661"/>
  <c r="E5661"/>
  <c r="B5662"/>
  <c r="E5662"/>
  <c r="B5663"/>
  <c r="E5663"/>
  <c r="B5664"/>
  <c r="E5664"/>
  <c r="B5665"/>
  <c r="E5665"/>
  <c r="B5666"/>
  <c r="E5666"/>
  <c r="B5667"/>
  <c r="E5667"/>
  <c r="B5668"/>
  <c r="E5668"/>
  <c r="B5669"/>
  <c r="E5669"/>
  <c r="B5670"/>
  <c r="E5670"/>
  <c r="B5671"/>
  <c r="E5671"/>
  <c r="B5672"/>
  <c r="E5672"/>
  <c r="B5673"/>
  <c r="E5673"/>
  <c r="B5674"/>
  <c r="E5674"/>
  <c r="B5675"/>
  <c r="E5675"/>
  <c r="B5676"/>
  <c r="E5676"/>
  <c r="B5677"/>
  <c r="E5677"/>
  <c r="B5678"/>
  <c r="E5678"/>
  <c r="B5679"/>
  <c r="E5679"/>
  <c r="B5680"/>
  <c r="E5680"/>
  <c r="B5681"/>
  <c r="E5681"/>
  <c r="B5682"/>
  <c r="E5682"/>
  <c r="B5683"/>
  <c r="E5683"/>
  <c r="B5684"/>
  <c r="E5684"/>
  <c r="B5685"/>
  <c r="E5685"/>
  <c r="B5686"/>
  <c r="E5686"/>
  <c r="B5687"/>
  <c r="E5687"/>
  <c r="B5688"/>
  <c r="E5688"/>
  <c r="B5689"/>
  <c r="E5689"/>
  <c r="B5690"/>
  <c r="E5690"/>
  <c r="B5691"/>
  <c r="E5691"/>
  <c r="B5692"/>
  <c r="E5692"/>
  <c r="B5693"/>
  <c r="E5693"/>
  <c r="B5694"/>
  <c r="E5694"/>
  <c r="B5695"/>
  <c r="E5695"/>
  <c r="B5696"/>
  <c r="E5696"/>
  <c r="B5697"/>
  <c r="E5697"/>
  <c r="B5698"/>
  <c r="E5698"/>
  <c r="B5699"/>
  <c r="E5699"/>
  <c r="B5700"/>
  <c r="E5700"/>
  <c r="B5701"/>
  <c r="E5701"/>
  <c r="B5702"/>
  <c r="E5702"/>
  <c r="B5703"/>
  <c r="E5703"/>
  <c r="B5704"/>
  <c r="E5704"/>
  <c r="B5705"/>
  <c r="E5705"/>
  <c r="B5706"/>
  <c r="E5706"/>
  <c r="B5707"/>
  <c r="E5707"/>
  <c r="B5708"/>
  <c r="E5708"/>
  <c r="B5709"/>
  <c r="E5709"/>
  <c r="B5710"/>
  <c r="E5710"/>
  <c r="B5711"/>
  <c r="E5711"/>
  <c r="B5712"/>
  <c r="E5712"/>
  <c r="B5713"/>
  <c r="E5713"/>
  <c r="B5714"/>
  <c r="E5714"/>
  <c r="B5715"/>
  <c r="E5715"/>
  <c r="B5716"/>
  <c r="E5716"/>
  <c r="B5717"/>
  <c r="E5717"/>
  <c r="B5718"/>
  <c r="E5718"/>
  <c r="B5719"/>
  <c r="E5719"/>
  <c r="B5720"/>
  <c r="E5720"/>
  <c r="B5721"/>
  <c r="E5721"/>
  <c r="B5722"/>
  <c r="E5722"/>
  <c r="B5723"/>
  <c r="E5723"/>
  <c r="B5724"/>
  <c r="E5724"/>
  <c r="B5725"/>
  <c r="E5725"/>
  <c r="B5726"/>
  <c r="E5726"/>
  <c r="B5727"/>
  <c r="E5727"/>
  <c r="B5728"/>
  <c r="E5728"/>
  <c r="B5729"/>
  <c r="E5729"/>
  <c r="B5730"/>
  <c r="E5730"/>
  <c r="B5731"/>
  <c r="E5731"/>
  <c r="B5732"/>
  <c r="E5732"/>
  <c r="B5733"/>
  <c r="E5733"/>
  <c r="B5734"/>
  <c r="E5734"/>
  <c r="B5735"/>
  <c r="E5735"/>
  <c r="B5736"/>
  <c r="E5736"/>
  <c r="B5737"/>
  <c r="E5737"/>
  <c r="B5738"/>
  <c r="E5738"/>
  <c r="B5739"/>
  <c r="E5739"/>
  <c r="B5740"/>
  <c r="E5740"/>
  <c r="B5741"/>
  <c r="E5741"/>
  <c r="B5742"/>
  <c r="E5742"/>
  <c r="B5743"/>
  <c r="E5743"/>
  <c r="B5744"/>
  <c r="E5744"/>
  <c r="B5745"/>
  <c r="E5745"/>
  <c r="B5746"/>
  <c r="E5746"/>
  <c r="B5747"/>
  <c r="E5747"/>
  <c r="B5748"/>
  <c r="E5748"/>
  <c r="B5749"/>
  <c r="E5749"/>
  <c r="B5750"/>
  <c r="E5750"/>
  <c r="B5751"/>
  <c r="E5751"/>
  <c r="B5752"/>
  <c r="E5752"/>
  <c r="B5753"/>
  <c r="E5753"/>
  <c r="B5754"/>
  <c r="E5754"/>
  <c r="B5755"/>
  <c r="E5755"/>
  <c r="B5756"/>
  <c r="E5756"/>
  <c r="B5757"/>
  <c r="E5757"/>
  <c r="B5758"/>
  <c r="E5758"/>
  <c r="B5759"/>
  <c r="E5759"/>
  <c r="B5760"/>
  <c r="E5760"/>
  <c r="B5761"/>
  <c r="E5761"/>
  <c r="B5762"/>
  <c r="E5762"/>
  <c r="B5763"/>
  <c r="E5763"/>
  <c r="B5764"/>
  <c r="E5764"/>
  <c r="B5765"/>
  <c r="E5765"/>
  <c r="B5766"/>
  <c r="E5766"/>
  <c r="B5767"/>
  <c r="E5767"/>
  <c r="B5768"/>
  <c r="E5768"/>
  <c r="B5769"/>
  <c r="E5769"/>
  <c r="B5770"/>
  <c r="E5770"/>
  <c r="B5771"/>
  <c r="E5771"/>
  <c r="B5772"/>
  <c r="E5772"/>
  <c r="B5773"/>
  <c r="E5773"/>
  <c r="B5774"/>
  <c r="E5774"/>
  <c r="B5775"/>
  <c r="E5775"/>
  <c r="B5776"/>
  <c r="E5776"/>
  <c r="B5777"/>
  <c r="E5777"/>
  <c r="B5778"/>
  <c r="E5778"/>
  <c r="B5779"/>
  <c r="E5779"/>
  <c r="B5780"/>
  <c r="E5780"/>
  <c r="B5781"/>
  <c r="E5781"/>
  <c r="B5782"/>
  <c r="E5782"/>
  <c r="B5783"/>
  <c r="E5783"/>
  <c r="B5784"/>
  <c r="E5784"/>
  <c r="B5785"/>
  <c r="E5785"/>
  <c r="B5786"/>
  <c r="E5786"/>
  <c r="B5787"/>
  <c r="E5787"/>
  <c r="B5788"/>
  <c r="E5788"/>
  <c r="B5789"/>
  <c r="E5789"/>
  <c r="B5790"/>
  <c r="E5790"/>
  <c r="B5791"/>
  <c r="E5791"/>
  <c r="B5792"/>
  <c r="E5792"/>
  <c r="B5793"/>
  <c r="E5793"/>
  <c r="B5794"/>
  <c r="E5794"/>
  <c r="B5795"/>
  <c r="E5795"/>
  <c r="B5796"/>
  <c r="E5796"/>
  <c r="B5797"/>
  <c r="E5797"/>
  <c r="B5798"/>
  <c r="E5798"/>
  <c r="B5799"/>
  <c r="E5799"/>
  <c r="B5800"/>
  <c r="E5800"/>
  <c r="B5801"/>
  <c r="E5801"/>
  <c r="B5802"/>
  <c r="E5802"/>
  <c r="B5803"/>
  <c r="E5803"/>
  <c r="B5804"/>
  <c r="E5804"/>
  <c r="B5805"/>
  <c r="E5805"/>
  <c r="B5806"/>
  <c r="E5806"/>
  <c r="B5807"/>
  <c r="E5807"/>
  <c r="B5808"/>
  <c r="E5808"/>
  <c r="B5809"/>
  <c r="E5809"/>
  <c r="B5810"/>
  <c r="E5810"/>
  <c r="B5811"/>
  <c r="E5811"/>
  <c r="B5812"/>
  <c r="E5812"/>
  <c r="B5813"/>
  <c r="E5813"/>
  <c r="B5814"/>
  <c r="E5814"/>
  <c r="B5815"/>
  <c r="E5815"/>
  <c r="B5816"/>
  <c r="E5816"/>
  <c r="B5817"/>
  <c r="E5817"/>
  <c r="B5818"/>
  <c r="E5818"/>
  <c r="B5819"/>
  <c r="E5819"/>
  <c r="B5820"/>
  <c r="E5820"/>
  <c r="B5821"/>
  <c r="E5821"/>
  <c r="B5822"/>
  <c r="E5822"/>
  <c r="B5823"/>
  <c r="E5823"/>
  <c r="B5824"/>
  <c r="E5824"/>
  <c r="B5825"/>
  <c r="E5825"/>
  <c r="B5826"/>
  <c r="E5826"/>
  <c r="B5827"/>
  <c r="E5827"/>
  <c r="B5828"/>
  <c r="E5828"/>
  <c r="B5829"/>
  <c r="E5829"/>
  <c r="B5830"/>
  <c r="E5830"/>
  <c r="B5831"/>
  <c r="E5831"/>
  <c r="B5832"/>
  <c r="E5832"/>
  <c r="B5833"/>
  <c r="E5833"/>
  <c r="B5834"/>
  <c r="E5834"/>
  <c r="B5835"/>
  <c r="E5835"/>
  <c r="B5836"/>
  <c r="E5836"/>
  <c r="B5837"/>
  <c r="E5837"/>
  <c r="B5838"/>
  <c r="E5838"/>
  <c r="B5839"/>
  <c r="E5839"/>
  <c r="B5840"/>
  <c r="E5840"/>
  <c r="B5841"/>
  <c r="E5841"/>
  <c r="B5842"/>
  <c r="E5842"/>
  <c r="B5843"/>
  <c r="E5843"/>
  <c r="B5844"/>
  <c r="E5844"/>
  <c r="B5845"/>
  <c r="E5845"/>
  <c r="B5846"/>
  <c r="E5846"/>
  <c r="B5847"/>
  <c r="E5847"/>
  <c r="B5848"/>
  <c r="E5848"/>
  <c r="B5849"/>
  <c r="E5849"/>
  <c r="B5850"/>
  <c r="E5850"/>
  <c r="B5851"/>
  <c r="E5851"/>
  <c r="B5852"/>
  <c r="E5852"/>
  <c r="B5853"/>
  <c r="E5853"/>
  <c r="B5854"/>
  <c r="E5854"/>
  <c r="B5855"/>
  <c r="E5855"/>
  <c r="B5856"/>
  <c r="E5856"/>
  <c r="B5857"/>
  <c r="E5857"/>
  <c r="B5858"/>
  <c r="E5858"/>
  <c r="B5859"/>
  <c r="E5859"/>
  <c r="B5860"/>
  <c r="E5860"/>
  <c r="B5861"/>
  <c r="E5861"/>
  <c r="B5862"/>
  <c r="E5862"/>
  <c r="B5863"/>
  <c r="E5863"/>
  <c r="B5864"/>
  <c r="E5864"/>
  <c r="B5865"/>
  <c r="E5865"/>
  <c r="B5866"/>
  <c r="E5866"/>
  <c r="B5867"/>
  <c r="E5867"/>
  <c r="B5868"/>
  <c r="E5868"/>
  <c r="B5869"/>
  <c r="E5869"/>
  <c r="B5870"/>
  <c r="E5870"/>
  <c r="B5871"/>
  <c r="E5871"/>
  <c r="B5872"/>
  <c r="E5872"/>
  <c r="B5873"/>
  <c r="E5873"/>
  <c r="B5874"/>
  <c r="E5874"/>
  <c r="B5875"/>
  <c r="E5875"/>
  <c r="B5876"/>
  <c r="E5876"/>
  <c r="B5877"/>
  <c r="E5877"/>
  <c r="B5878"/>
  <c r="E5878"/>
  <c r="B5879"/>
  <c r="E5879"/>
  <c r="B5880"/>
  <c r="E5880"/>
  <c r="B5881"/>
  <c r="E5881"/>
  <c r="B5882"/>
  <c r="E5882"/>
  <c r="B5883"/>
  <c r="E5883"/>
  <c r="B5884"/>
  <c r="E5884"/>
  <c r="B5885"/>
  <c r="E5885"/>
  <c r="B5886"/>
  <c r="E5886"/>
  <c r="B5887"/>
  <c r="E5887"/>
  <c r="B5888"/>
  <c r="E5888"/>
  <c r="B5889"/>
  <c r="E5889"/>
  <c r="B5890"/>
  <c r="E5890"/>
  <c r="B5891"/>
  <c r="E5891"/>
  <c r="B5892"/>
  <c r="E5892"/>
  <c r="B5893"/>
  <c r="E5893"/>
  <c r="B5894"/>
  <c r="E5894"/>
  <c r="B5895"/>
  <c r="E5895"/>
  <c r="B5896"/>
  <c r="E5896"/>
  <c r="B5897"/>
  <c r="E5897"/>
  <c r="B5898"/>
  <c r="E5898"/>
  <c r="B5899"/>
  <c r="E5899"/>
  <c r="B5900"/>
  <c r="E5900"/>
  <c r="B5901"/>
  <c r="E5901"/>
  <c r="B5902"/>
  <c r="E5902"/>
  <c r="B5903"/>
  <c r="E5903"/>
  <c r="B5904"/>
  <c r="E5904"/>
  <c r="B5905"/>
  <c r="E5905"/>
  <c r="B5906"/>
  <c r="E5906"/>
  <c r="B5907"/>
  <c r="E5907"/>
  <c r="B5908"/>
  <c r="E5908"/>
  <c r="B5909"/>
  <c r="E5909"/>
  <c r="B5910"/>
  <c r="E5910"/>
  <c r="B5911"/>
  <c r="E5911"/>
  <c r="B5912"/>
  <c r="E5912"/>
  <c r="B5913"/>
  <c r="E5913"/>
  <c r="B5914"/>
  <c r="E5914"/>
  <c r="B5915"/>
  <c r="E5915"/>
  <c r="B5916"/>
  <c r="E5916"/>
  <c r="B5917"/>
  <c r="E5917"/>
  <c r="B5918"/>
  <c r="E5918"/>
  <c r="B5919"/>
  <c r="E5919"/>
  <c r="B5920"/>
  <c r="E5920"/>
  <c r="B5921"/>
  <c r="E5921"/>
  <c r="B5922"/>
  <c r="E5922"/>
  <c r="B5923"/>
  <c r="E5923"/>
  <c r="B5924"/>
  <c r="E5924"/>
  <c r="B5925"/>
  <c r="E5925"/>
  <c r="B5926"/>
  <c r="E5926"/>
  <c r="B5927"/>
  <c r="E5927"/>
  <c r="B5928"/>
  <c r="E5928"/>
  <c r="B5929"/>
  <c r="E5929"/>
  <c r="B5930"/>
  <c r="E5930"/>
  <c r="B5931"/>
  <c r="E5931"/>
  <c r="B5932"/>
  <c r="E5932"/>
  <c r="B5933"/>
  <c r="E5933"/>
  <c r="B5934"/>
  <c r="E5934"/>
  <c r="B5935"/>
  <c r="E5935"/>
  <c r="B5936"/>
  <c r="E5936"/>
  <c r="B5937"/>
  <c r="E5937"/>
  <c r="B5938"/>
  <c r="E5938"/>
  <c r="B5939"/>
  <c r="E5939"/>
  <c r="B5940"/>
  <c r="E5940"/>
  <c r="B5941"/>
  <c r="E5941"/>
  <c r="B5942"/>
  <c r="E5942"/>
  <c r="B5943"/>
  <c r="E5943"/>
  <c r="B5944"/>
  <c r="E5944"/>
  <c r="B5945"/>
  <c r="E5945"/>
  <c r="B5946"/>
  <c r="E5946"/>
  <c r="B5947"/>
  <c r="E5947"/>
  <c r="B5948"/>
  <c r="E5948"/>
  <c r="B5949"/>
  <c r="E5949"/>
  <c r="B5950"/>
  <c r="E5950"/>
  <c r="B5951"/>
  <c r="E5951"/>
  <c r="B5952"/>
  <c r="E5952"/>
  <c r="B5953"/>
  <c r="E5953"/>
  <c r="B5954"/>
  <c r="E5954"/>
  <c r="B5955"/>
  <c r="E5955"/>
  <c r="B5956"/>
  <c r="E5956"/>
  <c r="B5957"/>
  <c r="E5957"/>
  <c r="B5958"/>
  <c r="E5958"/>
  <c r="B5959"/>
  <c r="E5959"/>
  <c r="B5960"/>
  <c r="E5960"/>
  <c r="B5961"/>
  <c r="E5961"/>
  <c r="B5962"/>
  <c r="E5962"/>
  <c r="B5963"/>
  <c r="E5963"/>
  <c r="B5964"/>
  <c r="E5964"/>
  <c r="B5965"/>
  <c r="E5965"/>
  <c r="B5966"/>
  <c r="E5966"/>
  <c r="B5967"/>
  <c r="E5967"/>
  <c r="B5968"/>
  <c r="E5968"/>
  <c r="B5969"/>
  <c r="E5969"/>
  <c r="B5970"/>
  <c r="E5970"/>
  <c r="B5971"/>
  <c r="E5971"/>
  <c r="B5972"/>
  <c r="E5972"/>
  <c r="B5973"/>
  <c r="E5973"/>
  <c r="B5974"/>
  <c r="E5974"/>
  <c r="B5975"/>
  <c r="E5975"/>
  <c r="B5976"/>
  <c r="E5976"/>
  <c r="B5977"/>
  <c r="E5977"/>
  <c r="B5978"/>
  <c r="E5978"/>
  <c r="B5979"/>
  <c r="E5979"/>
  <c r="B5980"/>
  <c r="E5980"/>
  <c r="B5981"/>
  <c r="E5981"/>
  <c r="B5982"/>
  <c r="E5982"/>
  <c r="B5983"/>
  <c r="E5983"/>
  <c r="B5984"/>
  <c r="E5984"/>
  <c r="B5985"/>
  <c r="E5985"/>
  <c r="B5986"/>
  <c r="E5986"/>
  <c r="B5987"/>
  <c r="E5987"/>
  <c r="B5988"/>
  <c r="E5988"/>
  <c r="B5989"/>
  <c r="E5989"/>
  <c r="B5990"/>
  <c r="E5990"/>
  <c r="B5991"/>
  <c r="E5991"/>
  <c r="B5992"/>
  <c r="E5992"/>
  <c r="B5993"/>
  <c r="E5993"/>
  <c r="B5994"/>
  <c r="E5994"/>
  <c r="B5995"/>
  <c r="E5995"/>
  <c r="B5996"/>
  <c r="E5996"/>
  <c r="B5997"/>
  <c r="E5997"/>
  <c r="B5998"/>
  <c r="E5998"/>
  <c r="B5999"/>
  <c r="E5999"/>
  <c r="B6000"/>
  <c r="E6000"/>
  <c r="B6001"/>
  <c r="E6001"/>
  <c r="B6002"/>
  <c r="E6002"/>
  <c r="B6003"/>
  <c r="E6003"/>
  <c r="B6004"/>
  <c r="E6004"/>
  <c r="B6005"/>
  <c r="E6005"/>
  <c r="B6006"/>
  <c r="E6006"/>
  <c r="B6007"/>
  <c r="E6007"/>
  <c r="B6008"/>
  <c r="E6008"/>
  <c r="B6009"/>
  <c r="E6009"/>
  <c r="B6010"/>
  <c r="E6010"/>
  <c r="B6011"/>
  <c r="E6011"/>
  <c r="B6012"/>
  <c r="E6012"/>
  <c r="B6013"/>
  <c r="E6013"/>
  <c r="B6014"/>
  <c r="E6014"/>
  <c r="B6015"/>
  <c r="E6015"/>
  <c r="B6016"/>
  <c r="E6016"/>
  <c r="B6017"/>
  <c r="E6017"/>
  <c r="B6018"/>
  <c r="E6018"/>
  <c r="B6019"/>
  <c r="E6019"/>
  <c r="B6020"/>
  <c r="E6020"/>
  <c r="B6021"/>
  <c r="E6021"/>
  <c r="B6022"/>
  <c r="E6022"/>
  <c r="B6023"/>
  <c r="E6023"/>
  <c r="B6024"/>
  <c r="E6024"/>
  <c r="B6025"/>
  <c r="E6025"/>
  <c r="B6026"/>
  <c r="E6026"/>
  <c r="B6027"/>
  <c r="E6027"/>
  <c r="B6028"/>
  <c r="E6028"/>
  <c r="B6029"/>
  <c r="E6029"/>
  <c r="B6030"/>
  <c r="E6030"/>
  <c r="B6031"/>
  <c r="E6031"/>
  <c r="B6032"/>
  <c r="E6032"/>
  <c r="B6033"/>
  <c r="E6033"/>
  <c r="B6034"/>
  <c r="E6034"/>
  <c r="B6035"/>
  <c r="E6035"/>
  <c r="B6036"/>
  <c r="E6036"/>
  <c r="B6037"/>
  <c r="E6037"/>
  <c r="B6038"/>
  <c r="E6038"/>
  <c r="B6039"/>
  <c r="E6039"/>
  <c r="B6040"/>
  <c r="E6040"/>
  <c r="B6041"/>
  <c r="E6041"/>
  <c r="B6042"/>
  <c r="E6042"/>
  <c r="B6043"/>
  <c r="E6043"/>
  <c r="B6044"/>
  <c r="E6044"/>
  <c r="B6045"/>
  <c r="E6045"/>
  <c r="B6046"/>
  <c r="E6046"/>
  <c r="B6047"/>
  <c r="E6047"/>
  <c r="B6048"/>
  <c r="E6048"/>
  <c r="B6049"/>
  <c r="E6049"/>
  <c r="B6050"/>
  <c r="E6050"/>
  <c r="B6051"/>
  <c r="E6051"/>
  <c r="B6052"/>
  <c r="E6052"/>
  <c r="B6053"/>
  <c r="E6053"/>
  <c r="B6054"/>
  <c r="E6054"/>
  <c r="B6055"/>
  <c r="E6055"/>
  <c r="B6056"/>
  <c r="E6056"/>
  <c r="B6057"/>
  <c r="E6057"/>
  <c r="B6058"/>
  <c r="E6058"/>
  <c r="B6059"/>
  <c r="E6059"/>
  <c r="B6060"/>
  <c r="E6060"/>
  <c r="B6061"/>
  <c r="E6061"/>
  <c r="B6062"/>
  <c r="E6062"/>
  <c r="B6063"/>
  <c r="E6063"/>
  <c r="B6064"/>
  <c r="E6064"/>
  <c r="B6065"/>
  <c r="E6065"/>
  <c r="B6066"/>
  <c r="E6066"/>
  <c r="B6067"/>
  <c r="E6067"/>
  <c r="B6068"/>
  <c r="E6068"/>
  <c r="B6069"/>
  <c r="E6069"/>
  <c r="B6070"/>
  <c r="E6070"/>
  <c r="B6071"/>
  <c r="E6071"/>
  <c r="B6072"/>
  <c r="E6072"/>
  <c r="B6073"/>
  <c r="E6073"/>
  <c r="B6074"/>
  <c r="E6074"/>
  <c r="B6075"/>
  <c r="E6075"/>
  <c r="B6076"/>
  <c r="E6076"/>
  <c r="B6077"/>
  <c r="E6077"/>
  <c r="B6078"/>
  <c r="E6078"/>
  <c r="B6079"/>
  <c r="E6079"/>
  <c r="B6080"/>
  <c r="E6080"/>
  <c r="B6081"/>
  <c r="E6081"/>
  <c r="B6082"/>
  <c r="E6082"/>
  <c r="B6083"/>
  <c r="E6083"/>
  <c r="B6084"/>
  <c r="E6084"/>
  <c r="B6085"/>
  <c r="E6085"/>
  <c r="B6086"/>
  <c r="E6086"/>
  <c r="B6087"/>
  <c r="E6087"/>
  <c r="B6088"/>
  <c r="E6088"/>
  <c r="B6089"/>
  <c r="E6089"/>
  <c r="B6090"/>
  <c r="E6090"/>
  <c r="B6091"/>
  <c r="E6091"/>
  <c r="B6092"/>
  <c r="E6092"/>
  <c r="B6093"/>
  <c r="E6093"/>
  <c r="B6094"/>
  <c r="E6094"/>
  <c r="B6095"/>
  <c r="E6095"/>
  <c r="B6096"/>
  <c r="E6096"/>
  <c r="B6097"/>
  <c r="E6097"/>
  <c r="B6098"/>
  <c r="E6098"/>
  <c r="B6099"/>
  <c r="E6099"/>
  <c r="B6100"/>
  <c r="E6100"/>
  <c r="B6101"/>
  <c r="E6101"/>
  <c r="B6102"/>
  <c r="E6102"/>
  <c r="B6103"/>
  <c r="E6103"/>
  <c r="B6104"/>
  <c r="E6104"/>
  <c r="B6105"/>
  <c r="E6105"/>
  <c r="B6106"/>
  <c r="E6106"/>
  <c r="B6107"/>
  <c r="E6107"/>
  <c r="B6108"/>
  <c r="E6108"/>
  <c r="B6109"/>
  <c r="E6109"/>
  <c r="B6110"/>
  <c r="E6110"/>
  <c r="B6111"/>
  <c r="E6111"/>
  <c r="B6112"/>
  <c r="E6112"/>
  <c r="B6113"/>
  <c r="E6113"/>
  <c r="B6114"/>
  <c r="E6114"/>
  <c r="B6115"/>
  <c r="E6115"/>
  <c r="B6116"/>
  <c r="E6116"/>
  <c r="B6117"/>
  <c r="E6117"/>
  <c r="B6118"/>
  <c r="E6118"/>
  <c r="B6119"/>
  <c r="E6119"/>
  <c r="B6120"/>
  <c r="E6120"/>
  <c r="B6121"/>
  <c r="E6121"/>
  <c r="B6122"/>
  <c r="E6122"/>
  <c r="B6123"/>
  <c r="E6123"/>
  <c r="B6124"/>
  <c r="E6124"/>
  <c r="B6125"/>
  <c r="E6125"/>
  <c r="B6126"/>
  <c r="E6126"/>
  <c r="B6127"/>
  <c r="E6127"/>
  <c r="B6128"/>
  <c r="E6128"/>
  <c r="B6129"/>
  <c r="E6129"/>
  <c r="B6130"/>
  <c r="E6130"/>
  <c r="B6131"/>
  <c r="E6131"/>
  <c r="B6132"/>
  <c r="E6132"/>
  <c r="B6133"/>
  <c r="E6133"/>
  <c r="B6134"/>
  <c r="E6134"/>
  <c r="B6135"/>
  <c r="E6135"/>
  <c r="B6136"/>
  <c r="E6136"/>
  <c r="B6137"/>
  <c r="E6137"/>
  <c r="B6138"/>
  <c r="E6138"/>
  <c r="B6139"/>
  <c r="E6139"/>
  <c r="B6140"/>
  <c r="E6140"/>
  <c r="B6141"/>
  <c r="E6141"/>
  <c r="B6142"/>
  <c r="E6142"/>
  <c r="B6143"/>
  <c r="E6143"/>
  <c r="B6144"/>
  <c r="E6144"/>
  <c r="B6145"/>
  <c r="E6145"/>
  <c r="B6146"/>
  <c r="E6146"/>
  <c r="B6147"/>
  <c r="E6147"/>
  <c r="B6148"/>
  <c r="E6148"/>
  <c r="B6149"/>
  <c r="E6149"/>
  <c r="B6150"/>
  <c r="E6150"/>
  <c r="B6151"/>
  <c r="E6151"/>
  <c r="B6152"/>
  <c r="E6152"/>
  <c r="B6153"/>
  <c r="E6153"/>
  <c r="B6154"/>
  <c r="E6154"/>
  <c r="B6155"/>
  <c r="E6155"/>
  <c r="B6156"/>
  <c r="E6156"/>
  <c r="B6157"/>
  <c r="E6157"/>
  <c r="B6158"/>
  <c r="E6158"/>
  <c r="B6159"/>
  <c r="E6159"/>
  <c r="B6160"/>
  <c r="E6160"/>
  <c r="B6161"/>
  <c r="E6161"/>
  <c r="B6162"/>
  <c r="E6162"/>
  <c r="B6163"/>
  <c r="E6163"/>
  <c r="B6164"/>
  <c r="E6164"/>
  <c r="B6165"/>
  <c r="E6165"/>
  <c r="B6166"/>
  <c r="E6166"/>
  <c r="B6167"/>
  <c r="E6167"/>
  <c r="B6168"/>
  <c r="E6168"/>
  <c r="B6169"/>
  <c r="E6169"/>
  <c r="B6170"/>
  <c r="E6170"/>
  <c r="B6171"/>
  <c r="E6171"/>
  <c r="B6172"/>
  <c r="E6172"/>
  <c r="B6173"/>
  <c r="E6173"/>
  <c r="B6174"/>
  <c r="E6174"/>
  <c r="B6175"/>
  <c r="E6175"/>
  <c r="B6176"/>
  <c r="E6176"/>
  <c r="B6177"/>
  <c r="E6177"/>
  <c r="B6178"/>
  <c r="E6178"/>
  <c r="B6179"/>
  <c r="E6179"/>
  <c r="B6180"/>
  <c r="E6180"/>
  <c r="B6181"/>
  <c r="E6181"/>
  <c r="B6182"/>
  <c r="E6182"/>
  <c r="B6183"/>
  <c r="E6183"/>
  <c r="B6184"/>
  <c r="E6184"/>
  <c r="B6185"/>
  <c r="E6185"/>
  <c r="B6186"/>
  <c r="E6186"/>
  <c r="B6187"/>
  <c r="E6187"/>
  <c r="B6188"/>
  <c r="E6188"/>
  <c r="B6189"/>
  <c r="E6189"/>
  <c r="B6190"/>
  <c r="E6190"/>
  <c r="B6191"/>
  <c r="E6191"/>
  <c r="B6192"/>
  <c r="E6192"/>
  <c r="B6193"/>
  <c r="E6193"/>
  <c r="B6194"/>
  <c r="E6194"/>
  <c r="B6195"/>
  <c r="E6195"/>
  <c r="B6196"/>
  <c r="E6196"/>
  <c r="B6197"/>
  <c r="E6197"/>
  <c r="B6198"/>
  <c r="E6198"/>
  <c r="B6199"/>
  <c r="E6199"/>
  <c r="B6200"/>
  <c r="E6200"/>
  <c r="B6201"/>
  <c r="E6201"/>
  <c r="B6202"/>
  <c r="E6202"/>
  <c r="B6203"/>
  <c r="E6203"/>
  <c r="B6204"/>
  <c r="E6204"/>
  <c r="B6205"/>
  <c r="E6205"/>
  <c r="B6206"/>
  <c r="E6206"/>
  <c r="B6207"/>
  <c r="E6207"/>
  <c r="B6208"/>
  <c r="E6208"/>
  <c r="B6209"/>
  <c r="E6209"/>
  <c r="B6210"/>
  <c r="E6210"/>
  <c r="B6211"/>
  <c r="E6211"/>
  <c r="B6212"/>
  <c r="E6212"/>
  <c r="B6213"/>
  <c r="E6213"/>
  <c r="B6214"/>
  <c r="E6214"/>
  <c r="B6215"/>
  <c r="E6215"/>
  <c r="B6216"/>
  <c r="E6216"/>
  <c r="B6217"/>
  <c r="E6217"/>
  <c r="B6218"/>
  <c r="E6218"/>
  <c r="B6219"/>
  <c r="E6219"/>
  <c r="B6220"/>
  <c r="E6220"/>
  <c r="B6221"/>
  <c r="E6221"/>
  <c r="B6222"/>
  <c r="E6222"/>
  <c r="B6223"/>
  <c r="E6223"/>
  <c r="B6224"/>
  <c r="E6224"/>
  <c r="B6225"/>
  <c r="E6225"/>
  <c r="B6226"/>
  <c r="E6226"/>
  <c r="B6227"/>
  <c r="E6227"/>
  <c r="B6228"/>
  <c r="E6228"/>
  <c r="B6229"/>
  <c r="E6229"/>
  <c r="B6230"/>
  <c r="E6230"/>
  <c r="B6231"/>
  <c r="E6231"/>
  <c r="B6232"/>
  <c r="E6232"/>
  <c r="B6233"/>
  <c r="E6233"/>
  <c r="B6234"/>
  <c r="E6234"/>
  <c r="B6235"/>
  <c r="E6235"/>
  <c r="B6236"/>
  <c r="E6236"/>
  <c r="B6237"/>
  <c r="E6237"/>
  <c r="B6238"/>
  <c r="E6238"/>
  <c r="B6239"/>
  <c r="E6239"/>
  <c r="B6240"/>
  <c r="E6240"/>
  <c r="B6241"/>
  <c r="E6241"/>
  <c r="B6242"/>
  <c r="E6242"/>
  <c r="B6243"/>
  <c r="E6243"/>
  <c r="B6244"/>
  <c r="E6244"/>
  <c r="B6245"/>
  <c r="E6245"/>
  <c r="B6246"/>
  <c r="E6246"/>
  <c r="B6247"/>
  <c r="E6247"/>
  <c r="B6248"/>
  <c r="E6248"/>
  <c r="B6249"/>
  <c r="E6249"/>
  <c r="B6250"/>
  <c r="E6250"/>
  <c r="B6251"/>
  <c r="E6251"/>
  <c r="B6252"/>
  <c r="E6252"/>
  <c r="B6253"/>
  <c r="E6253"/>
  <c r="B6254"/>
  <c r="E6254"/>
  <c r="B6255"/>
  <c r="E6255"/>
  <c r="B6256"/>
  <c r="E6256"/>
  <c r="B6257"/>
  <c r="E6257"/>
  <c r="B6258"/>
  <c r="E6258"/>
  <c r="B6259"/>
  <c r="E6259"/>
  <c r="B6260"/>
  <c r="E6260"/>
  <c r="B6261"/>
  <c r="E6261"/>
  <c r="B6262"/>
  <c r="E6262"/>
  <c r="B6263"/>
  <c r="E6263"/>
  <c r="B6264"/>
  <c r="E6264"/>
  <c r="B6265"/>
  <c r="E6265"/>
  <c r="B6266"/>
  <c r="E6266"/>
  <c r="B6267"/>
  <c r="E6267"/>
  <c r="B6268"/>
  <c r="E6268"/>
  <c r="B6269"/>
  <c r="E6269"/>
  <c r="B6270"/>
  <c r="E6270"/>
  <c r="B6271"/>
  <c r="E6271"/>
  <c r="B6272"/>
  <c r="E6272"/>
  <c r="B6273"/>
  <c r="E6273"/>
  <c r="B6274"/>
  <c r="E6274"/>
  <c r="B6275"/>
  <c r="E6275"/>
  <c r="B6276"/>
  <c r="E6276"/>
  <c r="B6277"/>
  <c r="E6277"/>
  <c r="B6278"/>
  <c r="E6278"/>
  <c r="B6279"/>
  <c r="E6279"/>
  <c r="B6280"/>
  <c r="E6280"/>
  <c r="B6281"/>
  <c r="E6281"/>
  <c r="B6282"/>
  <c r="E6282"/>
  <c r="B6283"/>
  <c r="E6283"/>
  <c r="B6284"/>
  <c r="E6284"/>
  <c r="B6285"/>
  <c r="E6285"/>
  <c r="B6286"/>
  <c r="E6286"/>
  <c r="B6287"/>
  <c r="E6287"/>
  <c r="B6288"/>
  <c r="E6288"/>
  <c r="B6289"/>
  <c r="E6289"/>
  <c r="B6290"/>
  <c r="E6290"/>
  <c r="B6291"/>
  <c r="E6291"/>
  <c r="B6292"/>
  <c r="E6292"/>
  <c r="B6293"/>
  <c r="E6293"/>
  <c r="B6294"/>
  <c r="E6294"/>
  <c r="B6295"/>
  <c r="E6295"/>
  <c r="B6296"/>
  <c r="E6296"/>
  <c r="B6297"/>
  <c r="E6297"/>
  <c r="B6298"/>
  <c r="E6298"/>
  <c r="B6299"/>
  <c r="E6299"/>
  <c r="B6300"/>
  <c r="E6300"/>
  <c r="B6301"/>
  <c r="E6301"/>
  <c r="B6302"/>
  <c r="E6302"/>
  <c r="B6303"/>
  <c r="E6303"/>
  <c r="B6304"/>
  <c r="E6304"/>
  <c r="B6305"/>
  <c r="E6305"/>
  <c r="B6306"/>
  <c r="E6306"/>
  <c r="B6307"/>
  <c r="E6307"/>
  <c r="B6308"/>
  <c r="E6308"/>
  <c r="B6309"/>
  <c r="E6309"/>
  <c r="B6310"/>
  <c r="E6310"/>
  <c r="B6311"/>
  <c r="E6311"/>
  <c r="B6312"/>
  <c r="E6312"/>
  <c r="B6313"/>
  <c r="E6313"/>
  <c r="B6314"/>
  <c r="E6314"/>
  <c r="B6315"/>
  <c r="E6315"/>
  <c r="B6316"/>
  <c r="E6316"/>
  <c r="B6317"/>
  <c r="E6317"/>
  <c r="B6318"/>
  <c r="E6318"/>
  <c r="B6319"/>
  <c r="E6319"/>
  <c r="B6320"/>
  <c r="E6320"/>
  <c r="B6321"/>
  <c r="E6321"/>
  <c r="B6322"/>
  <c r="E6322"/>
  <c r="B6323"/>
  <c r="E6323"/>
  <c r="B6324"/>
  <c r="E6324"/>
  <c r="B6325"/>
  <c r="E6325"/>
  <c r="B6326"/>
  <c r="E6326"/>
  <c r="B6327"/>
  <c r="E6327"/>
  <c r="B6328"/>
  <c r="E6328"/>
  <c r="B6329"/>
  <c r="E6329"/>
  <c r="B6330"/>
  <c r="E6330"/>
  <c r="B6331"/>
  <c r="E6331"/>
  <c r="B6332"/>
  <c r="E6332"/>
  <c r="B6333"/>
  <c r="E6333"/>
  <c r="B6334"/>
  <c r="E6334"/>
  <c r="B6335"/>
  <c r="E6335"/>
  <c r="B6336"/>
  <c r="E6336"/>
  <c r="B6337"/>
  <c r="E6337"/>
  <c r="B6338"/>
  <c r="E6338"/>
  <c r="B6339"/>
  <c r="E6339"/>
  <c r="B6340"/>
  <c r="E6340"/>
  <c r="B6341"/>
  <c r="E6341"/>
  <c r="B6342"/>
  <c r="E6342"/>
  <c r="B6343"/>
  <c r="E6343"/>
  <c r="B6344"/>
  <c r="E6344"/>
  <c r="B6345"/>
  <c r="E6345"/>
  <c r="B6346"/>
  <c r="E6346"/>
  <c r="B6347"/>
  <c r="E6347"/>
  <c r="B6348"/>
  <c r="E6348"/>
  <c r="B6349"/>
  <c r="E6349"/>
  <c r="B6350"/>
  <c r="E6350"/>
  <c r="B6351"/>
  <c r="E6351"/>
  <c r="B6352"/>
  <c r="E6352"/>
  <c r="B6353"/>
  <c r="E6353"/>
  <c r="B6354"/>
  <c r="E6354"/>
  <c r="B6355"/>
  <c r="E6355"/>
  <c r="B6356"/>
  <c r="E6356"/>
  <c r="B6357"/>
  <c r="E6357"/>
  <c r="B6358"/>
  <c r="E6358"/>
  <c r="B6359"/>
  <c r="E6359"/>
  <c r="B6360"/>
  <c r="E6360"/>
  <c r="B6361"/>
  <c r="E6361"/>
  <c r="B6362"/>
  <c r="E6362"/>
  <c r="B6363"/>
  <c r="E6363"/>
  <c r="B6364"/>
  <c r="E6364"/>
  <c r="B6365"/>
  <c r="E6365"/>
  <c r="B6366"/>
  <c r="E6366"/>
  <c r="B6367"/>
  <c r="E6367"/>
  <c r="B6368"/>
  <c r="E6368"/>
  <c r="B6369"/>
  <c r="E6369"/>
  <c r="B6370"/>
  <c r="E6370"/>
  <c r="B6371"/>
  <c r="E6371"/>
  <c r="B6372"/>
  <c r="E6372"/>
  <c r="B6373"/>
  <c r="E6373"/>
  <c r="B6374"/>
  <c r="E6374"/>
  <c r="B6375"/>
  <c r="E6375"/>
  <c r="B6376"/>
  <c r="E6376"/>
  <c r="B6377"/>
  <c r="E6377"/>
  <c r="B6378"/>
  <c r="E6378"/>
  <c r="B6379"/>
  <c r="E6379"/>
  <c r="B6380"/>
  <c r="E6380"/>
  <c r="B6381"/>
  <c r="E6381"/>
  <c r="B6382"/>
  <c r="E6382"/>
  <c r="B6383"/>
  <c r="E6383"/>
  <c r="B6384"/>
  <c r="E6384"/>
  <c r="B6385"/>
  <c r="E6385"/>
  <c r="B6386"/>
  <c r="E6386"/>
  <c r="B6387"/>
  <c r="E6387"/>
  <c r="B6388"/>
  <c r="E6388"/>
  <c r="B6389"/>
  <c r="E6389"/>
  <c r="B6390"/>
  <c r="E6390"/>
  <c r="B6391"/>
  <c r="E6391"/>
  <c r="B6392"/>
  <c r="E6392"/>
  <c r="B6393"/>
  <c r="E6393"/>
  <c r="B6394"/>
  <c r="E6394"/>
  <c r="B6395"/>
  <c r="E6395"/>
  <c r="B6396"/>
  <c r="E6396"/>
  <c r="B6397"/>
  <c r="E6397"/>
  <c r="B6398"/>
  <c r="E6398"/>
  <c r="B6399"/>
  <c r="E6399"/>
  <c r="B6400"/>
  <c r="E6400"/>
  <c r="B6401"/>
  <c r="E6401"/>
  <c r="B6402"/>
  <c r="E6402"/>
  <c r="B6403"/>
  <c r="E6403"/>
  <c r="B6404"/>
  <c r="E6404"/>
  <c r="B6405"/>
  <c r="E6405"/>
  <c r="B6406"/>
  <c r="E6406"/>
  <c r="B6407"/>
  <c r="E6407"/>
  <c r="B6408"/>
  <c r="E6408"/>
  <c r="B6409"/>
  <c r="E6409"/>
  <c r="B6410"/>
  <c r="E6410"/>
  <c r="B6411"/>
  <c r="E6411"/>
  <c r="B6412"/>
  <c r="E6412"/>
  <c r="B6413"/>
  <c r="E6413"/>
  <c r="B6414"/>
  <c r="E6414"/>
  <c r="B6415"/>
  <c r="E6415"/>
  <c r="B6416"/>
  <c r="E6416"/>
  <c r="B6417"/>
  <c r="E6417"/>
  <c r="B6418"/>
  <c r="E6418"/>
  <c r="B6419"/>
  <c r="E6419"/>
  <c r="B6420"/>
  <c r="E6420"/>
  <c r="B6421"/>
  <c r="E6421"/>
  <c r="B6422"/>
  <c r="E6422"/>
  <c r="B6423"/>
  <c r="E6423"/>
  <c r="B6424"/>
  <c r="E6424"/>
  <c r="B6425"/>
  <c r="E6425"/>
  <c r="B6426"/>
  <c r="E6426"/>
  <c r="B6427"/>
  <c r="E6427"/>
  <c r="B6428"/>
  <c r="E6428"/>
  <c r="B6429"/>
  <c r="E6429"/>
  <c r="B6430"/>
  <c r="E6430"/>
  <c r="B6431"/>
  <c r="E6431"/>
  <c r="B6432"/>
  <c r="E6432"/>
  <c r="B6433"/>
  <c r="E6433"/>
  <c r="B6434"/>
  <c r="E6434"/>
  <c r="B6435"/>
  <c r="E6435"/>
  <c r="B6436"/>
  <c r="E6436"/>
  <c r="B6437"/>
  <c r="E6437"/>
  <c r="B6438"/>
  <c r="E6438"/>
  <c r="B6439"/>
  <c r="E6439"/>
  <c r="B6440"/>
  <c r="E6440"/>
  <c r="B6441"/>
  <c r="E6441"/>
  <c r="B6442"/>
  <c r="E6442"/>
  <c r="B6443"/>
  <c r="E6443"/>
  <c r="B6444"/>
  <c r="E6444"/>
  <c r="B6445"/>
  <c r="E6445"/>
  <c r="B6446"/>
  <c r="E6446"/>
  <c r="B6447"/>
  <c r="E6447"/>
  <c r="B6448"/>
  <c r="E6448"/>
  <c r="B6449"/>
  <c r="E6449"/>
  <c r="B6450"/>
  <c r="E6450"/>
  <c r="B6451"/>
  <c r="E6451"/>
  <c r="B6452"/>
  <c r="E6452"/>
  <c r="B6453"/>
  <c r="E6453"/>
  <c r="B6454"/>
  <c r="E6454"/>
  <c r="B6455"/>
  <c r="E6455"/>
  <c r="B6456"/>
  <c r="E6456"/>
  <c r="B6457"/>
  <c r="E6457"/>
  <c r="B6458"/>
  <c r="E6458"/>
  <c r="B6459"/>
  <c r="E6459"/>
  <c r="B6460"/>
  <c r="E6460"/>
  <c r="B6461"/>
  <c r="E6461"/>
  <c r="B6462"/>
  <c r="E6462"/>
  <c r="B6463"/>
  <c r="E6463"/>
  <c r="B6464"/>
  <c r="E6464"/>
  <c r="B6465"/>
  <c r="E6465"/>
  <c r="B6466"/>
  <c r="E6466"/>
  <c r="B6467"/>
  <c r="E6467"/>
  <c r="B6468"/>
  <c r="E6468"/>
  <c r="B6469"/>
  <c r="E6469"/>
  <c r="B6470"/>
  <c r="E6470"/>
  <c r="B6471"/>
  <c r="E6471"/>
  <c r="B6472"/>
  <c r="E6472"/>
  <c r="B6473"/>
  <c r="E6473"/>
  <c r="B6474"/>
  <c r="E6474"/>
  <c r="B6475"/>
  <c r="E6475"/>
  <c r="B6476"/>
  <c r="E6476"/>
  <c r="B6477"/>
  <c r="E6477"/>
  <c r="B6478"/>
  <c r="E6478"/>
  <c r="B6479"/>
  <c r="E6479"/>
  <c r="B6480"/>
  <c r="E6480"/>
  <c r="B6481"/>
  <c r="E6481"/>
  <c r="B6482"/>
  <c r="E6482"/>
  <c r="B6483"/>
  <c r="E6483"/>
  <c r="B6484"/>
  <c r="E6484"/>
  <c r="B6485"/>
  <c r="E6485"/>
  <c r="B6486"/>
  <c r="E6486"/>
  <c r="B6487"/>
  <c r="E6487"/>
  <c r="B6488"/>
  <c r="E6488"/>
  <c r="B6489"/>
  <c r="E6489"/>
  <c r="B6490"/>
  <c r="E6490"/>
  <c r="B6491"/>
  <c r="E6491"/>
  <c r="B6492"/>
  <c r="E6492"/>
  <c r="B6493"/>
  <c r="E6493"/>
  <c r="B6494"/>
  <c r="E6494"/>
  <c r="B6495"/>
  <c r="E6495"/>
  <c r="B6496"/>
  <c r="E6496"/>
  <c r="B6497"/>
  <c r="E6497"/>
  <c r="B6498"/>
  <c r="E6498"/>
  <c r="B6499"/>
  <c r="E6499"/>
  <c r="B6500"/>
  <c r="E6500"/>
  <c r="B6501"/>
  <c r="E6501"/>
  <c r="B6502"/>
  <c r="E6502"/>
  <c r="B6503"/>
  <c r="E6503"/>
  <c r="B6504"/>
  <c r="E6504"/>
  <c r="B6505"/>
  <c r="E6505"/>
  <c r="B6506"/>
  <c r="E6506"/>
  <c r="B6507"/>
  <c r="E6507"/>
  <c r="B6508"/>
  <c r="E6508"/>
  <c r="B6509"/>
  <c r="E6509"/>
  <c r="B6510"/>
  <c r="E6510"/>
  <c r="B6511"/>
  <c r="E6511"/>
  <c r="B6512"/>
  <c r="E6512"/>
  <c r="B6513"/>
  <c r="E6513"/>
  <c r="B6514"/>
  <c r="E6514"/>
  <c r="B6515"/>
  <c r="E6515"/>
  <c r="B6516"/>
  <c r="E6516"/>
  <c r="B6517"/>
  <c r="E6517"/>
  <c r="B6518"/>
  <c r="E6518"/>
  <c r="B6519"/>
  <c r="E6519"/>
  <c r="B6520"/>
  <c r="E6520"/>
  <c r="B6521"/>
  <c r="E6521"/>
  <c r="B6522"/>
  <c r="E6522"/>
  <c r="B6523"/>
  <c r="E6523"/>
  <c r="B6524"/>
  <c r="E6524"/>
  <c r="B6525"/>
  <c r="E6525"/>
  <c r="B6526"/>
  <c r="E6526"/>
  <c r="B6527"/>
  <c r="E6527"/>
  <c r="B6528"/>
  <c r="E6528"/>
  <c r="B6529"/>
  <c r="E6529"/>
  <c r="B6530"/>
  <c r="E6530"/>
  <c r="B6531"/>
  <c r="E6531"/>
  <c r="B6532"/>
  <c r="E6532"/>
  <c r="B6533"/>
  <c r="E6533"/>
  <c r="B6534"/>
  <c r="E6534"/>
  <c r="B6535"/>
  <c r="E6535"/>
  <c r="B6536"/>
  <c r="E6536"/>
  <c r="B6537"/>
  <c r="E6537"/>
  <c r="B6538"/>
  <c r="E6538"/>
  <c r="B6539"/>
  <c r="E6539"/>
  <c r="B6540"/>
  <c r="E6540"/>
  <c r="B6541"/>
  <c r="E6541"/>
  <c r="B6542"/>
  <c r="E6542"/>
  <c r="B6543"/>
  <c r="E6543"/>
  <c r="B6544"/>
  <c r="E6544"/>
  <c r="B6545"/>
  <c r="E6545"/>
  <c r="B6546"/>
  <c r="E6546"/>
  <c r="B6547"/>
  <c r="E6547"/>
  <c r="B6548"/>
  <c r="E6548"/>
  <c r="B6549"/>
  <c r="E6549"/>
  <c r="B6550"/>
  <c r="E6550"/>
  <c r="B6551"/>
  <c r="E6551"/>
  <c r="B6552"/>
  <c r="E6552"/>
  <c r="B6553"/>
  <c r="E6553"/>
  <c r="B6554"/>
  <c r="E6554"/>
  <c r="B6555"/>
  <c r="E6555"/>
  <c r="B6556"/>
  <c r="E6556"/>
  <c r="B6557"/>
  <c r="E6557"/>
  <c r="B6558"/>
  <c r="E6558"/>
  <c r="B6559"/>
  <c r="E6559"/>
  <c r="B6560"/>
  <c r="E6560"/>
  <c r="B6561"/>
  <c r="E6561"/>
  <c r="B6562"/>
  <c r="E6562"/>
  <c r="B6563"/>
  <c r="E6563"/>
  <c r="B6564"/>
  <c r="E6564"/>
  <c r="B6565"/>
  <c r="E6565"/>
  <c r="B6566"/>
  <c r="E6566"/>
  <c r="B6567"/>
  <c r="E6567"/>
  <c r="B6568"/>
  <c r="E6568"/>
  <c r="B6569"/>
  <c r="E6569"/>
  <c r="B6570"/>
  <c r="E6570"/>
  <c r="B6571"/>
  <c r="E6571"/>
  <c r="B6572"/>
  <c r="E6572"/>
  <c r="B6573"/>
  <c r="E6573"/>
  <c r="B6574"/>
  <c r="E6574"/>
  <c r="B6575"/>
  <c r="E6575"/>
  <c r="B6576"/>
  <c r="E6576"/>
  <c r="B6577"/>
  <c r="E6577"/>
  <c r="B6578"/>
  <c r="E6578"/>
  <c r="B6579"/>
  <c r="E6579"/>
  <c r="B6580"/>
  <c r="E6580"/>
  <c r="B6581"/>
  <c r="E6581"/>
  <c r="B6582"/>
  <c r="E6582"/>
  <c r="B6583"/>
  <c r="E6583"/>
  <c r="B6584"/>
  <c r="E6584"/>
  <c r="B6585"/>
  <c r="E6585"/>
  <c r="B6586"/>
  <c r="E6586"/>
  <c r="B6587"/>
  <c r="E6587"/>
  <c r="B6588"/>
  <c r="E6588"/>
  <c r="B6589"/>
  <c r="E6589"/>
  <c r="B6590"/>
  <c r="E6590"/>
  <c r="B6591"/>
  <c r="E6591"/>
  <c r="B6592"/>
  <c r="E6592"/>
  <c r="B6593"/>
  <c r="E6593"/>
  <c r="B6594"/>
  <c r="E6594"/>
  <c r="B6595"/>
  <c r="E6595"/>
  <c r="B6596"/>
  <c r="E6596"/>
  <c r="B6597"/>
  <c r="E6597"/>
  <c r="B6598"/>
  <c r="E6598"/>
  <c r="B6599"/>
  <c r="E6599"/>
  <c r="B6600"/>
  <c r="E6600"/>
  <c r="B6601"/>
  <c r="E6601"/>
  <c r="B6602"/>
  <c r="E6602"/>
  <c r="B6603"/>
  <c r="E6603"/>
  <c r="B6604"/>
  <c r="E6604"/>
  <c r="B6605"/>
  <c r="E6605"/>
  <c r="B6606"/>
  <c r="E6606"/>
  <c r="B6607"/>
  <c r="E6607"/>
  <c r="B6608"/>
  <c r="E6608"/>
  <c r="B6609"/>
  <c r="E6609"/>
  <c r="B6610"/>
  <c r="E6610"/>
  <c r="B6611"/>
  <c r="E6611"/>
  <c r="B6612"/>
  <c r="E6612"/>
  <c r="B6613"/>
  <c r="E6613"/>
  <c r="B6614"/>
  <c r="E6614"/>
  <c r="B6615"/>
  <c r="E6615"/>
  <c r="B6616"/>
  <c r="E6616"/>
  <c r="B6617"/>
  <c r="E6617"/>
  <c r="B6618"/>
  <c r="E6618"/>
  <c r="B6619"/>
  <c r="E6619"/>
  <c r="B6620"/>
  <c r="E6620"/>
  <c r="B6621"/>
  <c r="E6621"/>
  <c r="B6622"/>
  <c r="E6622"/>
  <c r="B6623"/>
  <c r="E6623"/>
  <c r="B6624"/>
  <c r="E6624"/>
  <c r="B6625"/>
  <c r="E6625"/>
  <c r="B6626"/>
  <c r="E6626"/>
  <c r="B6627"/>
  <c r="E6627"/>
  <c r="B6628"/>
  <c r="E6628"/>
  <c r="B6629"/>
  <c r="E6629"/>
  <c r="B6630"/>
  <c r="E6630"/>
  <c r="B6631"/>
  <c r="E6631"/>
  <c r="B6632"/>
  <c r="E6632"/>
  <c r="B6633"/>
  <c r="E6633"/>
  <c r="B6634"/>
  <c r="E6634"/>
  <c r="B6635"/>
  <c r="E6635"/>
  <c r="B6636"/>
  <c r="E6636"/>
  <c r="B6637"/>
  <c r="E6637"/>
  <c r="B6638"/>
  <c r="E6638"/>
  <c r="B6639"/>
  <c r="E6639"/>
  <c r="B6640"/>
  <c r="E6640"/>
  <c r="B6641"/>
  <c r="E6641"/>
  <c r="B6642"/>
  <c r="E6642"/>
  <c r="B6643"/>
  <c r="E6643"/>
  <c r="B6644"/>
  <c r="E6644"/>
  <c r="B6645"/>
  <c r="E6645"/>
  <c r="B6646"/>
  <c r="E6646"/>
  <c r="B6647"/>
  <c r="E6647"/>
  <c r="B6648"/>
  <c r="E6648"/>
  <c r="B6649"/>
  <c r="E6649"/>
  <c r="B6650"/>
  <c r="E6650"/>
  <c r="B6651"/>
  <c r="E6651"/>
  <c r="B6652"/>
  <c r="E6652"/>
  <c r="B6653"/>
  <c r="E6653"/>
  <c r="B6654"/>
  <c r="E6654"/>
  <c r="B6655"/>
  <c r="E6655"/>
  <c r="B6656"/>
  <c r="E6656"/>
  <c r="B6657"/>
  <c r="E6657"/>
  <c r="B6658"/>
  <c r="E6658"/>
  <c r="B6659"/>
  <c r="E6659"/>
  <c r="B6660"/>
  <c r="E6660"/>
  <c r="B6661"/>
  <c r="E6661"/>
  <c r="B6662"/>
  <c r="E6662"/>
  <c r="B6663"/>
  <c r="E6663"/>
  <c r="B6664"/>
  <c r="E6664"/>
  <c r="B6665"/>
  <c r="E6665"/>
  <c r="B6666"/>
  <c r="E6666"/>
  <c r="B6667"/>
  <c r="E6667"/>
  <c r="B6668"/>
  <c r="E6668"/>
  <c r="B6669"/>
  <c r="E6669"/>
  <c r="B6670"/>
  <c r="E6670"/>
  <c r="B6671"/>
  <c r="E6671"/>
  <c r="B6672"/>
  <c r="E6672"/>
  <c r="B6673"/>
  <c r="E6673"/>
  <c r="B6674"/>
  <c r="E6674"/>
  <c r="B6675"/>
  <c r="E6675"/>
  <c r="B6676"/>
  <c r="E6676"/>
  <c r="B6677"/>
  <c r="E6677"/>
  <c r="B6678"/>
  <c r="E6678"/>
  <c r="B6679"/>
  <c r="E6679"/>
  <c r="B6680"/>
  <c r="E6680"/>
  <c r="B6681"/>
  <c r="E6681"/>
  <c r="B6682"/>
  <c r="E6682"/>
  <c r="B6683"/>
  <c r="E6683"/>
  <c r="B6684"/>
  <c r="E6684"/>
  <c r="B6685"/>
  <c r="E6685"/>
  <c r="B6686"/>
  <c r="E6686"/>
  <c r="B6687"/>
  <c r="E6687"/>
  <c r="B6688"/>
  <c r="E6688"/>
  <c r="B6689"/>
  <c r="E6689"/>
  <c r="B6690"/>
  <c r="E6690"/>
  <c r="B6691"/>
  <c r="E6691"/>
  <c r="B6692"/>
  <c r="E6692"/>
  <c r="B6693"/>
  <c r="E6693"/>
  <c r="B6694"/>
  <c r="E6694"/>
  <c r="B6695"/>
  <c r="E6695"/>
  <c r="B6696"/>
  <c r="E6696"/>
  <c r="B6697"/>
  <c r="E6697"/>
  <c r="B6698"/>
  <c r="E6698"/>
  <c r="B6699"/>
  <c r="E6699"/>
  <c r="B6700"/>
  <c r="E6700"/>
  <c r="B6701"/>
  <c r="E6701"/>
  <c r="B6702"/>
  <c r="E6702"/>
  <c r="B6703"/>
  <c r="E6703"/>
  <c r="B6704"/>
  <c r="E6704"/>
  <c r="B6705"/>
  <c r="E6705"/>
  <c r="B6706"/>
  <c r="E6706"/>
  <c r="B6707"/>
  <c r="E6707"/>
  <c r="B6708"/>
  <c r="E6708"/>
  <c r="B6709"/>
  <c r="E6709"/>
  <c r="B6710"/>
  <c r="E6710"/>
  <c r="B6711"/>
  <c r="E6711"/>
  <c r="B6712"/>
  <c r="E6712"/>
  <c r="B6713"/>
  <c r="E6713"/>
  <c r="B6714"/>
  <c r="E6714"/>
  <c r="B6715"/>
  <c r="E6715"/>
  <c r="B6716"/>
  <c r="E6716"/>
  <c r="B6717"/>
  <c r="E6717"/>
  <c r="B6718"/>
  <c r="E6718"/>
  <c r="B6719"/>
  <c r="E6719"/>
  <c r="B6720"/>
  <c r="E6720"/>
  <c r="B6721"/>
  <c r="E6721"/>
  <c r="B6722"/>
  <c r="E6722"/>
  <c r="B6723"/>
  <c r="E6723"/>
  <c r="B6724"/>
  <c r="E6724"/>
  <c r="B6725"/>
  <c r="E6725"/>
  <c r="B6726"/>
  <c r="E6726"/>
  <c r="B6727"/>
  <c r="E6727"/>
  <c r="B6728"/>
  <c r="E6728"/>
  <c r="B6729"/>
  <c r="E6729"/>
  <c r="B6730"/>
  <c r="E6730"/>
  <c r="B6731"/>
  <c r="E6731"/>
  <c r="B6732"/>
  <c r="E6732"/>
  <c r="B6733"/>
  <c r="E6733"/>
  <c r="B6734"/>
  <c r="E6734"/>
  <c r="B6735"/>
  <c r="E6735"/>
  <c r="B6736"/>
  <c r="E6736"/>
  <c r="B6737"/>
  <c r="E6737"/>
  <c r="B6738"/>
  <c r="E6738"/>
  <c r="B6739"/>
  <c r="E6739"/>
  <c r="B6740"/>
  <c r="E6740"/>
  <c r="B6741"/>
  <c r="E6741"/>
  <c r="B6742"/>
  <c r="E6742"/>
  <c r="B6743"/>
  <c r="E6743"/>
  <c r="B6744"/>
  <c r="E6744"/>
  <c r="B6745"/>
  <c r="E6745"/>
  <c r="B6746"/>
  <c r="E6746"/>
  <c r="B6747"/>
  <c r="E6747"/>
  <c r="B6748"/>
  <c r="E6748"/>
  <c r="B6749"/>
  <c r="E6749"/>
  <c r="B6750"/>
  <c r="E6750"/>
  <c r="B6751"/>
  <c r="E6751"/>
  <c r="B6752"/>
  <c r="E6752"/>
  <c r="B6753"/>
  <c r="E6753"/>
  <c r="B6754"/>
  <c r="E6754"/>
  <c r="B6755"/>
  <c r="E6755"/>
  <c r="B6756"/>
  <c r="E6756"/>
  <c r="B6757"/>
  <c r="E6757"/>
  <c r="B6758"/>
  <c r="E6758"/>
  <c r="B6759"/>
  <c r="E6759"/>
  <c r="B6760"/>
  <c r="E6760"/>
  <c r="B6761"/>
  <c r="E6761"/>
  <c r="B6762"/>
  <c r="E6762"/>
  <c r="B6763"/>
  <c r="E6763"/>
  <c r="B6764"/>
  <c r="E6764"/>
  <c r="B6765"/>
  <c r="E6765"/>
  <c r="B6766"/>
  <c r="E6766"/>
  <c r="B6767"/>
  <c r="E6767"/>
  <c r="B6768"/>
  <c r="E6768"/>
  <c r="B6769"/>
  <c r="E6769"/>
  <c r="B6770"/>
  <c r="E6770"/>
  <c r="B6771"/>
  <c r="E6771"/>
  <c r="B6772"/>
  <c r="E6772"/>
  <c r="B6773"/>
  <c r="E6773"/>
  <c r="B6774"/>
  <c r="E6774"/>
  <c r="B6775"/>
  <c r="E6775"/>
  <c r="B6776"/>
  <c r="E6776"/>
  <c r="B6777"/>
  <c r="E6777"/>
  <c r="B6778"/>
  <c r="E6778"/>
  <c r="B6779"/>
  <c r="E6779"/>
  <c r="B6780"/>
  <c r="E6780"/>
  <c r="B6781"/>
  <c r="E6781"/>
  <c r="B6782"/>
  <c r="E6782"/>
  <c r="B6783"/>
  <c r="E6783"/>
  <c r="B6784"/>
  <c r="E6784"/>
  <c r="B6785"/>
  <c r="E6785"/>
  <c r="B6786"/>
  <c r="E6786"/>
  <c r="B6787"/>
  <c r="E6787"/>
  <c r="B6788"/>
  <c r="E6788"/>
  <c r="B6789"/>
  <c r="E6789"/>
  <c r="B6790"/>
  <c r="E6790"/>
  <c r="B6791"/>
  <c r="E6791"/>
  <c r="B6792"/>
  <c r="E6792"/>
  <c r="B6793"/>
  <c r="E6793"/>
  <c r="B6794"/>
  <c r="E6794"/>
  <c r="B6795"/>
  <c r="E6795"/>
  <c r="B6796"/>
  <c r="E6796"/>
  <c r="B6797"/>
  <c r="E6797"/>
  <c r="B6798"/>
  <c r="E6798"/>
  <c r="B6799"/>
  <c r="E6799"/>
  <c r="B6800"/>
  <c r="E6800"/>
  <c r="B6801"/>
  <c r="E6801"/>
  <c r="B6802"/>
  <c r="E6802"/>
  <c r="B6803"/>
  <c r="E6803"/>
  <c r="B6804"/>
  <c r="E6804"/>
  <c r="B6805"/>
  <c r="E6805"/>
  <c r="B6806"/>
  <c r="E6806"/>
  <c r="B6807"/>
  <c r="E6807"/>
  <c r="B6808"/>
  <c r="E6808"/>
  <c r="B6809"/>
  <c r="E6809"/>
  <c r="B6810"/>
  <c r="E6810"/>
  <c r="B6811"/>
  <c r="E6811"/>
  <c r="B6812"/>
  <c r="E6812"/>
  <c r="B6813"/>
  <c r="E6813"/>
  <c r="B6814"/>
  <c r="E6814"/>
  <c r="B6815"/>
  <c r="E6815"/>
  <c r="B6816"/>
  <c r="E6816"/>
  <c r="B6817"/>
  <c r="E6817"/>
  <c r="B6818"/>
  <c r="E6818"/>
  <c r="B6819"/>
  <c r="E6819"/>
  <c r="B6820"/>
  <c r="E6820"/>
  <c r="B6821"/>
  <c r="E6821"/>
  <c r="B6822"/>
  <c r="E6822"/>
  <c r="B6823"/>
  <c r="E6823"/>
  <c r="B6824"/>
  <c r="E6824"/>
  <c r="B6825"/>
  <c r="E6825"/>
  <c r="B6826"/>
  <c r="E6826"/>
  <c r="B6827"/>
  <c r="E6827"/>
  <c r="B6828"/>
  <c r="E6828"/>
  <c r="B6829"/>
  <c r="E6829"/>
  <c r="B6830"/>
  <c r="E6830"/>
  <c r="B6831"/>
  <c r="E6831"/>
  <c r="B6832"/>
  <c r="E6832"/>
  <c r="B6833"/>
  <c r="E6833"/>
  <c r="B6834"/>
  <c r="E6834"/>
  <c r="B6835"/>
  <c r="E6835"/>
  <c r="B6836"/>
  <c r="E6836"/>
  <c r="B6837"/>
  <c r="E6837"/>
  <c r="B6838"/>
  <c r="E6838"/>
  <c r="B6839"/>
  <c r="E6839"/>
  <c r="B6840"/>
  <c r="E6840"/>
  <c r="B6841"/>
  <c r="E6841"/>
  <c r="B6842"/>
  <c r="E6842"/>
  <c r="B6843"/>
  <c r="E6843"/>
  <c r="B6844"/>
  <c r="E6844"/>
  <c r="B6845"/>
  <c r="E6845"/>
  <c r="B6846"/>
  <c r="E6846"/>
  <c r="B6847"/>
  <c r="E6847"/>
  <c r="B6848"/>
  <c r="E6848"/>
  <c r="B6849"/>
  <c r="E6849"/>
  <c r="B6850"/>
  <c r="E6850"/>
  <c r="B6851"/>
  <c r="E6851"/>
  <c r="B6852"/>
  <c r="E6852"/>
  <c r="B6853"/>
  <c r="E6853"/>
  <c r="B6854"/>
  <c r="E6854"/>
  <c r="B6855"/>
  <c r="E6855"/>
  <c r="B6856"/>
  <c r="E6856"/>
  <c r="B6857"/>
  <c r="E6857"/>
  <c r="B6858"/>
  <c r="E6858"/>
  <c r="B6859"/>
  <c r="E6859"/>
  <c r="B6860"/>
  <c r="E6860"/>
  <c r="B6861"/>
  <c r="E6861"/>
  <c r="B6862"/>
  <c r="E6862"/>
  <c r="B6863"/>
  <c r="E6863"/>
  <c r="B6864"/>
  <c r="E6864"/>
  <c r="B6865"/>
  <c r="E6865"/>
  <c r="B6866"/>
  <c r="E6866"/>
  <c r="B6867"/>
  <c r="E6867"/>
  <c r="B6868"/>
  <c r="E6868"/>
  <c r="B6869"/>
  <c r="E6869"/>
  <c r="B6870"/>
  <c r="E6870"/>
  <c r="B6871"/>
  <c r="E6871"/>
  <c r="B6872"/>
  <c r="E6872"/>
  <c r="B6873"/>
  <c r="E6873"/>
  <c r="B6874"/>
  <c r="E6874"/>
  <c r="B6875"/>
  <c r="E6875"/>
  <c r="B6876"/>
  <c r="E6876"/>
  <c r="B6877"/>
  <c r="E6877"/>
  <c r="B6878"/>
  <c r="E6878"/>
  <c r="B6879"/>
  <c r="E6879"/>
  <c r="B6880"/>
  <c r="E6880"/>
  <c r="B6881"/>
  <c r="E6881"/>
  <c r="B6882"/>
  <c r="E6882"/>
  <c r="B6883"/>
  <c r="E6883"/>
  <c r="B6884"/>
  <c r="E6884"/>
  <c r="B6885"/>
  <c r="E6885"/>
  <c r="B6886"/>
  <c r="E6886"/>
  <c r="B6887"/>
  <c r="E6887"/>
  <c r="B6888"/>
  <c r="E6888"/>
  <c r="B6889"/>
  <c r="E6889"/>
  <c r="B6890"/>
  <c r="E6890"/>
  <c r="B6891"/>
  <c r="E6891"/>
  <c r="B6892"/>
  <c r="E6892"/>
  <c r="B6893"/>
  <c r="E6893"/>
  <c r="B6894"/>
  <c r="E6894"/>
  <c r="B6895"/>
  <c r="E6895"/>
  <c r="B6896"/>
  <c r="E6896"/>
  <c r="B6897"/>
  <c r="E6897"/>
  <c r="B6898"/>
  <c r="E6898"/>
  <c r="B6899"/>
  <c r="E6899"/>
  <c r="B6900"/>
  <c r="E6900"/>
  <c r="B6901"/>
  <c r="E6901"/>
  <c r="B6902"/>
  <c r="E6902"/>
  <c r="B6903"/>
  <c r="E6903"/>
  <c r="B6904"/>
  <c r="E6904"/>
  <c r="B6905"/>
  <c r="E6905"/>
  <c r="B6906"/>
  <c r="E6906"/>
  <c r="B6907"/>
  <c r="E6907"/>
  <c r="B6908"/>
  <c r="E6908"/>
  <c r="B6909"/>
  <c r="E6909"/>
  <c r="B6910"/>
  <c r="E6910"/>
  <c r="B6911"/>
  <c r="E6911"/>
  <c r="B6912"/>
  <c r="E6912"/>
  <c r="B6913"/>
  <c r="E6913"/>
  <c r="B6914"/>
  <c r="E6914"/>
  <c r="B6915"/>
  <c r="E6915"/>
  <c r="B6916"/>
  <c r="E6916"/>
  <c r="B6917"/>
  <c r="E6917"/>
  <c r="B6918"/>
  <c r="E6918"/>
  <c r="B6919"/>
  <c r="E6919"/>
  <c r="B6920"/>
  <c r="E6920"/>
  <c r="B6921"/>
  <c r="E6921"/>
  <c r="B6922"/>
  <c r="E6922"/>
  <c r="B6923"/>
  <c r="E6923"/>
  <c r="B6924"/>
  <c r="E6924"/>
  <c r="B6925"/>
  <c r="E6925"/>
  <c r="B6926"/>
  <c r="E6926"/>
  <c r="B6927"/>
  <c r="E6927"/>
  <c r="B6928"/>
  <c r="E6928"/>
  <c r="B6929"/>
  <c r="E6929"/>
  <c r="B6930"/>
  <c r="E6930"/>
  <c r="B6931"/>
  <c r="E6931"/>
  <c r="B6932"/>
  <c r="E6932"/>
  <c r="B6933"/>
  <c r="E6933"/>
  <c r="B6934"/>
  <c r="E6934"/>
  <c r="B6935"/>
  <c r="E6935"/>
  <c r="B6936"/>
  <c r="E6936"/>
  <c r="B6937"/>
  <c r="E6937"/>
  <c r="B6938"/>
  <c r="E6938"/>
  <c r="B6939"/>
  <c r="E6939"/>
  <c r="B6940"/>
  <c r="E6940"/>
  <c r="B6941"/>
  <c r="E6941"/>
  <c r="B6942"/>
  <c r="E6942"/>
  <c r="B6943"/>
  <c r="E6943"/>
  <c r="B6944"/>
  <c r="E6944"/>
  <c r="B6945"/>
  <c r="E6945"/>
  <c r="B6946"/>
  <c r="E6946"/>
  <c r="B6947"/>
  <c r="E6947"/>
  <c r="B6948"/>
  <c r="E6948"/>
  <c r="B6949"/>
  <c r="E6949"/>
  <c r="B6950"/>
  <c r="E6950"/>
  <c r="B6951"/>
  <c r="E6951"/>
  <c r="B6952"/>
  <c r="E6952"/>
  <c r="B6953"/>
  <c r="E6953"/>
  <c r="B6954"/>
  <c r="E6954"/>
  <c r="B6955"/>
  <c r="E6955"/>
  <c r="B6956"/>
  <c r="E6956"/>
  <c r="B6957"/>
  <c r="E6957"/>
  <c r="B6958"/>
  <c r="E6958"/>
  <c r="B6959"/>
  <c r="E6959"/>
  <c r="B6960"/>
  <c r="E6960"/>
  <c r="B6961"/>
  <c r="E6961"/>
  <c r="B6962"/>
  <c r="E6962"/>
  <c r="B6963"/>
  <c r="E6963"/>
  <c r="B6964"/>
  <c r="E6964"/>
  <c r="B6965"/>
  <c r="E6965"/>
  <c r="B6966"/>
  <c r="E6966"/>
  <c r="B6967"/>
  <c r="E6967"/>
  <c r="B6968"/>
  <c r="E6968"/>
  <c r="B6969"/>
  <c r="E6969"/>
  <c r="B6970"/>
  <c r="E6970"/>
  <c r="B6971"/>
  <c r="E6971"/>
  <c r="B6972"/>
  <c r="E6972"/>
  <c r="B6973"/>
  <c r="E6973"/>
  <c r="B6974"/>
  <c r="E6974"/>
  <c r="B6975"/>
  <c r="E6975"/>
  <c r="B6976"/>
  <c r="E6976"/>
  <c r="B6977"/>
  <c r="E6977"/>
  <c r="B6978"/>
  <c r="E6978"/>
  <c r="B6979"/>
  <c r="E6979"/>
  <c r="B6980"/>
  <c r="E6980"/>
  <c r="B6981"/>
  <c r="E6981"/>
  <c r="B6982"/>
  <c r="E6982"/>
  <c r="B6983"/>
  <c r="E6983"/>
  <c r="B6984"/>
  <c r="E6984"/>
  <c r="B6985"/>
  <c r="E6985"/>
  <c r="B6986"/>
  <c r="E6986"/>
  <c r="B6987"/>
  <c r="E6987"/>
  <c r="B6988"/>
  <c r="E6988"/>
  <c r="B6989"/>
  <c r="E6989"/>
  <c r="B6990"/>
  <c r="E6990"/>
  <c r="B6991"/>
  <c r="E6991"/>
  <c r="B6992"/>
  <c r="E6992"/>
  <c r="B6993"/>
  <c r="E6993"/>
  <c r="B6994"/>
  <c r="E6994"/>
  <c r="B6995"/>
  <c r="E6995"/>
  <c r="B6996"/>
  <c r="E6996"/>
  <c r="B6997"/>
  <c r="E6997"/>
  <c r="B6998"/>
  <c r="E6998"/>
  <c r="B6999"/>
  <c r="E6999"/>
  <c r="B7000"/>
  <c r="E7000"/>
  <c r="B7001"/>
  <c r="E7001"/>
  <c r="B7002"/>
  <c r="E7002"/>
  <c r="B7003"/>
  <c r="E7003"/>
  <c r="B7004"/>
  <c r="E7004"/>
  <c r="B7005"/>
  <c r="E7005"/>
  <c r="B7006"/>
  <c r="E7006"/>
  <c r="B7007"/>
  <c r="E7007"/>
  <c r="B7008"/>
  <c r="E7008"/>
  <c r="B7009"/>
  <c r="E7009"/>
  <c r="B7010"/>
  <c r="E7010"/>
  <c r="B7011"/>
  <c r="E7011"/>
  <c r="B7012"/>
  <c r="E7012"/>
  <c r="B7013"/>
  <c r="E7013"/>
  <c r="B7014"/>
  <c r="E7014"/>
  <c r="B7015"/>
  <c r="E7015"/>
  <c r="B7016"/>
  <c r="E7016"/>
  <c r="B7017"/>
  <c r="E7017"/>
  <c r="B7018"/>
  <c r="E7018"/>
  <c r="B7019"/>
  <c r="E7019"/>
  <c r="B7020"/>
  <c r="E7020"/>
  <c r="B7021"/>
  <c r="E7021"/>
  <c r="B7022"/>
  <c r="E7022"/>
  <c r="B7023"/>
  <c r="E7023"/>
  <c r="B7024"/>
  <c r="E7024"/>
  <c r="B7025"/>
  <c r="E7025"/>
  <c r="B7026"/>
  <c r="E7026"/>
  <c r="B7027"/>
  <c r="E7027"/>
  <c r="B7028"/>
  <c r="E7028"/>
  <c r="B7029"/>
  <c r="E7029"/>
  <c r="B7030"/>
  <c r="E7030"/>
  <c r="B7031"/>
  <c r="E7031"/>
  <c r="B7032"/>
  <c r="E7032"/>
  <c r="B7033"/>
  <c r="E7033"/>
  <c r="B7034"/>
  <c r="E7034"/>
  <c r="B7035"/>
  <c r="E7035"/>
  <c r="B7036"/>
  <c r="E7036"/>
  <c r="B7037"/>
  <c r="E7037"/>
  <c r="B7038"/>
  <c r="E7038"/>
  <c r="B7039"/>
  <c r="E7039"/>
  <c r="B7040"/>
  <c r="E7040"/>
  <c r="B7041"/>
  <c r="E7041"/>
  <c r="B7042"/>
  <c r="E7042"/>
  <c r="B7043"/>
  <c r="E7043"/>
  <c r="B7044"/>
  <c r="E7044"/>
  <c r="B7045"/>
  <c r="E7045"/>
  <c r="B7046"/>
  <c r="E7046"/>
  <c r="B7047"/>
  <c r="E7047"/>
  <c r="B7048"/>
  <c r="E7048"/>
  <c r="B7049"/>
  <c r="E7049"/>
  <c r="B7050"/>
  <c r="E7050"/>
  <c r="B7051"/>
  <c r="E7051"/>
  <c r="B7052"/>
  <c r="E7052"/>
  <c r="B7053"/>
  <c r="E7053"/>
  <c r="B7054"/>
  <c r="E7054"/>
  <c r="B7055"/>
  <c r="E7055"/>
  <c r="B7056"/>
  <c r="E7056"/>
  <c r="B7057"/>
  <c r="E7057"/>
  <c r="B7058"/>
  <c r="E7058"/>
  <c r="B7059"/>
  <c r="E7059"/>
  <c r="B7060"/>
  <c r="E7060"/>
  <c r="B7061"/>
  <c r="E7061"/>
  <c r="B7062"/>
  <c r="E7062"/>
  <c r="B7063"/>
  <c r="E7063"/>
  <c r="B7064"/>
  <c r="E7064"/>
  <c r="B7065"/>
  <c r="E7065"/>
  <c r="B7066"/>
  <c r="E7066"/>
  <c r="B7067"/>
  <c r="E7067"/>
  <c r="B7068"/>
  <c r="E7068"/>
  <c r="B7069"/>
  <c r="E7069"/>
  <c r="B7070"/>
  <c r="E7070"/>
  <c r="B7071"/>
  <c r="E7071"/>
  <c r="B7072"/>
  <c r="E7072"/>
  <c r="B7073"/>
  <c r="E7073"/>
  <c r="B7074"/>
  <c r="E7074"/>
  <c r="B7075"/>
  <c r="E7075"/>
  <c r="B7076"/>
  <c r="E7076"/>
  <c r="B7077"/>
  <c r="E7077"/>
  <c r="B7078"/>
  <c r="E7078"/>
  <c r="B7079"/>
  <c r="E7079"/>
  <c r="B7080"/>
  <c r="E7080"/>
  <c r="B7081"/>
  <c r="E7081"/>
  <c r="B7082"/>
  <c r="E7082"/>
  <c r="B7083"/>
  <c r="E7083"/>
  <c r="B7084"/>
  <c r="E7084"/>
  <c r="B7085"/>
  <c r="E7085"/>
  <c r="B7086"/>
  <c r="E7086"/>
  <c r="B7087"/>
  <c r="E7087"/>
  <c r="B7088"/>
  <c r="E7088"/>
  <c r="B7089"/>
  <c r="E7089"/>
  <c r="B7090"/>
  <c r="E7090"/>
  <c r="B7091"/>
  <c r="E7091"/>
  <c r="B7092"/>
  <c r="E7092"/>
  <c r="B7093"/>
  <c r="E7093"/>
  <c r="B7094"/>
  <c r="E7094"/>
  <c r="B7095"/>
  <c r="E7095"/>
  <c r="B7096"/>
  <c r="E7096"/>
  <c r="B7097"/>
  <c r="E7097"/>
  <c r="B7098"/>
  <c r="E7098"/>
  <c r="B7099"/>
  <c r="E7099"/>
  <c r="B7100"/>
  <c r="E7100"/>
  <c r="B7101"/>
  <c r="E7101"/>
  <c r="B7102"/>
  <c r="E7102"/>
  <c r="B7103"/>
  <c r="E7103"/>
  <c r="B7104"/>
  <c r="E7104"/>
  <c r="B7105"/>
  <c r="E7105"/>
  <c r="B7106"/>
  <c r="E7106"/>
  <c r="B7107"/>
  <c r="E7107"/>
  <c r="B7108"/>
  <c r="E7108"/>
  <c r="B7109"/>
  <c r="E7109"/>
  <c r="B7110"/>
  <c r="E7110"/>
  <c r="B7111"/>
  <c r="E7111"/>
  <c r="B7112"/>
  <c r="E7112"/>
  <c r="B7113"/>
  <c r="E7113"/>
  <c r="B7114"/>
  <c r="E7114"/>
  <c r="B7115"/>
  <c r="E7115"/>
  <c r="B7116"/>
  <c r="E7116"/>
  <c r="B7117"/>
  <c r="E7117"/>
  <c r="B7118"/>
  <c r="E7118"/>
  <c r="B7119"/>
  <c r="E7119"/>
  <c r="B7120"/>
  <c r="E7120"/>
  <c r="B7121"/>
  <c r="E7121"/>
  <c r="B7122"/>
  <c r="E7122"/>
  <c r="B7123"/>
  <c r="E7123"/>
  <c r="B7124"/>
  <c r="E7124"/>
  <c r="B7125"/>
  <c r="E7125"/>
  <c r="B7126"/>
  <c r="E7126"/>
  <c r="B7127"/>
  <c r="E7127"/>
  <c r="B7128"/>
  <c r="E7128"/>
  <c r="B7129"/>
  <c r="E7129"/>
  <c r="B7130"/>
  <c r="E7130"/>
  <c r="B7131"/>
  <c r="E7131"/>
  <c r="B7132"/>
  <c r="E7132"/>
  <c r="B7133"/>
  <c r="E7133"/>
  <c r="B7134"/>
  <c r="E7134"/>
  <c r="B7135"/>
  <c r="E7135"/>
  <c r="B7136"/>
  <c r="E7136"/>
  <c r="B7137"/>
  <c r="E7137"/>
  <c r="B7138"/>
  <c r="E7138"/>
  <c r="B7139"/>
  <c r="E7139"/>
  <c r="B7140"/>
  <c r="E7140"/>
  <c r="B7141"/>
  <c r="E7141"/>
  <c r="B7142"/>
  <c r="E7142"/>
  <c r="B7143"/>
  <c r="E7143"/>
  <c r="B7144"/>
  <c r="E7144"/>
  <c r="B7145"/>
  <c r="E7145"/>
  <c r="B7146"/>
  <c r="E7146"/>
  <c r="B7147"/>
  <c r="E7147"/>
  <c r="B7148"/>
  <c r="E7148"/>
  <c r="B7149"/>
  <c r="E7149"/>
  <c r="B7150"/>
  <c r="E7150"/>
  <c r="B7151"/>
  <c r="E7151"/>
  <c r="B7152"/>
  <c r="E7152"/>
  <c r="B7153"/>
  <c r="E7153"/>
  <c r="B7154"/>
  <c r="E7154"/>
  <c r="B7155"/>
  <c r="E7155"/>
  <c r="B7156"/>
  <c r="E7156"/>
  <c r="B7157"/>
  <c r="E7157"/>
  <c r="B7158"/>
  <c r="E7158"/>
  <c r="B7159"/>
  <c r="E7159"/>
  <c r="B7160"/>
  <c r="E7160"/>
  <c r="B7161"/>
  <c r="E7161"/>
  <c r="B7162"/>
  <c r="E7162"/>
  <c r="B7163"/>
  <c r="E7163"/>
  <c r="B7164"/>
  <c r="E7164"/>
  <c r="B7165"/>
  <c r="E7165"/>
  <c r="B7166"/>
  <c r="E7166"/>
  <c r="B7167"/>
  <c r="E7167"/>
  <c r="B7168"/>
  <c r="E7168"/>
  <c r="B7169"/>
  <c r="E7169"/>
  <c r="B7170"/>
  <c r="E7170"/>
  <c r="B7171"/>
  <c r="E7171"/>
  <c r="B7172"/>
  <c r="E7172"/>
  <c r="B7173"/>
  <c r="E7173"/>
  <c r="B7174"/>
  <c r="E7174"/>
  <c r="B7175"/>
  <c r="E7175"/>
  <c r="B7176"/>
  <c r="E7176"/>
  <c r="B7177"/>
  <c r="E7177"/>
  <c r="B7178"/>
  <c r="E7178"/>
  <c r="B7179"/>
  <c r="E7179"/>
  <c r="B7180"/>
  <c r="E7180"/>
  <c r="B7181"/>
  <c r="E7181"/>
  <c r="B7182"/>
  <c r="E7182"/>
  <c r="B7183"/>
  <c r="E7183"/>
  <c r="B7184"/>
  <c r="E7184"/>
  <c r="B7185"/>
  <c r="E7185"/>
  <c r="B7186"/>
  <c r="E7186"/>
  <c r="B7187"/>
  <c r="E7187"/>
  <c r="B7188"/>
  <c r="E7188"/>
  <c r="B7189"/>
  <c r="E7189"/>
  <c r="B7190"/>
  <c r="E7190"/>
  <c r="B7191"/>
  <c r="E7191"/>
  <c r="B7192"/>
  <c r="E7192"/>
  <c r="B7193"/>
  <c r="E7193"/>
  <c r="B7194"/>
  <c r="E7194"/>
  <c r="B7195"/>
  <c r="E7195"/>
  <c r="B7196"/>
  <c r="E7196"/>
  <c r="B7197"/>
  <c r="E7197"/>
  <c r="B7198"/>
  <c r="E7198"/>
  <c r="B7199"/>
  <c r="E7199"/>
  <c r="B7200"/>
  <c r="E7200"/>
  <c r="B7201"/>
  <c r="E7201"/>
  <c r="B7202"/>
  <c r="E7202"/>
  <c r="B7203"/>
  <c r="E7203"/>
  <c r="B7204"/>
  <c r="E7204"/>
  <c r="B7205"/>
  <c r="E7205"/>
  <c r="B7206"/>
  <c r="E7206"/>
  <c r="B7207"/>
  <c r="E7207"/>
  <c r="B7208"/>
  <c r="E7208"/>
  <c r="B7209"/>
  <c r="E7209"/>
  <c r="B7210"/>
  <c r="E7210"/>
  <c r="B7211"/>
  <c r="E7211"/>
  <c r="B7212"/>
  <c r="E7212"/>
  <c r="B7213"/>
  <c r="E7213"/>
  <c r="B7214"/>
  <c r="E7214"/>
  <c r="B7215"/>
  <c r="E7215"/>
  <c r="B7216"/>
  <c r="E7216"/>
  <c r="B7217"/>
  <c r="E7217"/>
  <c r="B7218"/>
  <c r="E7218"/>
  <c r="B7219"/>
  <c r="E7219"/>
  <c r="B7220"/>
  <c r="E7220"/>
  <c r="B7221"/>
  <c r="E7221"/>
  <c r="B7222"/>
  <c r="E7222"/>
  <c r="B7223"/>
  <c r="E7223"/>
  <c r="B7224"/>
  <c r="E7224"/>
  <c r="B7225"/>
  <c r="E7225"/>
  <c r="B7226"/>
  <c r="E7226"/>
  <c r="B7227"/>
  <c r="E7227"/>
  <c r="B7228"/>
  <c r="E7228"/>
  <c r="B7229"/>
  <c r="E7229"/>
  <c r="B7230"/>
  <c r="E7230"/>
  <c r="B7231"/>
  <c r="E7231"/>
  <c r="B7232"/>
  <c r="E7232"/>
  <c r="B7233"/>
  <c r="E7233"/>
  <c r="B7234"/>
  <c r="E7234"/>
  <c r="B7235"/>
  <c r="E7235"/>
  <c r="B7236"/>
  <c r="E7236"/>
  <c r="B7237"/>
  <c r="E7237"/>
  <c r="B7238"/>
  <c r="E7238"/>
  <c r="B7239"/>
  <c r="E7239"/>
  <c r="B7240"/>
  <c r="E7240"/>
  <c r="B7241"/>
  <c r="E7241"/>
  <c r="B7242"/>
  <c r="E7242"/>
  <c r="B7243"/>
  <c r="E7243"/>
  <c r="B7244"/>
  <c r="E7244"/>
  <c r="B7245"/>
  <c r="E7245"/>
  <c r="B7246"/>
  <c r="E7246"/>
  <c r="B7247"/>
  <c r="E7247"/>
  <c r="B7248"/>
  <c r="E7248"/>
  <c r="B7249"/>
  <c r="E7249"/>
  <c r="B7250"/>
  <c r="E7250"/>
  <c r="B7251"/>
  <c r="E7251"/>
  <c r="B7252"/>
  <c r="E7252"/>
  <c r="B7253"/>
  <c r="E7253"/>
  <c r="B7254"/>
  <c r="E7254"/>
  <c r="B7255"/>
  <c r="E7255"/>
  <c r="B7256"/>
  <c r="E7256"/>
  <c r="B7257"/>
  <c r="E7257"/>
  <c r="B7258"/>
  <c r="E7258"/>
  <c r="B7259"/>
  <c r="E7259"/>
  <c r="B7260"/>
  <c r="E7260"/>
  <c r="B7261"/>
  <c r="E7261"/>
  <c r="B7262"/>
  <c r="E7262"/>
  <c r="B7263"/>
  <c r="E7263"/>
  <c r="B7264"/>
  <c r="E7264"/>
  <c r="B7265"/>
  <c r="E7265"/>
  <c r="B7266"/>
  <c r="E7266"/>
  <c r="B7267"/>
  <c r="E7267"/>
  <c r="B7268"/>
  <c r="E7268"/>
  <c r="B7269"/>
  <c r="E7269"/>
  <c r="B7270"/>
  <c r="E7270"/>
  <c r="B7271"/>
  <c r="E7271"/>
  <c r="B7272"/>
  <c r="E7272"/>
  <c r="B7273"/>
  <c r="E7273"/>
  <c r="B7274"/>
  <c r="E7274"/>
  <c r="B7275"/>
  <c r="E7275"/>
  <c r="B7276"/>
  <c r="E7276"/>
  <c r="B7277"/>
  <c r="E7277"/>
  <c r="B7278"/>
  <c r="E7278"/>
  <c r="B7279"/>
  <c r="E7279"/>
  <c r="B7280"/>
  <c r="E7280"/>
  <c r="B7281"/>
  <c r="E7281"/>
  <c r="B7282"/>
  <c r="E7282"/>
  <c r="B7283"/>
  <c r="E7283"/>
  <c r="B7284"/>
  <c r="E7284"/>
  <c r="B7285"/>
  <c r="E7285"/>
  <c r="B7286"/>
  <c r="E7286"/>
  <c r="B7287"/>
  <c r="E7287"/>
  <c r="B7288"/>
  <c r="E7288"/>
  <c r="B7289"/>
  <c r="E7289"/>
  <c r="B7290"/>
  <c r="E7290"/>
  <c r="B7291"/>
  <c r="E7291"/>
  <c r="B7292"/>
  <c r="E7292"/>
  <c r="B7293"/>
  <c r="E7293"/>
  <c r="B7294"/>
  <c r="E7294"/>
  <c r="B7295"/>
  <c r="E7295"/>
  <c r="B7296"/>
  <c r="E7296"/>
  <c r="B7297"/>
  <c r="E7297"/>
  <c r="B7298"/>
  <c r="E7298"/>
  <c r="B7299"/>
  <c r="E7299"/>
  <c r="B7300"/>
  <c r="E7300"/>
  <c r="B7301"/>
  <c r="E7301"/>
  <c r="B7302"/>
  <c r="E7302"/>
  <c r="B7303"/>
  <c r="E7303"/>
  <c r="B7304"/>
  <c r="E7304"/>
  <c r="B7305"/>
  <c r="E7305"/>
  <c r="B7306"/>
  <c r="E7306"/>
  <c r="B7307"/>
  <c r="E7307"/>
  <c r="B7308"/>
  <c r="E7308"/>
  <c r="B7309"/>
  <c r="E7309"/>
  <c r="B7310"/>
  <c r="E7310"/>
  <c r="B7311"/>
  <c r="E7311"/>
  <c r="B7312"/>
  <c r="E7312"/>
  <c r="B7313"/>
  <c r="E7313"/>
  <c r="B7314"/>
  <c r="E7314"/>
  <c r="B7315"/>
  <c r="E7315"/>
  <c r="B7316"/>
  <c r="E7316"/>
  <c r="B7317"/>
  <c r="E7317"/>
  <c r="B7318"/>
  <c r="E7318"/>
  <c r="B7319"/>
  <c r="E7319"/>
  <c r="B7320"/>
  <c r="E7320"/>
  <c r="B7321"/>
  <c r="E7321"/>
  <c r="B7322"/>
  <c r="E7322"/>
  <c r="B7323"/>
  <c r="E7323"/>
  <c r="B7324"/>
  <c r="E7324"/>
  <c r="B7325"/>
  <c r="E7325"/>
  <c r="B7326"/>
  <c r="E7326"/>
  <c r="B7327"/>
  <c r="E7327"/>
  <c r="B7328"/>
  <c r="E7328"/>
  <c r="B7329"/>
  <c r="E7329"/>
  <c r="B7330"/>
  <c r="E7330"/>
  <c r="B7331"/>
  <c r="E7331"/>
  <c r="B7332"/>
  <c r="E7332"/>
  <c r="B7333"/>
  <c r="E7333"/>
  <c r="B7334"/>
  <c r="E7334"/>
  <c r="B7335"/>
  <c r="E7335"/>
  <c r="B7336"/>
  <c r="E7336"/>
  <c r="B7337"/>
  <c r="E7337"/>
  <c r="B7338"/>
  <c r="E7338"/>
  <c r="B7339"/>
  <c r="E7339"/>
  <c r="B7340"/>
  <c r="E7340"/>
  <c r="B7341"/>
  <c r="E7341"/>
  <c r="B7342"/>
  <c r="E7342"/>
  <c r="B7343"/>
  <c r="E7343"/>
  <c r="B7344"/>
  <c r="E7344"/>
  <c r="B7345"/>
  <c r="E7345"/>
  <c r="B7346"/>
  <c r="E7346"/>
  <c r="B7347"/>
  <c r="E7347"/>
  <c r="B7348"/>
  <c r="E7348"/>
  <c r="B7349"/>
  <c r="E7349"/>
  <c r="B7350"/>
  <c r="E7350"/>
  <c r="B7351"/>
  <c r="E7351"/>
  <c r="B7352"/>
  <c r="E7352"/>
  <c r="B7353"/>
  <c r="E7353"/>
  <c r="B7354"/>
  <c r="E7354"/>
  <c r="B7355"/>
  <c r="E7355"/>
  <c r="B7356"/>
  <c r="E7356"/>
  <c r="B7357"/>
  <c r="E7357"/>
  <c r="B7358"/>
  <c r="E7358"/>
  <c r="B7359"/>
  <c r="E7359"/>
  <c r="B7360"/>
  <c r="E7360"/>
  <c r="B7361"/>
  <c r="E7361"/>
  <c r="B7362"/>
  <c r="E7362"/>
  <c r="B7363"/>
  <c r="E7363"/>
  <c r="B7364"/>
  <c r="E7364"/>
  <c r="B7365"/>
  <c r="E7365"/>
  <c r="B7366"/>
  <c r="E7366"/>
  <c r="B7367"/>
  <c r="E7367"/>
  <c r="B7368"/>
  <c r="E7368"/>
  <c r="B7369"/>
  <c r="E7369"/>
  <c r="B7370"/>
  <c r="E7370"/>
  <c r="B7371"/>
  <c r="E7371"/>
  <c r="B7372"/>
  <c r="E7372"/>
  <c r="B7373"/>
  <c r="E7373"/>
  <c r="B7374"/>
  <c r="E7374"/>
  <c r="B7375"/>
  <c r="E7375"/>
  <c r="B7376"/>
  <c r="E7376"/>
  <c r="B7377"/>
  <c r="E7377"/>
  <c r="B7378"/>
  <c r="E7378"/>
  <c r="B7379"/>
  <c r="E7379"/>
  <c r="B7380"/>
  <c r="E7380"/>
  <c r="B7381"/>
  <c r="E7381"/>
  <c r="B7382"/>
  <c r="E7382"/>
  <c r="B7383"/>
  <c r="E7383"/>
  <c r="B7384"/>
  <c r="E7384"/>
  <c r="B7385"/>
  <c r="E7385"/>
  <c r="B7386"/>
  <c r="E7386"/>
  <c r="B7387"/>
  <c r="E7387"/>
  <c r="B7388"/>
  <c r="E7388"/>
  <c r="B7389"/>
  <c r="E7389"/>
  <c r="B7390"/>
  <c r="E7390"/>
  <c r="B7391"/>
  <c r="E7391"/>
  <c r="B7392"/>
  <c r="E7392"/>
  <c r="B7393"/>
  <c r="E7393"/>
  <c r="B7394"/>
  <c r="E7394"/>
  <c r="B7395"/>
  <c r="E7395"/>
  <c r="B7396"/>
  <c r="E7396"/>
  <c r="B7397"/>
  <c r="E7397"/>
  <c r="B7398"/>
  <c r="E7398"/>
  <c r="B7399"/>
  <c r="E7399"/>
  <c r="B7400"/>
  <c r="E7400"/>
  <c r="B7401"/>
  <c r="E7401"/>
  <c r="B7402"/>
  <c r="E7402"/>
  <c r="B7403"/>
  <c r="E7403"/>
  <c r="B7404"/>
  <c r="E7404"/>
  <c r="B7405"/>
  <c r="E7405"/>
  <c r="B7406"/>
  <c r="E7406"/>
  <c r="B7407"/>
  <c r="E7407"/>
  <c r="B7408"/>
  <c r="E7408"/>
  <c r="B7409"/>
  <c r="E7409"/>
  <c r="B7410"/>
  <c r="E7410"/>
  <c r="B7411"/>
  <c r="E7411"/>
  <c r="B7412"/>
  <c r="E7412"/>
  <c r="B7413"/>
  <c r="E7413"/>
  <c r="B7414"/>
  <c r="E7414"/>
  <c r="B7415"/>
  <c r="E7415"/>
  <c r="B7416"/>
  <c r="E7416"/>
  <c r="B7417"/>
  <c r="E7417"/>
  <c r="B7418"/>
  <c r="E7418"/>
  <c r="B7419"/>
  <c r="E7419"/>
  <c r="B7420"/>
  <c r="E7420"/>
  <c r="B7421"/>
  <c r="E7421"/>
  <c r="B7422"/>
  <c r="E7422"/>
  <c r="B7423"/>
  <c r="E7423"/>
  <c r="B7424"/>
  <c r="E7424"/>
  <c r="B7425"/>
  <c r="E7425"/>
  <c r="B7426"/>
  <c r="E7426"/>
  <c r="B7427"/>
  <c r="E7427"/>
  <c r="B7428"/>
  <c r="E7428"/>
  <c r="B7429"/>
  <c r="E7429"/>
  <c r="B7430"/>
  <c r="E7430"/>
  <c r="B7431"/>
  <c r="E7431"/>
  <c r="B7432"/>
  <c r="E7432"/>
  <c r="B7433"/>
  <c r="E7433"/>
  <c r="B7434"/>
  <c r="E7434"/>
  <c r="B7435"/>
  <c r="E7435"/>
  <c r="B7436"/>
  <c r="E7436"/>
  <c r="B7437"/>
  <c r="E7437"/>
  <c r="B7438"/>
  <c r="E7438"/>
  <c r="B7439"/>
  <c r="E7439"/>
  <c r="B7440"/>
  <c r="E7440"/>
  <c r="B7441"/>
  <c r="E7441"/>
  <c r="B7442"/>
  <c r="E7442"/>
  <c r="B7443"/>
  <c r="E7443"/>
  <c r="B7444"/>
  <c r="E7444"/>
  <c r="B7445"/>
  <c r="E7445"/>
  <c r="B7446"/>
  <c r="E7446"/>
  <c r="B7447"/>
  <c r="E7447"/>
  <c r="B7448"/>
  <c r="E7448"/>
  <c r="B7449"/>
  <c r="E7449"/>
  <c r="B7450"/>
  <c r="E7450"/>
  <c r="B7451"/>
  <c r="E7451"/>
  <c r="B7452"/>
  <c r="E7452"/>
  <c r="B7453"/>
  <c r="E7453"/>
  <c r="B7454"/>
  <c r="E7454"/>
  <c r="B7455"/>
  <c r="E7455"/>
  <c r="B7456"/>
  <c r="E7456"/>
  <c r="B7457"/>
  <c r="E7457"/>
  <c r="B7458"/>
  <c r="E7458"/>
  <c r="B7459"/>
  <c r="E7459"/>
  <c r="B7460"/>
  <c r="E7460"/>
  <c r="B7461"/>
  <c r="E7461"/>
  <c r="B7462"/>
  <c r="E7462"/>
  <c r="B7463"/>
  <c r="E7463"/>
  <c r="B7464"/>
  <c r="E7464"/>
  <c r="B7465"/>
  <c r="E7465"/>
  <c r="B7466"/>
  <c r="E7466"/>
  <c r="B7467"/>
  <c r="E7467"/>
  <c r="B7468"/>
  <c r="E7468"/>
  <c r="B7469"/>
  <c r="E7469"/>
  <c r="B7470"/>
  <c r="E7470"/>
  <c r="B7471"/>
  <c r="E7471"/>
  <c r="B7472"/>
  <c r="E7472"/>
  <c r="B7473"/>
  <c r="E7473"/>
  <c r="B7474"/>
  <c r="E7474"/>
  <c r="B7475"/>
  <c r="E7475"/>
  <c r="B7476"/>
  <c r="E7476"/>
  <c r="B7477"/>
  <c r="E7477"/>
  <c r="B7478"/>
  <c r="E7478"/>
  <c r="B7479"/>
  <c r="E7479"/>
  <c r="B7480"/>
  <c r="E7480"/>
  <c r="B7481"/>
  <c r="E7481"/>
  <c r="B7482"/>
  <c r="E7482"/>
  <c r="B7483"/>
  <c r="E7483"/>
  <c r="B7484"/>
  <c r="E7484"/>
  <c r="B7485"/>
  <c r="E7485"/>
  <c r="B7486"/>
  <c r="E7486"/>
  <c r="B7487"/>
  <c r="E7487"/>
  <c r="B7488"/>
  <c r="E7488"/>
  <c r="B7489"/>
  <c r="E7489"/>
  <c r="B7490"/>
  <c r="E7490"/>
  <c r="B7491"/>
  <c r="E7491"/>
  <c r="B7492"/>
  <c r="E7492"/>
  <c r="B7493"/>
  <c r="E7493"/>
  <c r="B7494"/>
  <c r="E7494"/>
  <c r="B7495"/>
  <c r="E7495"/>
  <c r="B7496"/>
  <c r="E7496"/>
  <c r="B7497"/>
  <c r="E7497"/>
  <c r="B7498"/>
  <c r="E7498"/>
  <c r="B7499"/>
  <c r="E7499"/>
  <c r="B7500"/>
  <c r="E7500"/>
  <c r="B7501"/>
  <c r="E7501"/>
  <c r="B7502"/>
  <c r="E7502"/>
  <c r="B7503"/>
  <c r="E7503"/>
  <c r="B7504"/>
  <c r="E7504"/>
  <c r="B7505"/>
  <c r="E7505"/>
  <c r="B7506"/>
  <c r="E7506"/>
  <c r="B7507"/>
  <c r="E7507"/>
  <c r="B7508"/>
  <c r="E7508"/>
  <c r="B7509"/>
  <c r="E7509"/>
  <c r="B7510"/>
  <c r="E7510"/>
  <c r="B7511"/>
  <c r="E7511"/>
  <c r="B7512"/>
  <c r="E7512"/>
  <c r="B7513"/>
  <c r="E7513"/>
  <c r="B7514"/>
  <c r="E7514"/>
  <c r="B7515"/>
  <c r="E7515"/>
  <c r="B7516"/>
  <c r="E7516"/>
  <c r="B7517"/>
  <c r="E7517"/>
  <c r="B7518"/>
  <c r="E7518"/>
  <c r="B7519"/>
  <c r="E7519"/>
  <c r="B7520"/>
  <c r="E7520"/>
  <c r="B7521"/>
  <c r="E7521"/>
  <c r="B7522"/>
  <c r="E7522"/>
  <c r="B7523"/>
  <c r="E7523"/>
  <c r="B7524"/>
  <c r="E7524"/>
  <c r="B7525"/>
  <c r="E7525"/>
  <c r="B7526"/>
  <c r="E7526"/>
  <c r="B7527"/>
  <c r="E7527"/>
  <c r="B7528"/>
  <c r="E7528"/>
  <c r="B7529"/>
  <c r="E7529"/>
  <c r="B7530"/>
  <c r="E7530"/>
  <c r="B7531"/>
  <c r="E7531"/>
  <c r="B7532"/>
  <c r="E7532"/>
  <c r="B7533"/>
  <c r="E7533"/>
  <c r="B7534"/>
  <c r="E7534"/>
  <c r="B7535"/>
  <c r="E7535"/>
  <c r="B7536"/>
  <c r="E7536"/>
  <c r="B7537"/>
  <c r="E7537"/>
  <c r="B7538"/>
  <c r="E7538"/>
  <c r="B7539"/>
  <c r="E7539"/>
  <c r="B7540"/>
  <c r="E7540"/>
  <c r="B7541"/>
  <c r="E7541"/>
  <c r="B7542"/>
  <c r="E7542"/>
  <c r="B7543"/>
  <c r="E7543"/>
  <c r="B7544"/>
  <c r="E7544"/>
  <c r="B7545"/>
  <c r="E7545"/>
  <c r="B7546"/>
  <c r="E7546"/>
  <c r="B7547"/>
  <c r="E7547"/>
  <c r="B7548"/>
  <c r="E7548"/>
  <c r="B7549"/>
  <c r="E7549"/>
  <c r="B7550"/>
  <c r="E7550"/>
  <c r="B7551"/>
  <c r="E7551"/>
  <c r="B7552"/>
  <c r="E7552"/>
  <c r="B7553"/>
  <c r="E7553"/>
  <c r="B7554"/>
  <c r="E7554"/>
  <c r="B7555"/>
  <c r="E7555"/>
  <c r="B7556"/>
  <c r="E7556"/>
  <c r="B7557"/>
  <c r="E7557"/>
  <c r="B7558"/>
  <c r="E7558"/>
  <c r="B7559"/>
  <c r="E7559"/>
  <c r="B7560"/>
  <c r="E7560"/>
  <c r="B7561"/>
  <c r="E7561"/>
  <c r="B7562"/>
  <c r="E7562"/>
  <c r="B7563"/>
  <c r="E7563"/>
  <c r="B7564"/>
  <c r="E7564"/>
  <c r="B7565"/>
  <c r="E7565"/>
  <c r="B7566"/>
  <c r="E7566"/>
  <c r="B7567"/>
  <c r="E7567"/>
  <c r="B7568"/>
  <c r="E7568"/>
  <c r="B7569"/>
  <c r="E7569"/>
  <c r="B7570"/>
  <c r="E7570"/>
  <c r="B7571"/>
  <c r="E7571"/>
  <c r="B7572"/>
  <c r="E7572"/>
  <c r="B7573"/>
  <c r="E7573"/>
  <c r="B7574"/>
  <c r="E7574"/>
  <c r="B7575"/>
  <c r="E7575"/>
  <c r="B7576"/>
  <c r="E7576"/>
  <c r="B7577"/>
  <c r="E7577"/>
  <c r="B7578"/>
  <c r="E7578"/>
  <c r="B7579"/>
  <c r="E7579"/>
  <c r="B7580"/>
  <c r="E7580"/>
  <c r="B7581"/>
  <c r="E7581"/>
  <c r="B7582"/>
  <c r="E7582"/>
  <c r="B7583"/>
  <c r="E7583"/>
  <c r="B7584"/>
  <c r="E7584"/>
  <c r="B7585"/>
  <c r="E7585"/>
  <c r="B7586"/>
  <c r="E7586"/>
  <c r="B7587"/>
  <c r="E7587"/>
  <c r="B7588"/>
  <c r="E7588"/>
  <c r="B7589"/>
  <c r="E7589"/>
  <c r="B7590"/>
  <c r="E7590"/>
  <c r="B7591"/>
  <c r="E7591"/>
  <c r="B7592"/>
  <c r="E7592"/>
  <c r="B7593"/>
  <c r="E7593"/>
  <c r="B7594"/>
  <c r="E7594"/>
  <c r="B7595"/>
  <c r="E7595"/>
  <c r="B7596"/>
  <c r="E7596"/>
  <c r="B7597"/>
  <c r="E7597"/>
  <c r="B7598"/>
  <c r="E7598"/>
  <c r="B7599"/>
  <c r="E7599"/>
  <c r="B7600"/>
  <c r="E7600"/>
  <c r="B7601"/>
  <c r="E7601"/>
  <c r="B7602"/>
  <c r="E7602"/>
  <c r="B7603"/>
  <c r="E7603"/>
  <c r="B7604"/>
  <c r="E7604"/>
  <c r="B7605"/>
  <c r="E7605"/>
  <c r="B7606"/>
  <c r="E7606"/>
  <c r="B7607"/>
  <c r="E7607"/>
  <c r="B7608"/>
  <c r="E7608"/>
  <c r="B7609"/>
  <c r="E7609"/>
  <c r="B7610"/>
  <c r="E7610"/>
  <c r="B7611"/>
  <c r="E7611"/>
  <c r="B7612"/>
  <c r="E7612"/>
  <c r="B7613"/>
  <c r="E7613"/>
  <c r="B7614"/>
  <c r="E7614"/>
  <c r="B7615"/>
  <c r="E7615"/>
  <c r="B7616"/>
  <c r="E7616"/>
  <c r="B7617"/>
  <c r="E7617"/>
  <c r="B7618"/>
  <c r="E7618"/>
  <c r="B7619"/>
  <c r="E7619"/>
  <c r="B7620"/>
  <c r="E7620"/>
  <c r="B7621"/>
  <c r="E7621"/>
  <c r="B7622"/>
  <c r="E7622"/>
  <c r="B7623"/>
  <c r="E7623"/>
  <c r="B7624"/>
  <c r="E7624"/>
  <c r="B7625"/>
  <c r="E7625"/>
  <c r="B7626"/>
  <c r="E7626"/>
  <c r="B7627"/>
  <c r="E7627"/>
  <c r="B7628"/>
  <c r="E7628"/>
  <c r="B7629"/>
  <c r="E7629"/>
  <c r="B7630"/>
  <c r="E7630"/>
  <c r="B7631"/>
  <c r="E7631"/>
  <c r="B7632"/>
  <c r="E7632"/>
  <c r="B7633"/>
  <c r="E7633"/>
  <c r="B7634"/>
  <c r="E7634"/>
  <c r="B7635"/>
  <c r="E7635"/>
  <c r="B7636"/>
  <c r="E7636"/>
  <c r="B7637"/>
  <c r="E7637"/>
  <c r="B7638"/>
  <c r="E7638"/>
  <c r="B7639"/>
  <c r="E7639"/>
  <c r="B7640"/>
  <c r="E7640"/>
  <c r="B7641"/>
  <c r="E7641"/>
  <c r="B7642"/>
  <c r="E7642"/>
  <c r="B7643"/>
  <c r="E7643"/>
  <c r="B7644"/>
  <c r="E7644"/>
  <c r="B7645"/>
  <c r="E7645"/>
  <c r="B7646"/>
  <c r="E7646"/>
  <c r="B7647"/>
  <c r="E7647"/>
  <c r="B7648"/>
  <c r="E7648"/>
  <c r="B7649"/>
  <c r="E7649"/>
  <c r="B7650"/>
  <c r="E7650"/>
  <c r="B7651"/>
  <c r="E7651"/>
  <c r="B7652"/>
  <c r="E7652"/>
  <c r="B7653"/>
  <c r="E7653"/>
  <c r="B7654"/>
  <c r="E7654"/>
  <c r="B7655"/>
  <c r="E7655"/>
  <c r="B7656"/>
  <c r="E7656"/>
  <c r="B7657"/>
  <c r="E7657"/>
  <c r="B7658"/>
  <c r="E7658"/>
  <c r="B7659"/>
  <c r="E7659"/>
  <c r="B7660"/>
  <c r="E7660"/>
  <c r="B7661"/>
  <c r="E7661"/>
  <c r="B7662"/>
  <c r="E7662"/>
  <c r="B7663"/>
  <c r="E7663"/>
  <c r="B7664"/>
  <c r="E7664"/>
  <c r="B7665"/>
  <c r="E7665"/>
  <c r="B7666"/>
  <c r="E7666"/>
  <c r="B7667"/>
  <c r="E7667"/>
  <c r="B7668"/>
  <c r="E7668"/>
  <c r="B7669"/>
  <c r="E7669"/>
  <c r="B7670"/>
  <c r="E7670"/>
  <c r="B7671"/>
  <c r="E7671"/>
  <c r="B7672"/>
  <c r="E7672"/>
  <c r="B7673"/>
  <c r="E7673"/>
  <c r="B7674"/>
  <c r="E7674"/>
  <c r="B7675"/>
  <c r="E7675"/>
  <c r="B7676"/>
  <c r="E7676"/>
  <c r="B7677"/>
  <c r="E7677"/>
  <c r="B7678"/>
  <c r="E7678"/>
  <c r="B7679"/>
  <c r="E7679"/>
  <c r="B7680"/>
  <c r="E7680"/>
  <c r="B7681"/>
  <c r="E7681"/>
  <c r="B7682"/>
  <c r="E7682"/>
  <c r="B7683"/>
  <c r="E7683"/>
  <c r="B7684"/>
  <c r="E7684"/>
  <c r="B7685"/>
  <c r="E7685"/>
  <c r="B7686"/>
  <c r="E7686"/>
  <c r="B7687"/>
  <c r="E7687"/>
  <c r="B7688"/>
  <c r="E7688"/>
  <c r="B7689"/>
  <c r="E7689"/>
  <c r="B7690"/>
  <c r="E7690"/>
  <c r="B7691"/>
  <c r="E7691"/>
  <c r="B7692"/>
  <c r="E7692"/>
  <c r="B7693"/>
  <c r="E7693"/>
  <c r="B7694"/>
  <c r="E7694"/>
  <c r="B7695"/>
  <c r="E7695"/>
  <c r="B7696"/>
  <c r="E7696"/>
  <c r="B7697"/>
  <c r="E7697"/>
  <c r="B7698"/>
  <c r="E7698"/>
  <c r="B7699"/>
  <c r="E7699"/>
  <c r="B7700"/>
  <c r="E7700"/>
  <c r="B7701"/>
  <c r="E7701"/>
  <c r="B7702"/>
  <c r="E7702"/>
  <c r="B7703"/>
  <c r="E7703"/>
  <c r="B7704"/>
  <c r="E7704"/>
  <c r="B7705"/>
  <c r="E7705"/>
  <c r="B7706"/>
  <c r="E7706"/>
  <c r="B7707"/>
  <c r="E7707"/>
  <c r="B7708"/>
  <c r="E7708"/>
  <c r="B7709"/>
  <c r="E7709"/>
  <c r="B7710"/>
  <c r="E7710"/>
  <c r="B7711"/>
  <c r="E7711"/>
  <c r="B7712"/>
  <c r="E7712"/>
  <c r="B7713"/>
  <c r="E7713"/>
  <c r="B7714"/>
  <c r="E7714"/>
  <c r="B7715"/>
  <c r="E7715"/>
  <c r="B7716"/>
  <c r="E7716"/>
  <c r="B7717"/>
  <c r="E7717"/>
  <c r="B7718"/>
  <c r="E7718"/>
  <c r="B7719"/>
  <c r="E7719"/>
  <c r="B7720"/>
  <c r="E7720"/>
  <c r="B7721"/>
  <c r="E7721"/>
  <c r="B7722"/>
  <c r="E7722"/>
  <c r="B7723"/>
  <c r="E7723"/>
  <c r="B7724"/>
  <c r="E7724"/>
  <c r="B7725"/>
  <c r="E7725"/>
  <c r="B7726"/>
  <c r="E7726"/>
  <c r="B7727"/>
  <c r="E7727"/>
  <c r="B7728"/>
  <c r="E7728"/>
  <c r="B7729"/>
  <c r="E7729"/>
  <c r="B7730"/>
  <c r="E7730"/>
  <c r="B7731"/>
  <c r="E7731"/>
  <c r="B7732"/>
  <c r="E7732"/>
  <c r="B7733"/>
  <c r="E7733"/>
  <c r="B7734"/>
  <c r="E7734"/>
  <c r="B7735"/>
  <c r="E7735"/>
  <c r="B7736"/>
  <c r="E7736"/>
  <c r="B7737"/>
  <c r="E7737"/>
  <c r="B7738"/>
  <c r="E7738"/>
  <c r="B7739"/>
  <c r="E7739"/>
  <c r="B7740"/>
  <c r="E7740"/>
  <c r="B7741"/>
  <c r="E7741"/>
  <c r="B7742"/>
  <c r="E7742"/>
  <c r="B7743"/>
  <c r="E7743"/>
  <c r="B7744"/>
  <c r="E7744"/>
  <c r="B7745"/>
  <c r="E7745"/>
  <c r="B7746"/>
  <c r="E7746"/>
  <c r="B7747"/>
  <c r="E7747"/>
  <c r="B7748"/>
  <c r="E7748"/>
  <c r="B7749"/>
  <c r="E7749"/>
  <c r="B7750"/>
  <c r="E7750"/>
  <c r="B7751"/>
  <c r="E7751"/>
  <c r="B7752"/>
  <c r="E7752"/>
  <c r="B7753"/>
  <c r="E7753"/>
  <c r="B7754"/>
  <c r="E7754"/>
  <c r="B7755"/>
  <c r="E7755"/>
  <c r="B7756"/>
  <c r="E7756"/>
  <c r="B7757"/>
  <c r="E7757"/>
  <c r="B7758"/>
  <c r="E7758"/>
  <c r="B7759"/>
  <c r="E7759"/>
  <c r="B7760"/>
  <c r="E7760"/>
  <c r="B7761"/>
  <c r="E7761"/>
  <c r="B7762"/>
  <c r="E7762"/>
  <c r="B7763"/>
  <c r="E7763"/>
  <c r="B7764"/>
  <c r="E7764"/>
  <c r="B7765"/>
  <c r="E7765"/>
  <c r="B7766"/>
  <c r="E7766"/>
  <c r="B7767"/>
  <c r="E7767"/>
  <c r="B7768"/>
  <c r="E7768"/>
  <c r="B7769"/>
  <c r="E7769"/>
  <c r="B7770"/>
  <c r="E7770"/>
  <c r="B7771"/>
  <c r="E7771"/>
  <c r="B7772"/>
  <c r="E7772"/>
  <c r="B7773"/>
  <c r="E7773"/>
  <c r="B7774"/>
  <c r="E7774"/>
  <c r="B7775"/>
  <c r="E7775"/>
  <c r="B7776"/>
  <c r="E7776"/>
  <c r="B7777"/>
  <c r="E7777"/>
  <c r="B7778"/>
  <c r="E7778"/>
  <c r="B7779"/>
  <c r="E7779"/>
  <c r="B7780"/>
  <c r="E7780"/>
  <c r="B7781"/>
  <c r="E7781"/>
  <c r="B7782"/>
  <c r="E7782"/>
  <c r="B7783"/>
  <c r="E7783"/>
  <c r="B7784"/>
  <c r="E7784"/>
  <c r="B7785"/>
  <c r="E7785"/>
  <c r="B7786"/>
  <c r="E7786"/>
  <c r="B7787"/>
  <c r="E7787"/>
  <c r="B7788"/>
  <c r="E7788"/>
  <c r="B7789"/>
  <c r="E7789"/>
  <c r="B7790"/>
  <c r="E7790"/>
  <c r="B7791"/>
  <c r="E7791"/>
  <c r="B7792"/>
  <c r="E7792"/>
  <c r="B7793"/>
  <c r="E7793"/>
  <c r="B7794"/>
  <c r="E7794"/>
  <c r="B7795"/>
  <c r="E7795"/>
  <c r="B7796"/>
  <c r="E7796"/>
  <c r="B7797"/>
  <c r="E7797"/>
  <c r="B7798"/>
  <c r="E7798"/>
  <c r="B7799"/>
  <c r="E7799"/>
  <c r="B7800"/>
  <c r="E7800"/>
  <c r="B7801"/>
  <c r="E7801"/>
  <c r="B7802"/>
  <c r="E7802"/>
  <c r="B7803"/>
  <c r="E7803"/>
  <c r="B7804"/>
  <c r="E7804"/>
  <c r="B7805"/>
  <c r="E7805"/>
  <c r="B7806"/>
  <c r="E7806"/>
  <c r="B7807"/>
  <c r="E7807"/>
  <c r="B7808"/>
  <c r="E7808"/>
  <c r="B7809"/>
  <c r="E7809"/>
  <c r="B7810"/>
  <c r="E7810"/>
  <c r="B7811"/>
  <c r="E7811"/>
  <c r="B7812"/>
  <c r="E7812"/>
  <c r="B7813"/>
  <c r="E7813"/>
  <c r="B7814"/>
  <c r="E7814"/>
  <c r="B7815"/>
  <c r="E7815"/>
  <c r="B7816"/>
  <c r="E7816"/>
  <c r="B7817"/>
  <c r="E7817"/>
  <c r="B7818"/>
  <c r="E7818"/>
  <c r="B7819"/>
  <c r="E7819"/>
  <c r="B7820"/>
  <c r="E7820"/>
  <c r="B7821"/>
  <c r="E7821"/>
  <c r="B7822"/>
  <c r="E7822"/>
  <c r="B7823"/>
  <c r="E7823"/>
  <c r="B7824"/>
  <c r="E7824"/>
  <c r="B7825"/>
  <c r="E7825"/>
  <c r="B7826"/>
  <c r="E7826"/>
  <c r="B7827"/>
  <c r="E7827"/>
  <c r="B7828"/>
  <c r="E7828"/>
  <c r="B7829"/>
  <c r="E7829"/>
  <c r="B7830"/>
  <c r="E7830"/>
  <c r="B7831"/>
  <c r="E7831"/>
  <c r="B7832"/>
  <c r="E7832"/>
  <c r="B7833"/>
  <c r="E7833"/>
  <c r="B7834"/>
  <c r="E7834"/>
  <c r="B7835"/>
  <c r="E7835"/>
  <c r="B7836"/>
  <c r="E7836"/>
  <c r="B7837"/>
  <c r="E7837"/>
  <c r="B7838"/>
  <c r="E7838"/>
  <c r="B7839"/>
  <c r="E7839"/>
  <c r="B7840"/>
  <c r="E7840"/>
  <c r="B7841"/>
  <c r="E7841"/>
  <c r="B7842"/>
  <c r="E7842"/>
  <c r="B7843"/>
  <c r="E7843"/>
  <c r="B7844"/>
  <c r="E7844"/>
  <c r="B7845"/>
  <c r="E7845"/>
  <c r="B7846"/>
  <c r="E7846"/>
  <c r="B7847"/>
  <c r="E7847"/>
  <c r="B7848"/>
  <c r="E7848"/>
  <c r="B7849"/>
  <c r="E7849"/>
  <c r="B7850"/>
  <c r="E7850"/>
  <c r="B7851"/>
  <c r="E7851"/>
  <c r="B7852"/>
  <c r="E7852"/>
  <c r="B7853"/>
  <c r="E7853"/>
  <c r="B7854"/>
  <c r="E7854"/>
  <c r="B7855"/>
  <c r="E7855"/>
  <c r="B7856"/>
  <c r="E7856"/>
  <c r="B7857"/>
  <c r="E7857"/>
  <c r="B7858"/>
  <c r="E7858"/>
  <c r="B7859"/>
  <c r="E7859"/>
  <c r="B7860"/>
  <c r="E7860"/>
  <c r="B7861"/>
  <c r="E7861"/>
  <c r="B7862"/>
  <c r="E7862"/>
  <c r="B7863"/>
  <c r="E7863"/>
  <c r="B7864"/>
  <c r="E7864"/>
  <c r="B7865"/>
  <c r="E7865"/>
  <c r="B7866"/>
  <c r="E7866"/>
  <c r="B7867"/>
  <c r="E7867"/>
  <c r="B7868"/>
  <c r="E7868"/>
  <c r="B7869"/>
  <c r="E7869"/>
  <c r="B7870"/>
  <c r="E7870"/>
  <c r="B7871"/>
  <c r="E7871"/>
  <c r="B7872"/>
  <c r="E7872"/>
  <c r="B7873"/>
  <c r="E7873"/>
  <c r="B7874"/>
  <c r="E7874"/>
  <c r="B7875"/>
  <c r="E7875"/>
  <c r="B7876"/>
  <c r="E7876"/>
  <c r="B7877"/>
  <c r="E7877"/>
  <c r="B7878"/>
  <c r="E7878"/>
  <c r="B7879"/>
  <c r="E7879"/>
  <c r="B7880"/>
  <c r="E7880"/>
  <c r="B7881"/>
  <c r="E7881"/>
  <c r="B7882"/>
  <c r="E7882"/>
  <c r="B7883"/>
  <c r="E7883"/>
  <c r="B7884"/>
  <c r="E7884"/>
  <c r="B7885"/>
  <c r="E7885"/>
  <c r="B7886"/>
  <c r="E7886"/>
  <c r="B7887"/>
  <c r="E7887"/>
  <c r="B7888"/>
  <c r="E7888"/>
  <c r="B7889"/>
  <c r="E7889"/>
  <c r="B7890"/>
  <c r="E7890"/>
  <c r="B7891"/>
  <c r="E7891"/>
  <c r="B7892"/>
  <c r="E7892"/>
  <c r="B7893"/>
  <c r="E7893"/>
  <c r="B7894"/>
  <c r="E7894"/>
  <c r="B7895"/>
  <c r="E7895"/>
  <c r="B7896"/>
  <c r="E7896"/>
  <c r="B7897"/>
  <c r="E7897"/>
  <c r="B7898"/>
  <c r="E7898"/>
  <c r="B7899"/>
  <c r="E7899"/>
  <c r="B7900"/>
  <c r="E7900"/>
  <c r="B7901"/>
  <c r="E7901"/>
  <c r="B7902"/>
  <c r="E7902"/>
  <c r="B7903"/>
  <c r="E7903"/>
  <c r="B7904"/>
  <c r="E7904"/>
  <c r="B7905"/>
  <c r="E7905"/>
  <c r="B7906"/>
  <c r="E7906"/>
  <c r="B7907"/>
  <c r="E7907"/>
  <c r="B7908"/>
  <c r="E7908"/>
  <c r="B7909"/>
  <c r="E7909"/>
  <c r="B7910"/>
  <c r="E7910"/>
  <c r="B7911"/>
  <c r="E7911"/>
  <c r="B7912"/>
  <c r="E7912"/>
  <c r="B7913"/>
  <c r="E7913"/>
  <c r="B7914"/>
  <c r="E7914"/>
  <c r="B7915"/>
  <c r="E7915"/>
  <c r="B7916"/>
  <c r="E7916"/>
  <c r="B7917"/>
  <c r="E7917"/>
  <c r="B7918"/>
  <c r="E7918"/>
  <c r="B7919"/>
  <c r="E7919"/>
  <c r="B7920"/>
  <c r="E7920"/>
  <c r="B7921"/>
  <c r="E7921"/>
  <c r="B7922"/>
  <c r="E7922"/>
  <c r="B7923"/>
  <c r="E7923"/>
  <c r="B7924"/>
  <c r="E7924"/>
  <c r="B7925"/>
  <c r="E7925"/>
  <c r="B7926"/>
  <c r="E7926"/>
  <c r="B7927"/>
  <c r="E7927"/>
  <c r="B7928"/>
  <c r="E7928"/>
  <c r="B7929"/>
  <c r="E7929"/>
  <c r="B7930"/>
  <c r="E7930"/>
  <c r="B7931"/>
  <c r="E7931"/>
  <c r="B7932"/>
  <c r="E7932"/>
  <c r="B7933"/>
  <c r="E7933"/>
  <c r="B7934"/>
  <c r="E7934"/>
  <c r="B7935"/>
  <c r="E7935"/>
  <c r="B7936"/>
  <c r="E7936"/>
  <c r="B7937"/>
  <c r="E7937"/>
  <c r="B7938"/>
  <c r="E7938"/>
  <c r="B7939"/>
  <c r="E7939"/>
  <c r="B7940"/>
  <c r="E7940"/>
  <c r="B7941"/>
  <c r="E7941"/>
  <c r="B7942"/>
  <c r="E7942"/>
  <c r="B7943"/>
  <c r="E7943"/>
  <c r="B7944"/>
  <c r="E7944"/>
  <c r="B7945"/>
  <c r="E7945"/>
  <c r="B7946"/>
  <c r="E7946"/>
  <c r="B7947"/>
  <c r="E7947"/>
  <c r="B7948"/>
  <c r="E7948"/>
  <c r="B7949"/>
  <c r="E7949"/>
  <c r="B7950"/>
  <c r="E7950"/>
  <c r="B7951"/>
  <c r="E7951"/>
  <c r="B7952"/>
  <c r="E7952"/>
  <c r="B7953"/>
  <c r="E7953"/>
  <c r="B7954"/>
  <c r="E7954"/>
  <c r="B7955"/>
  <c r="E7955"/>
  <c r="B7956"/>
  <c r="E7956"/>
  <c r="B7957"/>
  <c r="E7957"/>
  <c r="B7958"/>
  <c r="E7958"/>
  <c r="B7959"/>
  <c r="E7959"/>
  <c r="B7960"/>
  <c r="E7960"/>
  <c r="B7961"/>
  <c r="E7961"/>
  <c r="B7962"/>
  <c r="E7962"/>
  <c r="B7963"/>
  <c r="E7963"/>
  <c r="B7964"/>
  <c r="E7964"/>
  <c r="B7965"/>
  <c r="E7965"/>
  <c r="B7966"/>
  <c r="E7966"/>
  <c r="B7967"/>
  <c r="E7967"/>
  <c r="B7968"/>
  <c r="E7968"/>
  <c r="B7969"/>
  <c r="E7969"/>
  <c r="B7970"/>
  <c r="E7970"/>
  <c r="B7971"/>
  <c r="E7971"/>
  <c r="B7972"/>
  <c r="E7972"/>
  <c r="B7973"/>
  <c r="E7973"/>
  <c r="B7974"/>
  <c r="E7974"/>
  <c r="B7975"/>
  <c r="E7975"/>
  <c r="B7976"/>
  <c r="E7976"/>
  <c r="B7977"/>
  <c r="E7977"/>
  <c r="B7978"/>
  <c r="E7978"/>
  <c r="B7979"/>
  <c r="E7979"/>
  <c r="B7980"/>
  <c r="E7980"/>
  <c r="B7981"/>
  <c r="E7981"/>
  <c r="B7982"/>
  <c r="E7982"/>
  <c r="B7983"/>
  <c r="E7983"/>
  <c r="B7984"/>
  <c r="E7984"/>
  <c r="B7985"/>
  <c r="E7985"/>
  <c r="B7986"/>
  <c r="E7986"/>
  <c r="B7987"/>
  <c r="E7987"/>
  <c r="B7988"/>
  <c r="E7988"/>
  <c r="B7989"/>
  <c r="E7989"/>
  <c r="B7990"/>
  <c r="E7990"/>
  <c r="B7991"/>
  <c r="E7991"/>
  <c r="B7992"/>
  <c r="E7992"/>
  <c r="B7993"/>
  <c r="E7993"/>
  <c r="B7994"/>
  <c r="E7994"/>
  <c r="B7995"/>
  <c r="E7995"/>
  <c r="B7996"/>
  <c r="E7996"/>
  <c r="B7997"/>
  <c r="E7997"/>
  <c r="B7998"/>
  <c r="E7998"/>
  <c r="B7999"/>
  <c r="E7999"/>
  <c r="B8000"/>
  <c r="E8000"/>
  <c r="B8001"/>
  <c r="E8001"/>
  <c r="B8002"/>
  <c r="E8002"/>
  <c r="B8003"/>
  <c r="E8003"/>
  <c r="B8004"/>
  <c r="E8004"/>
  <c r="B8005"/>
  <c r="E8005"/>
  <c r="B8006"/>
  <c r="E8006"/>
  <c r="B8007"/>
  <c r="E8007"/>
  <c r="B8008"/>
  <c r="E8008"/>
  <c r="B8009"/>
  <c r="E8009"/>
  <c r="B8010"/>
  <c r="E8010"/>
  <c r="B8011"/>
  <c r="E8011"/>
  <c r="B8012"/>
  <c r="E8012"/>
  <c r="B8013"/>
  <c r="E8013"/>
  <c r="B8014"/>
  <c r="E8014"/>
  <c r="B8015"/>
  <c r="E8015"/>
  <c r="B8016"/>
  <c r="E8016"/>
  <c r="B8017"/>
  <c r="E8017"/>
  <c r="B8018"/>
  <c r="E8018"/>
  <c r="B8019"/>
  <c r="E8019"/>
  <c r="B8020"/>
  <c r="E8020"/>
  <c r="B8021"/>
  <c r="E8021"/>
  <c r="B8022"/>
  <c r="E8022"/>
  <c r="B8023"/>
  <c r="E8023"/>
  <c r="B8024"/>
  <c r="E8024"/>
  <c r="B8025"/>
  <c r="E8025"/>
  <c r="B8026"/>
  <c r="E8026"/>
  <c r="B8027"/>
  <c r="E8027"/>
  <c r="B8028"/>
  <c r="E8028"/>
  <c r="B8029"/>
  <c r="E8029"/>
  <c r="B8030"/>
  <c r="E8030"/>
  <c r="B8031"/>
  <c r="E8031"/>
  <c r="B8032"/>
  <c r="E8032"/>
  <c r="B8033"/>
  <c r="E8033"/>
  <c r="B8034"/>
  <c r="E8034"/>
  <c r="B8035"/>
  <c r="E8035"/>
  <c r="B8036"/>
  <c r="E8036"/>
  <c r="B8037"/>
  <c r="E8037"/>
  <c r="B8038"/>
  <c r="E8038"/>
  <c r="B8039"/>
  <c r="E8039"/>
  <c r="B8040"/>
  <c r="E8040"/>
  <c r="B8041"/>
  <c r="E8041"/>
  <c r="B8042"/>
  <c r="E8042"/>
  <c r="B8043"/>
  <c r="E8043"/>
  <c r="B8044"/>
  <c r="E8044"/>
  <c r="B8045"/>
  <c r="E8045"/>
  <c r="B8046"/>
  <c r="E8046"/>
  <c r="B8047"/>
  <c r="E8047"/>
  <c r="B8048"/>
  <c r="E8048"/>
  <c r="B8049"/>
  <c r="E8049"/>
  <c r="B8050"/>
  <c r="E8050"/>
  <c r="B8051"/>
  <c r="E8051"/>
  <c r="B8052"/>
  <c r="E8052"/>
  <c r="B8053"/>
  <c r="E8053"/>
  <c r="B8054"/>
  <c r="E8054"/>
  <c r="B8055"/>
  <c r="E8055"/>
  <c r="B8056"/>
  <c r="E8056"/>
  <c r="B8057"/>
  <c r="E8057"/>
  <c r="B8058"/>
  <c r="E8058"/>
  <c r="B8059"/>
  <c r="E8059"/>
  <c r="B8060"/>
  <c r="E8060"/>
  <c r="B8061"/>
  <c r="E8061"/>
  <c r="B8062"/>
  <c r="E8062"/>
  <c r="B8063"/>
  <c r="E8063"/>
  <c r="B8064"/>
  <c r="E8064"/>
  <c r="B8065"/>
  <c r="E8065"/>
  <c r="B8066"/>
  <c r="E8066"/>
  <c r="B8067"/>
  <c r="E8067"/>
  <c r="B8068"/>
  <c r="E8068"/>
  <c r="B8069"/>
  <c r="E8069"/>
  <c r="B8070"/>
  <c r="E8070"/>
  <c r="B8071"/>
  <c r="E8071"/>
  <c r="B8072"/>
  <c r="E8072"/>
  <c r="B8073"/>
  <c r="E8073"/>
  <c r="B8074"/>
  <c r="E8074"/>
  <c r="B8075"/>
  <c r="E8075"/>
  <c r="B8076"/>
  <c r="E8076"/>
  <c r="B8077"/>
  <c r="E8077"/>
  <c r="B8078"/>
  <c r="E8078"/>
  <c r="B8079"/>
  <c r="E8079"/>
  <c r="B8080"/>
  <c r="E8080"/>
  <c r="B8081"/>
  <c r="E8081"/>
  <c r="B8082"/>
  <c r="E8082"/>
  <c r="B8083"/>
  <c r="E8083"/>
  <c r="B8084"/>
  <c r="E8084"/>
  <c r="B8085"/>
  <c r="E8085"/>
  <c r="B8086"/>
  <c r="E8086"/>
  <c r="B8087"/>
  <c r="E8087"/>
  <c r="B8088"/>
  <c r="E8088"/>
  <c r="B8089"/>
  <c r="E8089"/>
  <c r="B8090"/>
  <c r="E8090"/>
  <c r="B8091"/>
  <c r="E8091"/>
  <c r="B8092"/>
  <c r="E8092"/>
  <c r="B8093"/>
  <c r="E8093"/>
  <c r="B8094"/>
  <c r="E8094"/>
  <c r="B8095"/>
  <c r="E8095"/>
  <c r="B8096"/>
  <c r="E8096"/>
  <c r="B8097"/>
  <c r="E8097"/>
  <c r="B8098"/>
  <c r="E8098"/>
  <c r="B8099"/>
  <c r="E8099"/>
  <c r="B8100"/>
  <c r="E8100"/>
  <c r="B8101"/>
  <c r="E8101"/>
  <c r="B8102"/>
  <c r="E8102"/>
  <c r="B8103"/>
  <c r="E8103"/>
  <c r="B8104"/>
  <c r="E8104"/>
  <c r="B8105"/>
  <c r="E8105"/>
  <c r="B8106"/>
  <c r="E8106"/>
  <c r="B8107"/>
  <c r="E8107"/>
  <c r="B8108"/>
  <c r="E8108"/>
  <c r="B8109"/>
  <c r="E8109"/>
  <c r="B8110"/>
  <c r="E8110"/>
  <c r="B8111"/>
  <c r="E8111"/>
  <c r="B8112"/>
  <c r="E8112"/>
  <c r="B8113"/>
  <c r="E8113"/>
  <c r="B8114"/>
  <c r="E8114"/>
  <c r="B8115"/>
  <c r="E8115"/>
  <c r="B8116"/>
  <c r="E8116"/>
  <c r="B8117"/>
  <c r="E8117"/>
  <c r="B8118"/>
  <c r="E8118"/>
  <c r="B8119"/>
  <c r="E8119"/>
  <c r="B8120"/>
  <c r="E8120"/>
  <c r="B8121"/>
  <c r="E8121"/>
  <c r="B8122"/>
  <c r="E8122"/>
  <c r="B8123"/>
  <c r="E8123"/>
  <c r="B8124"/>
  <c r="E8124"/>
  <c r="B8125"/>
  <c r="E8125"/>
  <c r="B8126"/>
  <c r="E8126"/>
  <c r="B8127"/>
  <c r="E8127"/>
  <c r="B8128"/>
  <c r="E8128"/>
  <c r="B8129"/>
  <c r="E8129"/>
  <c r="B8130"/>
  <c r="E8130"/>
  <c r="B8131"/>
  <c r="E8131"/>
  <c r="B8132"/>
  <c r="E8132"/>
  <c r="B8133"/>
  <c r="E8133"/>
  <c r="B8134"/>
  <c r="E8134"/>
  <c r="B8135"/>
  <c r="E8135"/>
  <c r="B8136"/>
  <c r="E8136"/>
  <c r="B8137"/>
  <c r="E8137"/>
  <c r="B8138"/>
  <c r="E8138"/>
  <c r="B8139"/>
  <c r="E8139"/>
  <c r="B8140"/>
  <c r="E8140"/>
  <c r="B8141"/>
  <c r="E8141"/>
  <c r="B8142"/>
  <c r="E8142"/>
  <c r="B8143"/>
  <c r="E8143"/>
  <c r="B8144"/>
  <c r="E8144"/>
  <c r="B8145"/>
  <c r="E8145"/>
  <c r="B8146"/>
  <c r="E8146"/>
  <c r="B8147"/>
  <c r="E8147"/>
  <c r="B8148"/>
  <c r="E8148"/>
  <c r="B8149"/>
  <c r="E8149"/>
  <c r="B8150"/>
  <c r="E8150"/>
  <c r="B8151"/>
  <c r="E8151"/>
  <c r="B8152"/>
  <c r="E8152"/>
  <c r="B8153"/>
  <c r="E8153"/>
  <c r="B8154"/>
  <c r="E8154"/>
  <c r="B8155"/>
  <c r="E8155"/>
  <c r="B8156"/>
  <c r="E8156"/>
  <c r="B8157"/>
  <c r="E8157"/>
  <c r="B8158"/>
  <c r="E8158"/>
  <c r="B8159"/>
  <c r="E8159"/>
  <c r="B8160"/>
  <c r="E8160"/>
  <c r="B8161"/>
  <c r="E8161"/>
  <c r="B8162"/>
  <c r="E8162"/>
  <c r="B8163"/>
  <c r="E8163"/>
  <c r="B8164"/>
  <c r="E8164"/>
  <c r="B8165"/>
  <c r="E8165"/>
  <c r="B8166"/>
  <c r="E8166"/>
  <c r="B8167"/>
  <c r="E8167"/>
  <c r="B8168"/>
  <c r="E8168"/>
  <c r="B8169"/>
  <c r="E8169"/>
  <c r="B8170"/>
  <c r="E8170"/>
  <c r="B8171"/>
  <c r="E8171"/>
  <c r="B8172"/>
  <c r="E8172"/>
  <c r="B8173"/>
  <c r="E8173"/>
  <c r="B8174"/>
  <c r="E8174"/>
  <c r="B8175"/>
  <c r="E8175"/>
  <c r="B8176"/>
  <c r="E8176"/>
  <c r="B8177"/>
  <c r="E8177"/>
  <c r="B8178"/>
  <c r="E8178"/>
  <c r="B8179"/>
  <c r="E8179"/>
  <c r="B8180"/>
  <c r="E8180"/>
  <c r="B8181"/>
  <c r="E8181"/>
  <c r="B8182"/>
  <c r="E8182"/>
  <c r="B8183"/>
  <c r="E8183"/>
  <c r="B8184"/>
  <c r="E8184"/>
  <c r="B8185"/>
  <c r="E8185"/>
  <c r="B8186"/>
  <c r="E8186"/>
  <c r="B8187"/>
  <c r="E8187"/>
  <c r="B8188"/>
  <c r="E8188"/>
  <c r="B8189"/>
  <c r="E8189"/>
  <c r="B8190"/>
  <c r="E8190"/>
  <c r="B8191"/>
  <c r="E8191"/>
  <c r="B8192"/>
  <c r="E8192"/>
  <c r="B8193"/>
  <c r="E8193"/>
  <c r="B8194"/>
  <c r="E8194"/>
  <c r="B8195"/>
  <c r="E8195"/>
  <c r="B8196"/>
  <c r="E8196"/>
  <c r="B8197"/>
  <c r="E8197"/>
  <c r="B8198"/>
  <c r="E8198"/>
  <c r="B8199"/>
  <c r="E8199"/>
  <c r="B8200"/>
  <c r="E8200"/>
  <c r="B8201"/>
  <c r="E8201"/>
  <c r="B8202"/>
  <c r="E8202"/>
  <c r="B8203"/>
  <c r="E8203"/>
  <c r="B8204"/>
  <c r="E8204"/>
  <c r="B8205"/>
  <c r="E8205"/>
  <c r="B8206"/>
  <c r="E8206"/>
  <c r="B8207"/>
  <c r="E8207"/>
  <c r="B8208"/>
  <c r="E8208"/>
  <c r="B8209"/>
  <c r="E8209"/>
  <c r="B8210"/>
  <c r="E8210"/>
  <c r="B8211"/>
  <c r="E8211"/>
  <c r="B8212"/>
  <c r="E8212"/>
  <c r="B8213"/>
  <c r="E8213"/>
  <c r="B8214"/>
  <c r="E8214"/>
  <c r="B8215"/>
  <c r="E8215"/>
  <c r="B8216"/>
  <c r="E8216"/>
  <c r="B8217"/>
  <c r="E8217"/>
  <c r="B8218"/>
  <c r="E8218"/>
  <c r="B8219"/>
  <c r="E8219"/>
  <c r="B8220"/>
  <c r="E8220"/>
  <c r="B8221"/>
  <c r="E8221"/>
  <c r="B8222"/>
  <c r="E8222"/>
  <c r="B8223"/>
  <c r="E8223"/>
  <c r="B8224"/>
  <c r="E8224"/>
  <c r="B8225"/>
  <c r="E8225"/>
  <c r="B8226"/>
  <c r="E8226"/>
  <c r="B8227"/>
  <c r="E8227"/>
  <c r="B8228"/>
  <c r="E8228"/>
  <c r="B8229"/>
  <c r="E8229"/>
  <c r="B8230"/>
  <c r="E8230"/>
  <c r="B8231"/>
  <c r="E8231"/>
  <c r="B8232"/>
  <c r="E8232"/>
  <c r="B8233"/>
  <c r="E8233"/>
  <c r="B8234"/>
  <c r="E8234"/>
  <c r="B8235"/>
  <c r="E8235"/>
  <c r="B8236"/>
  <c r="E8236"/>
  <c r="B8237"/>
  <c r="E8237"/>
  <c r="B8238"/>
  <c r="E8238"/>
  <c r="B8239"/>
  <c r="E8239"/>
  <c r="B8240"/>
  <c r="E8240"/>
  <c r="B8241"/>
  <c r="E8241"/>
  <c r="B8242"/>
  <c r="E8242"/>
  <c r="B8243"/>
  <c r="E8243"/>
  <c r="B8244"/>
  <c r="E8244"/>
  <c r="B8245"/>
  <c r="E8245"/>
  <c r="B8246"/>
  <c r="E8246"/>
  <c r="B8247"/>
  <c r="E8247"/>
  <c r="B8248"/>
  <c r="E8248"/>
  <c r="B8249"/>
  <c r="E8249"/>
  <c r="B8250"/>
  <c r="E8250"/>
  <c r="B8251"/>
  <c r="E8251"/>
  <c r="B8252"/>
  <c r="E8252"/>
  <c r="B8253"/>
  <c r="E8253"/>
  <c r="B8254"/>
  <c r="E8254"/>
  <c r="B8255"/>
  <c r="E8255"/>
  <c r="B8256"/>
  <c r="E8256"/>
  <c r="B8257"/>
  <c r="E8257"/>
  <c r="B8258"/>
  <c r="E8258"/>
  <c r="B8259"/>
  <c r="E8259"/>
  <c r="B8260"/>
  <c r="E8260"/>
  <c r="B8261"/>
  <c r="E8261"/>
  <c r="B8262"/>
  <c r="E8262"/>
  <c r="B8263"/>
  <c r="E8263"/>
  <c r="B8264"/>
  <c r="E8264"/>
  <c r="B8265"/>
  <c r="E8265"/>
  <c r="B8266"/>
  <c r="E8266"/>
  <c r="B8267"/>
  <c r="E8267"/>
  <c r="B8268"/>
  <c r="E8268"/>
  <c r="B8269"/>
  <c r="E8269"/>
  <c r="B8270"/>
  <c r="E8270"/>
  <c r="B8271"/>
  <c r="E8271"/>
  <c r="B8272"/>
  <c r="E8272"/>
  <c r="B8273"/>
  <c r="E8273"/>
  <c r="B8274"/>
  <c r="E8274"/>
  <c r="B8275"/>
  <c r="E8275"/>
  <c r="B8276"/>
  <c r="E8276"/>
  <c r="B8277"/>
  <c r="E8277"/>
  <c r="B8278"/>
  <c r="E8278"/>
  <c r="B8279"/>
  <c r="E8279"/>
  <c r="B8280"/>
  <c r="E8280"/>
  <c r="B8281"/>
  <c r="E8281"/>
  <c r="B8282"/>
  <c r="E8282"/>
  <c r="B8283"/>
  <c r="E8283"/>
  <c r="B8284"/>
  <c r="E8284"/>
  <c r="B8285"/>
  <c r="E8285"/>
  <c r="B8286"/>
  <c r="E8286"/>
  <c r="B8287"/>
  <c r="E8287"/>
  <c r="B8288"/>
  <c r="E8288"/>
  <c r="B8289"/>
  <c r="E8289"/>
  <c r="B8290"/>
  <c r="E8290"/>
  <c r="B8291"/>
  <c r="E8291"/>
  <c r="B8292"/>
  <c r="E8292"/>
  <c r="B8293"/>
  <c r="E8293"/>
  <c r="B8294"/>
  <c r="E8294"/>
  <c r="B8295"/>
  <c r="E8295"/>
  <c r="B8296"/>
  <c r="E8296"/>
  <c r="B8297"/>
  <c r="E8297"/>
  <c r="B8298"/>
  <c r="E8298"/>
  <c r="B8299"/>
  <c r="E8299"/>
  <c r="B8300"/>
  <c r="E8300"/>
  <c r="B8301"/>
  <c r="E8301"/>
  <c r="B8302"/>
  <c r="E8302"/>
  <c r="B8303"/>
  <c r="E8303"/>
  <c r="B8304"/>
  <c r="E8304"/>
  <c r="B8305"/>
  <c r="E8305"/>
  <c r="B8306"/>
  <c r="E8306"/>
  <c r="B8307"/>
  <c r="E8307"/>
  <c r="B8308"/>
  <c r="E8308"/>
  <c r="B8309"/>
  <c r="E8309"/>
  <c r="B8310"/>
  <c r="E8310"/>
  <c r="B8311"/>
  <c r="E8311"/>
  <c r="B8312"/>
  <c r="E8312"/>
  <c r="B8313"/>
  <c r="E8313"/>
  <c r="B8314"/>
  <c r="E8314"/>
  <c r="B8315"/>
  <c r="E8315"/>
  <c r="B8316"/>
  <c r="E8316"/>
  <c r="B8317"/>
  <c r="E8317"/>
  <c r="B8318"/>
  <c r="E8318"/>
  <c r="B8319"/>
  <c r="E8319"/>
  <c r="B8320"/>
  <c r="E8320"/>
  <c r="B8321"/>
  <c r="E8321"/>
  <c r="B8322"/>
  <c r="E8322"/>
  <c r="B8323"/>
  <c r="E8323"/>
  <c r="B8324"/>
  <c r="E8324"/>
  <c r="B8325"/>
  <c r="E8325"/>
  <c r="B8326"/>
  <c r="E8326"/>
  <c r="B8327"/>
  <c r="E8327"/>
  <c r="B8328"/>
  <c r="E8328"/>
  <c r="B8329"/>
  <c r="E8329"/>
  <c r="B8330"/>
  <c r="E8330"/>
  <c r="B8331"/>
  <c r="E8331"/>
  <c r="B8332"/>
  <c r="E8332"/>
  <c r="B8333"/>
  <c r="E8333"/>
  <c r="B8334"/>
  <c r="E8334"/>
  <c r="B8335"/>
  <c r="E8335"/>
  <c r="B8336"/>
  <c r="E8336"/>
  <c r="B8337"/>
  <c r="E8337"/>
  <c r="B8338"/>
  <c r="E8338"/>
  <c r="B8339"/>
  <c r="E8339"/>
  <c r="B8340"/>
  <c r="E8340"/>
  <c r="B8341"/>
  <c r="E8341"/>
  <c r="B8342"/>
  <c r="E8342"/>
  <c r="B8343"/>
  <c r="E8343"/>
  <c r="B8344"/>
  <c r="E8344"/>
  <c r="B8345"/>
  <c r="E8345"/>
  <c r="B8346"/>
  <c r="E8346"/>
  <c r="B8347"/>
  <c r="E8347"/>
  <c r="B8348"/>
  <c r="E8348"/>
  <c r="B8349"/>
  <c r="E8349"/>
  <c r="B8350"/>
  <c r="E8350"/>
  <c r="B8351"/>
  <c r="E8351"/>
  <c r="B8352"/>
  <c r="E8352"/>
  <c r="B8353"/>
  <c r="E8353"/>
  <c r="B8354"/>
  <c r="E8354"/>
  <c r="B8355"/>
  <c r="E8355"/>
  <c r="B8356"/>
  <c r="E8356"/>
  <c r="B8357"/>
  <c r="E8357"/>
  <c r="B8358"/>
  <c r="E8358"/>
  <c r="B8359"/>
  <c r="E8359"/>
  <c r="B8360"/>
  <c r="E8360"/>
  <c r="B8361"/>
  <c r="E8361"/>
  <c r="B8362"/>
  <c r="E8362"/>
  <c r="B8363"/>
  <c r="E8363"/>
  <c r="B8364"/>
  <c r="E8364"/>
  <c r="B8365"/>
  <c r="E8365"/>
  <c r="B8366"/>
  <c r="E8366"/>
  <c r="B8367"/>
  <c r="E8367"/>
  <c r="B8368"/>
  <c r="E8368"/>
  <c r="B8369"/>
  <c r="E8369"/>
  <c r="B8370"/>
  <c r="E8370"/>
  <c r="B8371"/>
  <c r="E8371"/>
  <c r="B8372"/>
  <c r="E8372"/>
  <c r="B8373"/>
  <c r="E8373"/>
  <c r="B8374"/>
  <c r="E8374"/>
  <c r="B8375"/>
  <c r="E8375"/>
  <c r="B8376"/>
  <c r="E8376"/>
  <c r="B8377"/>
  <c r="E8377"/>
  <c r="B8378"/>
  <c r="E8378"/>
  <c r="B8379"/>
  <c r="E8379"/>
  <c r="B8380"/>
  <c r="E8380"/>
  <c r="B8381"/>
  <c r="E8381"/>
  <c r="B8382"/>
  <c r="E8382"/>
  <c r="B8383"/>
  <c r="E8383"/>
  <c r="B8384"/>
  <c r="E8384"/>
  <c r="B8385"/>
  <c r="E8385"/>
  <c r="B8386"/>
  <c r="E8386"/>
  <c r="B8387"/>
  <c r="E8387"/>
  <c r="B8388"/>
  <c r="E8388"/>
  <c r="B8389"/>
  <c r="E8389"/>
  <c r="B8390"/>
  <c r="E8390"/>
  <c r="B8391"/>
  <c r="E8391"/>
  <c r="B8392"/>
  <c r="E8392"/>
  <c r="B8393"/>
  <c r="E8393"/>
  <c r="B8394"/>
  <c r="E8394"/>
  <c r="B8395"/>
  <c r="E8395"/>
  <c r="B8396"/>
  <c r="E8396"/>
  <c r="B8397"/>
  <c r="E8397"/>
  <c r="B8398"/>
  <c r="E8398"/>
  <c r="B8399"/>
  <c r="E8399"/>
  <c r="B8400"/>
  <c r="E8400"/>
  <c r="B8401"/>
  <c r="E8401"/>
  <c r="B8402"/>
  <c r="E8402"/>
  <c r="B8403"/>
  <c r="E8403"/>
  <c r="B8404"/>
  <c r="E8404"/>
  <c r="B8405"/>
  <c r="E8405"/>
  <c r="B8406"/>
  <c r="E8406"/>
  <c r="B8407"/>
  <c r="E8407"/>
  <c r="B8408"/>
  <c r="E8408"/>
  <c r="B8409"/>
  <c r="E8409"/>
  <c r="B8410"/>
  <c r="E8410"/>
  <c r="B8411"/>
  <c r="E8411"/>
  <c r="B8412"/>
  <c r="E8412"/>
  <c r="B8413"/>
  <c r="E8413"/>
  <c r="B8414"/>
  <c r="E8414"/>
  <c r="B8415"/>
  <c r="E8415"/>
  <c r="B8416"/>
  <c r="E8416"/>
  <c r="B8417"/>
  <c r="E8417"/>
  <c r="B8418"/>
  <c r="E8418"/>
  <c r="B8419"/>
  <c r="E8419"/>
  <c r="B8420"/>
  <c r="E8420"/>
  <c r="B8421"/>
  <c r="E8421"/>
  <c r="B8422"/>
  <c r="E8422"/>
  <c r="B8423"/>
  <c r="E8423"/>
  <c r="B8424"/>
  <c r="E8424"/>
  <c r="B8425"/>
  <c r="E8425"/>
  <c r="B8426"/>
  <c r="E8426"/>
  <c r="B8427"/>
  <c r="E8427"/>
  <c r="B8428"/>
  <c r="E8428"/>
  <c r="B8429"/>
  <c r="E8429"/>
  <c r="B8430"/>
  <c r="E8430"/>
  <c r="B8431"/>
  <c r="E8431"/>
  <c r="B8432"/>
  <c r="E8432"/>
  <c r="B8433"/>
  <c r="E8433"/>
  <c r="B8434"/>
  <c r="E8434"/>
  <c r="B8435"/>
  <c r="E8435"/>
  <c r="B8436"/>
  <c r="E8436"/>
  <c r="B8437"/>
  <c r="E8437"/>
  <c r="B8438"/>
  <c r="E8438"/>
  <c r="B8439"/>
  <c r="E8439"/>
  <c r="B8440"/>
  <c r="E8440"/>
  <c r="B8441"/>
  <c r="E8441"/>
  <c r="B8442"/>
  <c r="E8442"/>
  <c r="B8443"/>
  <c r="E8443"/>
  <c r="B8444"/>
  <c r="E8444"/>
  <c r="B8445"/>
  <c r="E8445"/>
  <c r="B8446"/>
  <c r="E8446"/>
  <c r="B8447"/>
  <c r="E8447"/>
  <c r="B8448"/>
  <c r="E8448"/>
  <c r="B8449"/>
  <c r="E8449"/>
  <c r="B8450"/>
  <c r="E8450"/>
  <c r="B8451"/>
  <c r="E8451"/>
  <c r="B8452"/>
  <c r="E8452"/>
  <c r="B8453"/>
  <c r="E8453"/>
  <c r="B8454"/>
  <c r="E8454"/>
  <c r="B8455"/>
  <c r="E8455"/>
  <c r="B8456"/>
  <c r="E8456"/>
  <c r="B8457"/>
  <c r="E8457"/>
  <c r="B8458"/>
  <c r="E8458"/>
  <c r="B8459"/>
  <c r="E8459"/>
  <c r="B8460"/>
  <c r="E8460"/>
  <c r="B8461"/>
  <c r="E8461"/>
  <c r="B8462"/>
  <c r="E8462"/>
  <c r="B8463"/>
  <c r="E8463"/>
  <c r="B8464"/>
  <c r="E8464"/>
  <c r="B8465"/>
  <c r="E8465"/>
  <c r="B8466"/>
  <c r="E8466"/>
  <c r="B8467"/>
  <c r="E8467"/>
  <c r="B8468"/>
  <c r="E8468"/>
  <c r="B8469"/>
  <c r="E8469"/>
  <c r="B8470"/>
  <c r="E8470"/>
  <c r="B8471"/>
  <c r="E8471"/>
  <c r="B8472"/>
  <c r="E8472"/>
  <c r="B8473"/>
  <c r="E8473"/>
  <c r="B8474"/>
  <c r="E8474"/>
  <c r="B8475"/>
  <c r="E8475"/>
  <c r="B8476"/>
  <c r="E8476"/>
  <c r="B8477"/>
  <c r="E8477"/>
  <c r="B8478"/>
  <c r="E8478"/>
  <c r="B8479"/>
  <c r="E8479"/>
  <c r="B8480"/>
  <c r="E8480"/>
  <c r="B8481"/>
  <c r="E8481"/>
  <c r="B8482"/>
  <c r="E8482"/>
  <c r="B8483"/>
  <c r="E8483"/>
  <c r="B8484"/>
  <c r="E8484"/>
  <c r="B8485"/>
  <c r="E8485"/>
  <c r="B8486"/>
  <c r="E8486"/>
  <c r="B8487"/>
  <c r="E8487"/>
  <c r="B8488"/>
  <c r="E8488"/>
  <c r="B8489"/>
  <c r="E8489"/>
  <c r="B8490"/>
  <c r="E8490"/>
  <c r="B8491"/>
  <c r="E8491"/>
  <c r="B8492"/>
  <c r="E8492"/>
  <c r="B8493"/>
  <c r="E8493"/>
  <c r="B8494"/>
  <c r="E8494"/>
  <c r="B8495"/>
  <c r="E8495"/>
  <c r="B8496"/>
  <c r="E8496"/>
  <c r="B8497"/>
  <c r="E8497"/>
  <c r="B8498"/>
  <c r="E8498"/>
  <c r="B8499"/>
  <c r="E8499"/>
  <c r="B8500"/>
  <c r="E8500"/>
  <c r="B8501"/>
  <c r="E8501"/>
  <c r="B8502"/>
  <c r="E8502"/>
  <c r="B8503"/>
  <c r="E8503"/>
  <c r="B8504"/>
  <c r="E8504"/>
  <c r="B8505"/>
  <c r="E8505"/>
  <c r="B8506"/>
  <c r="E8506"/>
  <c r="B8507"/>
  <c r="E8507"/>
  <c r="B8508"/>
  <c r="E8508"/>
  <c r="B8509"/>
  <c r="E8509"/>
  <c r="B8510"/>
  <c r="E8510"/>
  <c r="B8511"/>
  <c r="E8511"/>
  <c r="B8512"/>
  <c r="E8512"/>
  <c r="B8513"/>
  <c r="E8513"/>
  <c r="B8514"/>
  <c r="E8514"/>
  <c r="B8515"/>
  <c r="E8515"/>
  <c r="B8516"/>
  <c r="E8516"/>
  <c r="B8517"/>
  <c r="E8517"/>
  <c r="B8518"/>
  <c r="E8518"/>
  <c r="B8519"/>
  <c r="E8519"/>
  <c r="B8520"/>
  <c r="E8520"/>
  <c r="B8521"/>
  <c r="E8521"/>
  <c r="B8522"/>
  <c r="E8522"/>
  <c r="B8523"/>
  <c r="E8523"/>
  <c r="B8524"/>
  <c r="E8524"/>
  <c r="B8525"/>
  <c r="E8525"/>
  <c r="B8526"/>
  <c r="E8526"/>
  <c r="B8527"/>
  <c r="E8527"/>
  <c r="B8528"/>
  <c r="E8528"/>
  <c r="B8529"/>
  <c r="E8529"/>
  <c r="B8530"/>
  <c r="E8530"/>
  <c r="B8531"/>
  <c r="E8531"/>
  <c r="B8532"/>
  <c r="E8532"/>
  <c r="B8533"/>
  <c r="E8533"/>
  <c r="B8534"/>
  <c r="E8534"/>
  <c r="B8535"/>
  <c r="E8535"/>
  <c r="B8536"/>
  <c r="E8536"/>
  <c r="B8537"/>
  <c r="E8537"/>
  <c r="B8538"/>
  <c r="E8538"/>
  <c r="B8539"/>
  <c r="E8539"/>
  <c r="B8540"/>
  <c r="E8540"/>
  <c r="B8541"/>
  <c r="E8541"/>
  <c r="B8542"/>
  <c r="E8542"/>
  <c r="B8543"/>
  <c r="E8543"/>
  <c r="B8544"/>
  <c r="E8544"/>
  <c r="B8545"/>
  <c r="E8545"/>
  <c r="B8546"/>
  <c r="E8546"/>
  <c r="B8547"/>
  <c r="E8547"/>
  <c r="B8548"/>
  <c r="E8548"/>
  <c r="B8549"/>
  <c r="E8549"/>
  <c r="B8550"/>
  <c r="E8550"/>
  <c r="B8551"/>
  <c r="E8551"/>
  <c r="B8552"/>
  <c r="E8552"/>
  <c r="B8553"/>
  <c r="E8553"/>
  <c r="B8554"/>
  <c r="E8554"/>
  <c r="B8555"/>
  <c r="E8555"/>
  <c r="B8556"/>
  <c r="E8556"/>
  <c r="B8557"/>
  <c r="E8557"/>
  <c r="B8558"/>
  <c r="E8558"/>
  <c r="B8559"/>
  <c r="E8559"/>
  <c r="B8560"/>
  <c r="E8560"/>
  <c r="B8561"/>
  <c r="E8561"/>
  <c r="B8562"/>
  <c r="E8562"/>
  <c r="B8563"/>
  <c r="E8563"/>
  <c r="B8564"/>
  <c r="E8564"/>
  <c r="B8565"/>
  <c r="E8565"/>
  <c r="B8566"/>
  <c r="E8566"/>
  <c r="B8567"/>
  <c r="E8567"/>
  <c r="B8568"/>
  <c r="E8568"/>
  <c r="B8569"/>
  <c r="E8569"/>
  <c r="B8570"/>
  <c r="E8570"/>
  <c r="B8571"/>
  <c r="E8571"/>
  <c r="B8572"/>
  <c r="E8572"/>
  <c r="B8573"/>
  <c r="E8573"/>
  <c r="B8574"/>
  <c r="E8574"/>
  <c r="B8575"/>
  <c r="E8575"/>
  <c r="B8576"/>
  <c r="E8576"/>
  <c r="B8577"/>
  <c r="E8577"/>
  <c r="B8578"/>
  <c r="E8578"/>
  <c r="B8579"/>
  <c r="E8579"/>
  <c r="B8580"/>
  <c r="E8580"/>
  <c r="B8581"/>
  <c r="E8581"/>
  <c r="B8582"/>
  <c r="E8582"/>
  <c r="B8583"/>
  <c r="E8583"/>
  <c r="B8584"/>
  <c r="E8584"/>
  <c r="B8585"/>
  <c r="E8585"/>
  <c r="B8586"/>
  <c r="E8586"/>
  <c r="B8587"/>
  <c r="E8587"/>
  <c r="B8588"/>
  <c r="E8588"/>
  <c r="B8589"/>
  <c r="E8589"/>
  <c r="B8590"/>
  <c r="E8590"/>
  <c r="B8591"/>
  <c r="E8591"/>
  <c r="B8592"/>
  <c r="E8592"/>
  <c r="B8593"/>
  <c r="E8593"/>
  <c r="B8594"/>
  <c r="E8594"/>
  <c r="B8595"/>
  <c r="E8595"/>
  <c r="B8596"/>
  <c r="E8596"/>
  <c r="B8597"/>
  <c r="E8597"/>
  <c r="B8598"/>
  <c r="E8598"/>
  <c r="B8599"/>
  <c r="E8599"/>
  <c r="B8600"/>
  <c r="E8600"/>
  <c r="B8601"/>
  <c r="E8601"/>
  <c r="B8602"/>
  <c r="E8602"/>
  <c r="B8603"/>
  <c r="E8603"/>
  <c r="B8604"/>
  <c r="E8604"/>
  <c r="B8605"/>
  <c r="E8605"/>
  <c r="B8606"/>
  <c r="E8606"/>
  <c r="B8607"/>
  <c r="E8607"/>
  <c r="B8608"/>
  <c r="E8608"/>
  <c r="B8609"/>
  <c r="E8609"/>
  <c r="B8610"/>
  <c r="E8610"/>
  <c r="B8611"/>
  <c r="E8611"/>
  <c r="B8612"/>
  <c r="E8612"/>
  <c r="B8613"/>
  <c r="E8613"/>
  <c r="B8614"/>
  <c r="E8614"/>
  <c r="B8615"/>
  <c r="E8615"/>
  <c r="B8616"/>
  <c r="E8616"/>
  <c r="B8617"/>
  <c r="E8617"/>
  <c r="B8618"/>
  <c r="E8618"/>
  <c r="B8619"/>
  <c r="E8619"/>
  <c r="B8620"/>
  <c r="E8620"/>
  <c r="B8621"/>
  <c r="E8621"/>
  <c r="B8622"/>
  <c r="E8622"/>
  <c r="B8623"/>
  <c r="E8623"/>
  <c r="B8624"/>
  <c r="E8624"/>
  <c r="B8625"/>
  <c r="E8625"/>
  <c r="B8626"/>
  <c r="E8626"/>
  <c r="B8627"/>
  <c r="E8627"/>
  <c r="B8628"/>
  <c r="E8628"/>
  <c r="B8629"/>
  <c r="E8629"/>
  <c r="B8630"/>
  <c r="E8630"/>
  <c r="B8631"/>
  <c r="E8631"/>
  <c r="B8632"/>
  <c r="E8632"/>
  <c r="B8633"/>
  <c r="E8633"/>
  <c r="B8634"/>
  <c r="E8634"/>
  <c r="B8635"/>
  <c r="E8635"/>
  <c r="B8636"/>
  <c r="E8636"/>
  <c r="B8637"/>
  <c r="E8637"/>
  <c r="B8638"/>
  <c r="E8638"/>
  <c r="B8639"/>
  <c r="E8639"/>
  <c r="B8640"/>
  <c r="E8640"/>
  <c r="B8641"/>
  <c r="E8641"/>
  <c r="B8642"/>
  <c r="E8642"/>
  <c r="B8643"/>
  <c r="E8643"/>
  <c r="B8644"/>
  <c r="E8644"/>
  <c r="B8645"/>
  <c r="E8645"/>
  <c r="B8646"/>
  <c r="E8646"/>
  <c r="B8647"/>
  <c r="E8647"/>
  <c r="B8648"/>
  <c r="E8648"/>
  <c r="B8649"/>
  <c r="E8649"/>
  <c r="B8650"/>
  <c r="E8650"/>
  <c r="B8651"/>
  <c r="E8651"/>
  <c r="B8652"/>
  <c r="E8652"/>
  <c r="B8653"/>
  <c r="E8653"/>
  <c r="B8654"/>
  <c r="E8654"/>
  <c r="B8655"/>
  <c r="E8655"/>
  <c r="B8656"/>
  <c r="E8656"/>
  <c r="B8657"/>
  <c r="E8657"/>
  <c r="B8658"/>
  <c r="E8658"/>
  <c r="B8659"/>
  <c r="E8659"/>
  <c r="B8660"/>
  <c r="E8660"/>
  <c r="B8661"/>
  <c r="E8661"/>
  <c r="B8662"/>
  <c r="E8662"/>
  <c r="B8663"/>
  <c r="E8663"/>
  <c r="B8664"/>
  <c r="E8664"/>
  <c r="B8665"/>
  <c r="E8665"/>
  <c r="B8666"/>
  <c r="E8666"/>
  <c r="B8667"/>
  <c r="E8667"/>
  <c r="B8668"/>
  <c r="E8668"/>
  <c r="B8669"/>
  <c r="E8669"/>
  <c r="B8670"/>
  <c r="E8670"/>
  <c r="B8671"/>
  <c r="E8671"/>
  <c r="B8672"/>
  <c r="E8672"/>
  <c r="B8673"/>
  <c r="E8673"/>
  <c r="B8674"/>
  <c r="E8674"/>
  <c r="B8675"/>
  <c r="E8675"/>
  <c r="B8676"/>
  <c r="E8676"/>
  <c r="B8677"/>
  <c r="E8677"/>
  <c r="B8678"/>
  <c r="E8678"/>
  <c r="B8679"/>
  <c r="E8679"/>
  <c r="B8680"/>
  <c r="E8680"/>
  <c r="B8681"/>
  <c r="E8681"/>
  <c r="B8682"/>
  <c r="E8682"/>
  <c r="B8683"/>
  <c r="E8683"/>
  <c r="B8684"/>
  <c r="E8684"/>
  <c r="B8685"/>
  <c r="E8685"/>
  <c r="B8686"/>
  <c r="E8686"/>
  <c r="B8687"/>
  <c r="E8687"/>
  <c r="B8688"/>
  <c r="E8688"/>
  <c r="B8689"/>
  <c r="E8689"/>
  <c r="B8690"/>
  <c r="E8690"/>
  <c r="B8691"/>
  <c r="E8691"/>
  <c r="B8692"/>
  <c r="E8692"/>
  <c r="B8693"/>
  <c r="E8693"/>
  <c r="B8694"/>
  <c r="E8694"/>
  <c r="B8695"/>
  <c r="E8695"/>
  <c r="B8696"/>
  <c r="E8696"/>
  <c r="B8697"/>
  <c r="E8697"/>
  <c r="B8698"/>
  <c r="E8698"/>
  <c r="B8699"/>
  <c r="E8699"/>
  <c r="B8700"/>
  <c r="E8700"/>
  <c r="B8701"/>
  <c r="E8701"/>
  <c r="B8702"/>
  <c r="E8702"/>
  <c r="B8703"/>
  <c r="E8703"/>
  <c r="B8704"/>
  <c r="E8704"/>
  <c r="B8705"/>
  <c r="E8705"/>
  <c r="B8706"/>
  <c r="E8706"/>
  <c r="B8707"/>
  <c r="E8707"/>
  <c r="B8708"/>
  <c r="E8708"/>
  <c r="B8709"/>
  <c r="E8709"/>
  <c r="B8710"/>
  <c r="E8710"/>
  <c r="B8711"/>
  <c r="E8711"/>
  <c r="B8712"/>
  <c r="E8712"/>
  <c r="B8713"/>
  <c r="E8713"/>
  <c r="B8714"/>
  <c r="E8714"/>
  <c r="B8715"/>
  <c r="E8715"/>
  <c r="B8716"/>
  <c r="E8716"/>
  <c r="B8717"/>
  <c r="E8717"/>
  <c r="B8718"/>
  <c r="E8718"/>
  <c r="B8719"/>
  <c r="E8719"/>
  <c r="B8720"/>
  <c r="E8720"/>
  <c r="B8721"/>
  <c r="E8721"/>
  <c r="B8722"/>
  <c r="E8722"/>
  <c r="B8723"/>
  <c r="E8723"/>
  <c r="B8724"/>
  <c r="E8724"/>
  <c r="B8725"/>
  <c r="E8725"/>
  <c r="B8726"/>
  <c r="E8726"/>
  <c r="B8727"/>
  <c r="E8727"/>
  <c r="B8728"/>
  <c r="E8728"/>
  <c r="B8729"/>
  <c r="E8729"/>
  <c r="B8730"/>
  <c r="E8730"/>
  <c r="B8731"/>
  <c r="E8731"/>
  <c r="B8732"/>
  <c r="E8732"/>
  <c r="B8733"/>
  <c r="E8733"/>
  <c r="B8734"/>
  <c r="E8734"/>
  <c r="B8735"/>
  <c r="E8735"/>
  <c r="B8736"/>
  <c r="E8736"/>
  <c r="B8737"/>
  <c r="E8737"/>
  <c r="B8738"/>
  <c r="E8738"/>
  <c r="B8739"/>
  <c r="E8739"/>
  <c r="B8740"/>
  <c r="E8740"/>
  <c r="B8741"/>
  <c r="E8741"/>
  <c r="B8742"/>
  <c r="E8742"/>
  <c r="B8743"/>
  <c r="E8743"/>
  <c r="B8744"/>
  <c r="E8744"/>
  <c r="B8745"/>
  <c r="E8745"/>
  <c r="B8746"/>
  <c r="E8746"/>
  <c r="B8747"/>
  <c r="E8747"/>
  <c r="B8748"/>
  <c r="E8748"/>
  <c r="B8749"/>
  <c r="E8749"/>
  <c r="B8750"/>
  <c r="E8750"/>
  <c r="B8751"/>
  <c r="E8751"/>
  <c r="B8752"/>
  <c r="E8752"/>
  <c r="B8753"/>
  <c r="E8753"/>
  <c r="B8754"/>
  <c r="E8754"/>
  <c r="B8755"/>
  <c r="E8755"/>
  <c r="B8756"/>
  <c r="E8756"/>
  <c r="B8757"/>
  <c r="E8757"/>
  <c r="B8758"/>
  <c r="E8758"/>
  <c r="B8759"/>
  <c r="E8759"/>
  <c r="B8760"/>
  <c r="E8760"/>
  <c r="B8761"/>
  <c r="E8761"/>
  <c r="B8762"/>
  <c r="E8762"/>
  <c r="B8763"/>
  <c r="E8763"/>
  <c r="B8764"/>
  <c r="E8764"/>
  <c r="B8765"/>
  <c r="E8765"/>
  <c r="B8766"/>
  <c r="E8766"/>
  <c r="B8767"/>
  <c r="E8767"/>
  <c r="B8768"/>
  <c r="E8768"/>
  <c r="B8769"/>
  <c r="E8769"/>
  <c r="B8770"/>
  <c r="E8770"/>
  <c r="B8771"/>
  <c r="E8771"/>
  <c r="B8772"/>
  <c r="E8772"/>
  <c r="B8773"/>
  <c r="E8773"/>
  <c r="B8774"/>
  <c r="E8774"/>
  <c r="B8775"/>
  <c r="E8775"/>
  <c r="B8776"/>
  <c r="E8776"/>
  <c r="B8777"/>
  <c r="E8777"/>
  <c r="B8778"/>
  <c r="E8778"/>
  <c r="B8779"/>
  <c r="E8779"/>
  <c r="B8780"/>
  <c r="E8780"/>
  <c r="B8781"/>
  <c r="E8781"/>
  <c r="B8782"/>
  <c r="E8782"/>
  <c r="B8783"/>
  <c r="E8783"/>
  <c r="B8784"/>
  <c r="E8784"/>
  <c r="B8785"/>
  <c r="E8785"/>
  <c r="B8786"/>
  <c r="E8786"/>
  <c r="B8787"/>
  <c r="E8787"/>
  <c r="B8788"/>
  <c r="E8788"/>
  <c r="B8789"/>
  <c r="E8789"/>
  <c r="B8790"/>
  <c r="E8790"/>
  <c r="B8791"/>
  <c r="E8791"/>
  <c r="B8792"/>
  <c r="E8792"/>
  <c r="B8793"/>
  <c r="E8793"/>
  <c r="B8794"/>
  <c r="E8794"/>
  <c r="B8795"/>
  <c r="E8795"/>
  <c r="B8796"/>
  <c r="E8796"/>
  <c r="B8797"/>
  <c r="E8797"/>
  <c r="B8798"/>
  <c r="E8798"/>
  <c r="B8799"/>
  <c r="E8799"/>
  <c r="B8800"/>
  <c r="E8800"/>
  <c r="B8801"/>
  <c r="E8801"/>
  <c r="B8802"/>
  <c r="E8802"/>
  <c r="B8803"/>
  <c r="E8803"/>
  <c r="B8804"/>
  <c r="E8804"/>
  <c r="B8805"/>
  <c r="E8805"/>
  <c r="B8806"/>
  <c r="E8806"/>
  <c r="B8807"/>
  <c r="E8807"/>
  <c r="B8808"/>
  <c r="E8808"/>
  <c r="B8809"/>
  <c r="E8809"/>
  <c r="B8810"/>
  <c r="E8810"/>
  <c r="B8811"/>
  <c r="E8811"/>
  <c r="B8812"/>
  <c r="E8812"/>
  <c r="B8813"/>
  <c r="E8813"/>
  <c r="B8814"/>
  <c r="E8814"/>
  <c r="B8815"/>
  <c r="E8815"/>
  <c r="B8816"/>
  <c r="E8816"/>
  <c r="B8817"/>
  <c r="E8817"/>
  <c r="B8818"/>
  <c r="E8818"/>
  <c r="B8819"/>
  <c r="E8819"/>
  <c r="B8820"/>
  <c r="E8820"/>
  <c r="B8821"/>
  <c r="E8821"/>
  <c r="B8822"/>
  <c r="E8822"/>
  <c r="B8823"/>
  <c r="E8823"/>
  <c r="B8824"/>
  <c r="E8824"/>
  <c r="B8825"/>
  <c r="E8825"/>
  <c r="B8826"/>
  <c r="E8826"/>
  <c r="B8827"/>
  <c r="E8827"/>
  <c r="B8828"/>
  <c r="E8828"/>
  <c r="B8829"/>
  <c r="E8829"/>
  <c r="B8830"/>
  <c r="E8830"/>
  <c r="B8831"/>
  <c r="E8831"/>
  <c r="B8832"/>
  <c r="E8832"/>
  <c r="B8833"/>
  <c r="E8833"/>
  <c r="B8834"/>
  <c r="E8834"/>
  <c r="B8835"/>
  <c r="E8835"/>
  <c r="B8836"/>
  <c r="E8836"/>
  <c r="B8837"/>
  <c r="E8837"/>
  <c r="B8838"/>
  <c r="E8838"/>
  <c r="B8839"/>
  <c r="E8839"/>
  <c r="B8840"/>
  <c r="E8840"/>
  <c r="B8841"/>
  <c r="E8841"/>
  <c r="B8842"/>
  <c r="E8842"/>
  <c r="B8843"/>
  <c r="E8843"/>
  <c r="B8844"/>
  <c r="E8844"/>
  <c r="B8845"/>
  <c r="E8845"/>
  <c r="B8846"/>
  <c r="E8846"/>
  <c r="B8847"/>
  <c r="E8847"/>
  <c r="B8848"/>
  <c r="E8848"/>
  <c r="B8849"/>
  <c r="E8849"/>
  <c r="B8850"/>
  <c r="E8850"/>
  <c r="B8851"/>
  <c r="E8851"/>
  <c r="B8852"/>
  <c r="E8852"/>
  <c r="B8853"/>
  <c r="E8853"/>
  <c r="B8854"/>
  <c r="E8854"/>
  <c r="B8855"/>
  <c r="E8855"/>
  <c r="B8856"/>
  <c r="E8856"/>
  <c r="B8857"/>
  <c r="E8857"/>
  <c r="B8858"/>
  <c r="E8858"/>
  <c r="B8859"/>
  <c r="E8859"/>
  <c r="B8860"/>
  <c r="E8860"/>
  <c r="B8861"/>
  <c r="E8861"/>
  <c r="B8862"/>
  <c r="E8862"/>
  <c r="B8863"/>
  <c r="E8863"/>
  <c r="B8864"/>
  <c r="E8864"/>
  <c r="B8865"/>
  <c r="E8865"/>
  <c r="B8866"/>
  <c r="E8866"/>
  <c r="B8867"/>
  <c r="E8867"/>
  <c r="B8868"/>
  <c r="E8868"/>
  <c r="B8869"/>
  <c r="E8869"/>
  <c r="B8870"/>
  <c r="E8870"/>
  <c r="B8871"/>
  <c r="E8871"/>
  <c r="B8872"/>
  <c r="E8872"/>
  <c r="B8873"/>
  <c r="E8873"/>
  <c r="B8874"/>
  <c r="E8874"/>
  <c r="B8875"/>
  <c r="E8875"/>
  <c r="B8876"/>
  <c r="E8876"/>
  <c r="B8877"/>
  <c r="E8877"/>
  <c r="B8878"/>
  <c r="E8878"/>
  <c r="B8879"/>
  <c r="E8879"/>
  <c r="B8880"/>
  <c r="E8880"/>
  <c r="B8881"/>
  <c r="E8881"/>
  <c r="B8882"/>
  <c r="E8882"/>
  <c r="B8883"/>
  <c r="E8883"/>
  <c r="B8884"/>
  <c r="E8884"/>
  <c r="B8885"/>
  <c r="E8885"/>
  <c r="B8886"/>
  <c r="E8886"/>
  <c r="B8887"/>
  <c r="E8887"/>
  <c r="B8888"/>
  <c r="E8888"/>
  <c r="B8889"/>
  <c r="E8889"/>
  <c r="B8890"/>
  <c r="E8890"/>
  <c r="B8891"/>
  <c r="E8891"/>
  <c r="B8892"/>
  <c r="E8892"/>
  <c r="B8893"/>
  <c r="E8893"/>
  <c r="B8894"/>
  <c r="E8894"/>
  <c r="B8895"/>
  <c r="E8895"/>
  <c r="B8896"/>
  <c r="E8896"/>
  <c r="B8897"/>
  <c r="E8897"/>
  <c r="B8898"/>
  <c r="E8898"/>
  <c r="B8899"/>
  <c r="E8899"/>
  <c r="B8900"/>
  <c r="E8900"/>
  <c r="B8901"/>
  <c r="E8901"/>
  <c r="B8902"/>
  <c r="E8902"/>
  <c r="B8903"/>
  <c r="E8903"/>
  <c r="B8904"/>
  <c r="E8904"/>
  <c r="B8905"/>
  <c r="E8905"/>
  <c r="B8906"/>
  <c r="E8906"/>
  <c r="B8907"/>
  <c r="E8907"/>
  <c r="B8908"/>
  <c r="E8908"/>
  <c r="B8909"/>
  <c r="E8909"/>
  <c r="B8910"/>
  <c r="E8910"/>
  <c r="B8911"/>
  <c r="E8911"/>
  <c r="B8912"/>
  <c r="E8912"/>
  <c r="B8913"/>
  <c r="E8913"/>
  <c r="B8914"/>
  <c r="E8914"/>
  <c r="B8915"/>
  <c r="E8915"/>
  <c r="B8916"/>
  <c r="E8916"/>
  <c r="B8917"/>
  <c r="E8917"/>
  <c r="B8918"/>
  <c r="E8918"/>
  <c r="B8919"/>
  <c r="E8919"/>
  <c r="B8920"/>
  <c r="E8920"/>
  <c r="B8921"/>
  <c r="E8921"/>
  <c r="B8922"/>
  <c r="E8922"/>
  <c r="B8923"/>
  <c r="E8923"/>
  <c r="B8924"/>
  <c r="E8924"/>
  <c r="B8925"/>
  <c r="E8925"/>
  <c r="B8926"/>
  <c r="E8926"/>
  <c r="B8927"/>
  <c r="E8927"/>
  <c r="B8928"/>
  <c r="E8928"/>
  <c r="B8929"/>
  <c r="E8929"/>
  <c r="B8930"/>
  <c r="E8930"/>
  <c r="B8931"/>
  <c r="E8931"/>
  <c r="B8932"/>
  <c r="E8932"/>
  <c r="B8933"/>
  <c r="E8933"/>
  <c r="B8934"/>
  <c r="E8934"/>
  <c r="B8935"/>
  <c r="E8935"/>
  <c r="B8936"/>
  <c r="E8936"/>
  <c r="B8937"/>
  <c r="E8937"/>
  <c r="B8938"/>
  <c r="E8938"/>
  <c r="B8939"/>
  <c r="E8939"/>
  <c r="B8940"/>
  <c r="E8940"/>
  <c r="B8941"/>
  <c r="E8941"/>
  <c r="B8942"/>
  <c r="E8942"/>
  <c r="B8943"/>
  <c r="E8943"/>
  <c r="B8944"/>
  <c r="E8944"/>
  <c r="B8945"/>
  <c r="E8945"/>
  <c r="B8946"/>
  <c r="E8946"/>
  <c r="B8947"/>
  <c r="E8947"/>
  <c r="B8948"/>
  <c r="E8948"/>
  <c r="B8949"/>
  <c r="E8949"/>
  <c r="B8950"/>
  <c r="E8950"/>
  <c r="B8951"/>
  <c r="E8951"/>
  <c r="B8952"/>
  <c r="E8952"/>
  <c r="B8953"/>
  <c r="E8953"/>
  <c r="B8954"/>
  <c r="E8954"/>
  <c r="B8955"/>
  <c r="E8955"/>
  <c r="B8956"/>
  <c r="E8956"/>
  <c r="B8957"/>
  <c r="E8957"/>
  <c r="B8958"/>
  <c r="E8958"/>
  <c r="B8959"/>
  <c r="E8959"/>
  <c r="B8960"/>
  <c r="E8960"/>
  <c r="B8961"/>
  <c r="E8961"/>
  <c r="B8962"/>
  <c r="E8962"/>
  <c r="B8963"/>
  <c r="E8963"/>
  <c r="B8964"/>
  <c r="E8964"/>
  <c r="B8965"/>
  <c r="E8965"/>
  <c r="B8966"/>
  <c r="E8966"/>
  <c r="B8967"/>
  <c r="E8967"/>
  <c r="B8968"/>
  <c r="E8968"/>
  <c r="B8969"/>
  <c r="E8969"/>
  <c r="B8970"/>
  <c r="E8970"/>
  <c r="B8971"/>
  <c r="E8971"/>
  <c r="B8972"/>
  <c r="E8972"/>
  <c r="B8973"/>
  <c r="E8973"/>
  <c r="B8974"/>
  <c r="E8974"/>
  <c r="B8975"/>
  <c r="E8975"/>
  <c r="B8976"/>
  <c r="E8976"/>
  <c r="B8977"/>
  <c r="E8977"/>
  <c r="B8978"/>
  <c r="E8978"/>
  <c r="B8979"/>
  <c r="E8979"/>
  <c r="B8980"/>
  <c r="E8980"/>
  <c r="B8981"/>
  <c r="E8981"/>
  <c r="B8982"/>
  <c r="E8982"/>
  <c r="B8983"/>
  <c r="E8983"/>
  <c r="B8984"/>
  <c r="E8984"/>
  <c r="B8985"/>
  <c r="E8985"/>
  <c r="B8986"/>
  <c r="E8986"/>
  <c r="B8987"/>
  <c r="E8987"/>
  <c r="B8988"/>
  <c r="E8988"/>
  <c r="B8989"/>
  <c r="E8989"/>
  <c r="B8990"/>
  <c r="E8990"/>
  <c r="B8991"/>
  <c r="E8991"/>
  <c r="B8992"/>
  <c r="E8992"/>
  <c r="B8993"/>
  <c r="E8993"/>
  <c r="B8994"/>
  <c r="E8994"/>
  <c r="B8995"/>
  <c r="E8995"/>
  <c r="B8996"/>
  <c r="E8996"/>
  <c r="B8997"/>
  <c r="E8997"/>
  <c r="B8998"/>
  <c r="E8998"/>
  <c r="B8999"/>
  <c r="E8999"/>
  <c r="B9000"/>
  <c r="E9000"/>
  <c r="B9001"/>
  <c r="E9001"/>
  <c r="B9002"/>
  <c r="E9002"/>
  <c r="B9003"/>
  <c r="E9003"/>
  <c r="B9004"/>
  <c r="E9004"/>
  <c r="B9005"/>
  <c r="E9005"/>
  <c r="B9006"/>
  <c r="E9006"/>
  <c r="B9007"/>
  <c r="E9007"/>
  <c r="B9008"/>
  <c r="E9008"/>
  <c r="B9009"/>
  <c r="E9009"/>
  <c r="B9010"/>
  <c r="E9010"/>
  <c r="B9011"/>
  <c r="E9011"/>
  <c r="B9012"/>
  <c r="E9012"/>
  <c r="B9013"/>
  <c r="E9013"/>
  <c r="B9014"/>
  <c r="E9014"/>
  <c r="B9015"/>
  <c r="E9015"/>
  <c r="B9016"/>
  <c r="E9016"/>
  <c r="B9017"/>
  <c r="E9017"/>
  <c r="B9018"/>
  <c r="E9018"/>
  <c r="B9019"/>
  <c r="E9019"/>
  <c r="B9020"/>
  <c r="E9020"/>
  <c r="B9021"/>
  <c r="E9021"/>
  <c r="B9022"/>
  <c r="E9022"/>
  <c r="B9023"/>
  <c r="E9023"/>
  <c r="B9024"/>
  <c r="E9024"/>
  <c r="B9025"/>
  <c r="E9025"/>
  <c r="B9026"/>
  <c r="E9026"/>
  <c r="B9027"/>
  <c r="E9027"/>
  <c r="B9028"/>
  <c r="E9028"/>
  <c r="B9029"/>
  <c r="E9029"/>
  <c r="B9030"/>
  <c r="E9030"/>
  <c r="B9031"/>
  <c r="E9031"/>
  <c r="B9032"/>
  <c r="E9032"/>
  <c r="B9033"/>
  <c r="E9033"/>
  <c r="B9034"/>
  <c r="E9034"/>
  <c r="B9035"/>
  <c r="E9035"/>
  <c r="B9036"/>
  <c r="E9036"/>
  <c r="B9037"/>
  <c r="E9037"/>
  <c r="B9038"/>
  <c r="E9038"/>
  <c r="B9039"/>
  <c r="E9039"/>
  <c r="B9040"/>
  <c r="E9040"/>
  <c r="B9041"/>
  <c r="E9041"/>
  <c r="B9042"/>
  <c r="E9042"/>
  <c r="B9043"/>
  <c r="E9043"/>
  <c r="B9044"/>
  <c r="E9044"/>
  <c r="B9045"/>
  <c r="E9045"/>
  <c r="B9046"/>
  <c r="E9046"/>
  <c r="B9047"/>
  <c r="E9047"/>
  <c r="B9048"/>
  <c r="E9048"/>
  <c r="B9049"/>
  <c r="E9049"/>
  <c r="B9050"/>
  <c r="E9050"/>
  <c r="B9051"/>
  <c r="E9051"/>
  <c r="B9052"/>
  <c r="E9052"/>
  <c r="B9053"/>
  <c r="E9053"/>
  <c r="B9054"/>
  <c r="E9054"/>
  <c r="B9055"/>
  <c r="E9055"/>
  <c r="B9056"/>
  <c r="E9056"/>
  <c r="B9057"/>
  <c r="E9057"/>
  <c r="B9058"/>
  <c r="E9058"/>
  <c r="B9059"/>
  <c r="E9059"/>
  <c r="B9060"/>
  <c r="E9060"/>
  <c r="B9061"/>
  <c r="E9061"/>
  <c r="B9062"/>
  <c r="E9062"/>
  <c r="B9063"/>
  <c r="E9063"/>
  <c r="B9064"/>
  <c r="E9064"/>
  <c r="B9065"/>
  <c r="E9065"/>
  <c r="B9066"/>
  <c r="E9066"/>
  <c r="B9067"/>
  <c r="E9067"/>
  <c r="B9068"/>
  <c r="E9068"/>
  <c r="B9069"/>
  <c r="E9069"/>
  <c r="B9070"/>
  <c r="E9070"/>
  <c r="B9071"/>
  <c r="E9071"/>
  <c r="B9072"/>
  <c r="E9072"/>
  <c r="B9073"/>
  <c r="E9073"/>
  <c r="B9074"/>
  <c r="E9074"/>
  <c r="B9075"/>
  <c r="E9075"/>
  <c r="B9076"/>
  <c r="E9076"/>
  <c r="B9077"/>
  <c r="E9077"/>
  <c r="B9078"/>
  <c r="E9078"/>
  <c r="B9079"/>
  <c r="E9079"/>
  <c r="B9080"/>
  <c r="E9080"/>
  <c r="B9081"/>
  <c r="E9081"/>
  <c r="B9082"/>
  <c r="E9082"/>
  <c r="B9083"/>
  <c r="E9083"/>
  <c r="B9084"/>
  <c r="E9084"/>
  <c r="B9085"/>
  <c r="E9085"/>
  <c r="B9086"/>
  <c r="E9086"/>
  <c r="B9087"/>
  <c r="E9087"/>
  <c r="B9088"/>
  <c r="E9088"/>
  <c r="B9089"/>
  <c r="E9089"/>
  <c r="B9090"/>
  <c r="E9090"/>
  <c r="B9091"/>
  <c r="E9091"/>
  <c r="B9092"/>
  <c r="E9092"/>
  <c r="B9093"/>
  <c r="E9093"/>
  <c r="B9094"/>
  <c r="E9094"/>
  <c r="B9095"/>
  <c r="E9095"/>
  <c r="B9096"/>
  <c r="E9096"/>
  <c r="B9097"/>
  <c r="E9097"/>
  <c r="B9098"/>
  <c r="E9098"/>
  <c r="B9099"/>
  <c r="E9099"/>
  <c r="B9100"/>
  <c r="E9100"/>
  <c r="B9101"/>
  <c r="E9101"/>
  <c r="B9102"/>
  <c r="E9102"/>
  <c r="B9103"/>
  <c r="E9103"/>
  <c r="B9104"/>
  <c r="E9104"/>
  <c r="B9105"/>
  <c r="E9105"/>
  <c r="B9106"/>
  <c r="E9106"/>
  <c r="B9107"/>
  <c r="E9107"/>
  <c r="B9108"/>
  <c r="E9108"/>
  <c r="B9109"/>
  <c r="E9109"/>
  <c r="B9110"/>
  <c r="E9110"/>
  <c r="B9111"/>
  <c r="E9111"/>
  <c r="B9112"/>
  <c r="E9112"/>
  <c r="B9113"/>
  <c r="E9113"/>
  <c r="B9114"/>
  <c r="E9114"/>
  <c r="B9115"/>
  <c r="E9115"/>
  <c r="B9116"/>
  <c r="E9116"/>
  <c r="B9117"/>
  <c r="E9117"/>
  <c r="B9118"/>
  <c r="E9118"/>
  <c r="B9119"/>
  <c r="E9119"/>
  <c r="B9120"/>
  <c r="E9120"/>
  <c r="B9121"/>
  <c r="E9121"/>
  <c r="B9122"/>
  <c r="E9122"/>
  <c r="B9123"/>
  <c r="E9123"/>
  <c r="B9124"/>
  <c r="E9124"/>
  <c r="B9125"/>
  <c r="E9125"/>
  <c r="B9126"/>
  <c r="E9126"/>
  <c r="B9127"/>
  <c r="E9127"/>
  <c r="B9128"/>
  <c r="E9128"/>
  <c r="B9129"/>
  <c r="E9129"/>
  <c r="B9130"/>
  <c r="E9130"/>
  <c r="B9131"/>
  <c r="E9131"/>
  <c r="B9132"/>
  <c r="E9132"/>
  <c r="B9133"/>
  <c r="E9133"/>
  <c r="B9134"/>
  <c r="E9134"/>
  <c r="B9135"/>
  <c r="E9135"/>
  <c r="B9136"/>
  <c r="E9136"/>
  <c r="B9137"/>
  <c r="E9137"/>
  <c r="B9138"/>
  <c r="E9138"/>
  <c r="B9139"/>
  <c r="E9139"/>
  <c r="B9140"/>
  <c r="E9140"/>
  <c r="B9141"/>
  <c r="E9141"/>
  <c r="B9142"/>
  <c r="E9142"/>
  <c r="B9143"/>
  <c r="E9143"/>
  <c r="B9144"/>
  <c r="E9144"/>
  <c r="B9145"/>
  <c r="E9145"/>
  <c r="B9146"/>
  <c r="E9146"/>
  <c r="B9147"/>
  <c r="E9147"/>
  <c r="B9148"/>
  <c r="E9148"/>
  <c r="B9149"/>
  <c r="E9149"/>
  <c r="B9150"/>
  <c r="E9150"/>
  <c r="B9151"/>
  <c r="E9151"/>
  <c r="B9152"/>
  <c r="E9152"/>
  <c r="B9153"/>
  <c r="E9153"/>
  <c r="B9154"/>
  <c r="E9154"/>
  <c r="B9155"/>
  <c r="E9155"/>
  <c r="B9156"/>
  <c r="E9156"/>
  <c r="B9157"/>
  <c r="E9157"/>
  <c r="B9158"/>
  <c r="E9158"/>
  <c r="B9159"/>
  <c r="E9159"/>
  <c r="B9160"/>
  <c r="E9160"/>
  <c r="B9161"/>
  <c r="E9161"/>
  <c r="B9162"/>
  <c r="E9162"/>
  <c r="B9163"/>
  <c r="E9163"/>
  <c r="B9164"/>
  <c r="E9164"/>
  <c r="B9165"/>
  <c r="E9165"/>
  <c r="B9166"/>
  <c r="E9166"/>
  <c r="B9167"/>
  <c r="E9167"/>
  <c r="B9168"/>
  <c r="E9168"/>
  <c r="B9169"/>
  <c r="E9169"/>
  <c r="B9170"/>
  <c r="E9170"/>
  <c r="B9171"/>
  <c r="E9171"/>
  <c r="B9172"/>
  <c r="E9172"/>
  <c r="B9173"/>
  <c r="E9173"/>
  <c r="B9174"/>
  <c r="E9174"/>
  <c r="B9175"/>
  <c r="E9175"/>
  <c r="B9176"/>
  <c r="E9176"/>
  <c r="B9177"/>
  <c r="E9177"/>
  <c r="B9178"/>
  <c r="E9178"/>
  <c r="B9179"/>
  <c r="E9179"/>
  <c r="B9180"/>
  <c r="E9180"/>
  <c r="B9181"/>
  <c r="E9181"/>
  <c r="B9182"/>
  <c r="E9182"/>
  <c r="B9183"/>
  <c r="E9183"/>
  <c r="B9184"/>
  <c r="E9184"/>
  <c r="B9185"/>
  <c r="E9185"/>
  <c r="B9186"/>
  <c r="E9186"/>
  <c r="B9187"/>
  <c r="E9187"/>
  <c r="B9188"/>
  <c r="E9188"/>
  <c r="B9189"/>
  <c r="E9189"/>
  <c r="B9190"/>
  <c r="E9190"/>
  <c r="B9191"/>
  <c r="E9191"/>
  <c r="B9192"/>
  <c r="E9192"/>
  <c r="B9193"/>
  <c r="E9193"/>
  <c r="B9194"/>
  <c r="E9194"/>
  <c r="B9195"/>
  <c r="E9195"/>
  <c r="B9196"/>
  <c r="E9196"/>
  <c r="B9197"/>
  <c r="E9197"/>
  <c r="B9198"/>
  <c r="E9198"/>
  <c r="B9199"/>
  <c r="E9199"/>
  <c r="B9200"/>
  <c r="E9200"/>
  <c r="B9201"/>
  <c r="E9201"/>
  <c r="B9202"/>
  <c r="E9202"/>
  <c r="B9203"/>
  <c r="E9203"/>
  <c r="B9204"/>
  <c r="E9204"/>
  <c r="B9205"/>
  <c r="E9205"/>
  <c r="B9206"/>
  <c r="E9206"/>
  <c r="B9207"/>
  <c r="E9207"/>
  <c r="B9208"/>
  <c r="E9208"/>
  <c r="B9209"/>
  <c r="E9209"/>
  <c r="B9210"/>
  <c r="E9210"/>
  <c r="B9211"/>
  <c r="E9211"/>
  <c r="B9212"/>
  <c r="E9212"/>
  <c r="B9213"/>
  <c r="E9213"/>
  <c r="B9214"/>
  <c r="E9214"/>
  <c r="B9215"/>
  <c r="E9215"/>
  <c r="B9216"/>
  <c r="E9216"/>
  <c r="B9217"/>
  <c r="E9217"/>
  <c r="B9218"/>
  <c r="E9218"/>
  <c r="B9219"/>
  <c r="E9219"/>
  <c r="B9220"/>
  <c r="E9220"/>
  <c r="B9221"/>
  <c r="E9221"/>
  <c r="B9222"/>
  <c r="E9222"/>
  <c r="B9223"/>
  <c r="E9223"/>
  <c r="B9224"/>
  <c r="E9224"/>
  <c r="B9225"/>
  <c r="E9225"/>
  <c r="B9226"/>
  <c r="E9226"/>
  <c r="B9227"/>
  <c r="E9227"/>
  <c r="B9228"/>
  <c r="E9228"/>
  <c r="B9229"/>
  <c r="E9229"/>
  <c r="B9230"/>
  <c r="E9230"/>
  <c r="B9231"/>
  <c r="E9231"/>
  <c r="B9232"/>
  <c r="E9232"/>
  <c r="B9233"/>
  <c r="E9233"/>
  <c r="B9234"/>
  <c r="E9234"/>
  <c r="B9235"/>
  <c r="E9235"/>
  <c r="B9236"/>
  <c r="E9236"/>
  <c r="B9237"/>
  <c r="E9237"/>
  <c r="B9238"/>
  <c r="E9238"/>
  <c r="B9239"/>
  <c r="E9239"/>
  <c r="B9240"/>
  <c r="E9240"/>
  <c r="B9241"/>
  <c r="E9241"/>
  <c r="B9242"/>
  <c r="E9242"/>
  <c r="B9243"/>
  <c r="E9243"/>
  <c r="B9244"/>
  <c r="E9244"/>
  <c r="B9245"/>
  <c r="E9245"/>
  <c r="B9246"/>
  <c r="E9246"/>
  <c r="B9247"/>
  <c r="E9247"/>
  <c r="B9248"/>
  <c r="E9248"/>
  <c r="B9249"/>
  <c r="E9249"/>
  <c r="B9250"/>
  <c r="E9250"/>
  <c r="B9251"/>
  <c r="E9251"/>
  <c r="B9252"/>
  <c r="E9252"/>
  <c r="B9253"/>
  <c r="E9253"/>
  <c r="B9254"/>
  <c r="E9254"/>
  <c r="B9255"/>
  <c r="E9255"/>
  <c r="B9256"/>
  <c r="E9256"/>
  <c r="B9257"/>
  <c r="E9257"/>
  <c r="B9258"/>
  <c r="E9258"/>
  <c r="B9259"/>
  <c r="E9259"/>
  <c r="B9260"/>
  <c r="E9260"/>
  <c r="B9261"/>
  <c r="E9261"/>
  <c r="B9262"/>
  <c r="E9262"/>
  <c r="B9263"/>
  <c r="E9263"/>
  <c r="B9264"/>
  <c r="E9264"/>
  <c r="B9265"/>
  <c r="E9265"/>
  <c r="B9266"/>
  <c r="E9266"/>
  <c r="B9267"/>
  <c r="E9267"/>
  <c r="B9268"/>
  <c r="E9268"/>
  <c r="B9269"/>
  <c r="E9269"/>
  <c r="B9270"/>
  <c r="E9270"/>
  <c r="B9271"/>
  <c r="E9271"/>
  <c r="B9272"/>
  <c r="E9272"/>
  <c r="B9273"/>
  <c r="E9273"/>
  <c r="B9274"/>
  <c r="E9274"/>
  <c r="B9275"/>
  <c r="E9275"/>
  <c r="B9276"/>
  <c r="E9276"/>
  <c r="B9277"/>
  <c r="E9277"/>
  <c r="B9278"/>
  <c r="E9278"/>
  <c r="B9279"/>
  <c r="E9279"/>
  <c r="B9280"/>
  <c r="E9280"/>
  <c r="B9281"/>
  <c r="E9281"/>
  <c r="B9282"/>
  <c r="E9282"/>
  <c r="B9283"/>
  <c r="E9283"/>
  <c r="B9284"/>
  <c r="E9284"/>
  <c r="B9285"/>
  <c r="E9285"/>
  <c r="B9286"/>
  <c r="E9286"/>
  <c r="B9287"/>
  <c r="E9287"/>
  <c r="B9288"/>
  <c r="E9288"/>
  <c r="B9289"/>
  <c r="E9289"/>
  <c r="B9290"/>
  <c r="E9290"/>
  <c r="B9291"/>
  <c r="E9291"/>
  <c r="B9292"/>
  <c r="E9292"/>
  <c r="B9293"/>
  <c r="E9293"/>
  <c r="B9294"/>
  <c r="E9294"/>
  <c r="B9295"/>
  <c r="E9295"/>
  <c r="B9296"/>
  <c r="E9296"/>
  <c r="B9297"/>
  <c r="E9297"/>
  <c r="B9298"/>
  <c r="E9298"/>
  <c r="B9299"/>
  <c r="E9299"/>
  <c r="B9300"/>
  <c r="E9300"/>
  <c r="B9301"/>
  <c r="E9301"/>
  <c r="B9302"/>
  <c r="E9302"/>
  <c r="B9303"/>
  <c r="E9303"/>
  <c r="B9304"/>
  <c r="E9304"/>
  <c r="B9305"/>
  <c r="E9305"/>
  <c r="B9306"/>
  <c r="E9306"/>
  <c r="B9307"/>
  <c r="E9307"/>
  <c r="B9308"/>
  <c r="E9308"/>
  <c r="B9309"/>
  <c r="E9309"/>
  <c r="B9310"/>
  <c r="E9310"/>
  <c r="B9311"/>
  <c r="E9311"/>
  <c r="B9312"/>
  <c r="E9312"/>
  <c r="B9313"/>
  <c r="E9313"/>
  <c r="B9314"/>
  <c r="E9314"/>
  <c r="B9315"/>
  <c r="E9315"/>
  <c r="B9316"/>
  <c r="E9316"/>
  <c r="B9317"/>
  <c r="E9317"/>
  <c r="B9318"/>
  <c r="E9318"/>
  <c r="B9319"/>
  <c r="E9319"/>
  <c r="B9320"/>
  <c r="E9320"/>
  <c r="B9321"/>
  <c r="E9321"/>
  <c r="B9322"/>
  <c r="E9322"/>
  <c r="B9323"/>
  <c r="E9323"/>
  <c r="B9324"/>
  <c r="E9324"/>
  <c r="B9325"/>
  <c r="E9325"/>
  <c r="B9326"/>
  <c r="E9326"/>
  <c r="B9327"/>
  <c r="E9327"/>
  <c r="B9328"/>
  <c r="E9328"/>
  <c r="B9329"/>
  <c r="E9329"/>
  <c r="B9330"/>
  <c r="E9330"/>
  <c r="B9331"/>
  <c r="E9331"/>
  <c r="B9332"/>
  <c r="E9332"/>
  <c r="B9333"/>
  <c r="E9333"/>
  <c r="B9334"/>
  <c r="E9334"/>
  <c r="B9335"/>
  <c r="E9335"/>
  <c r="B9336"/>
  <c r="E9336"/>
  <c r="B9337"/>
  <c r="E9337"/>
  <c r="B9338"/>
  <c r="E9338"/>
  <c r="B9339"/>
  <c r="E9339"/>
  <c r="B9340"/>
  <c r="E9340"/>
  <c r="B9341"/>
  <c r="E9341"/>
  <c r="B9342"/>
  <c r="E9342"/>
  <c r="B9343"/>
  <c r="E9343"/>
  <c r="B9344"/>
  <c r="E9344"/>
  <c r="B9345"/>
  <c r="E9345"/>
  <c r="B9346"/>
  <c r="E9346"/>
  <c r="B9347"/>
  <c r="E9347"/>
  <c r="B9348"/>
  <c r="E9348"/>
  <c r="B9349"/>
  <c r="E9349"/>
  <c r="B9350"/>
  <c r="E9350"/>
  <c r="B9351"/>
  <c r="E9351"/>
  <c r="B9352"/>
  <c r="E9352"/>
  <c r="B9353"/>
  <c r="E9353"/>
  <c r="B9354"/>
  <c r="E9354"/>
  <c r="B9355"/>
  <c r="E9355"/>
  <c r="B9356"/>
  <c r="E9356"/>
  <c r="B9357"/>
  <c r="E9357"/>
  <c r="B9358"/>
  <c r="E9358"/>
  <c r="B9359"/>
  <c r="E9359"/>
  <c r="B9360"/>
  <c r="E9360"/>
  <c r="B9361"/>
  <c r="E9361"/>
  <c r="B9362"/>
  <c r="E9362"/>
  <c r="B9363"/>
  <c r="E9363"/>
  <c r="B9364"/>
  <c r="E9364"/>
  <c r="B9365"/>
  <c r="E9365"/>
  <c r="B9366"/>
  <c r="E9366"/>
  <c r="B9367"/>
  <c r="E9367"/>
  <c r="B9368"/>
  <c r="E9368"/>
  <c r="B9369"/>
  <c r="E9369"/>
  <c r="B9370"/>
  <c r="E9370"/>
  <c r="B9371"/>
  <c r="E9371"/>
  <c r="B9372"/>
  <c r="E9372"/>
  <c r="B9373"/>
  <c r="E9373"/>
  <c r="B9374"/>
  <c r="E9374"/>
  <c r="B9375"/>
  <c r="E9375"/>
  <c r="B9376"/>
  <c r="E9376"/>
  <c r="B9377"/>
  <c r="E9377"/>
  <c r="B9378"/>
  <c r="E9378"/>
  <c r="B9379"/>
  <c r="E9379"/>
  <c r="B9380"/>
  <c r="E9380"/>
  <c r="B9381"/>
  <c r="E9381"/>
  <c r="B9382"/>
  <c r="E9382"/>
  <c r="B9383"/>
  <c r="E9383"/>
  <c r="B9384"/>
  <c r="E9384"/>
  <c r="B9385"/>
  <c r="E9385"/>
  <c r="B9386"/>
  <c r="E9386"/>
  <c r="B9387"/>
  <c r="E9387"/>
  <c r="B9388"/>
  <c r="E9388"/>
  <c r="B9389"/>
  <c r="E9389"/>
  <c r="B9390"/>
  <c r="E9390"/>
  <c r="B9391"/>
  <c r="E9391"/>
  <c r="B9392"/>
  <c r="E9392"/>
  <c r="B9393"/>
  <c r="E9393"/>
  <c r="B9394"/>
  <c r="E9394"/>
  <c r="B9395"/>
  <c r="E9395"/>
  <c r="B9396"/>
  <c r="E9396"/>
  <c r="B9397"/>
  <c r="E9397"/>
  <c r="B9398"/>
  <c r="E9398"/>
  <c r="B9399"/>
  <c r="E9399"/>
  <c r="B9400"/>
  <c r="E9400"/>
  <c r="B9401"/>
  <c r="E9401"/>
  <c r="B9402"/>
  <c r="E9402"/>
  <c r="B9403"/>
  <c r="E9403"/>
  <c r="B9404"/>
  <c r="E9404"/>
  <c r="B9405"/>
  <c r="E9405"/>
  <c r="B9406"/>
  <c r="E9406"/>
  <c r="B9407"/>
  <c r="E9407"/>
  <c r="B9408"/>
  <c r="E9408"/>
  <c r="B9409"/>
  <c r="E9409"/>
  <c r="B9410"/>
  <c r="E9410"/>
  <c r="B9411"/>
  <c r="E9411"/>
  <c r="B9412"/>
  <c r="E9412"/>
  <c r="B9413"/>
  <c r="E9413"/>
  <c r="B9414"/>
  <c r="E9414"/>
  <c r="B9415"/>
  <c r="E9415"/>
  <c r="B9416"/>
  <c r="E9416"/>
  <c r="B9417"/>
  <c r="E9417"/>
  <c r="B9418"/>
  <c r="E9418"/>
  <c r="B9419"/>
  <c r="E9419"/>
  <c r="B9420"/>
  <c r="E9420"/>
  <c r="B9421"/>
  <c r="E9421"/>
  <c r="B9422"/>
  <c r="E9422"/>
  <c r="B9423"/>
  <c r="E9423"/>
  <c r="B9424"/>
  <c r="E9424"/>
  <c r="B9425"/>
  <c r="E9425"/>
  <c r="B9426"/>
  <c r="E9426"/>
  <c r="B9427"/>
  <c r="E9427"/>
  <c r="B9428"/>
  <c r="E9428"/>
  <c r="B9429"/>
  <c r="E9429"/>
  <c r="B9430"/>
  <c r="E9430"/>
  <c r="B9431"/>
  <c r="E9431"/>
  <c r="B9432"/>
  <c r="E9432"/>
  <c r="B9433"/>
  <c r="E9433"/>
  <c r="B9434"/>
  <c r="E9434"/>
  <c r="B9435"/>
  <c r="E9435"/>
  <c r="B9436"/>
  <c r="E9436"/>
  <c r="B9437"/>
  <c r="E9437"/>
  <c r="B9438"/>
  <c r="E9438"/>
  <c r="B9439"/>
  <c r="E9439"/>
  <c r="B9440"/>
  <c r="E9440"/>
  <c r="B9441"/>
  <c r="E9441"/>
  <c r="B9442"/>
  <c r="E9442"/>
  <c r="B9443"/>
  <c r="E9443"/>
  <c r="B9444"/>
  <c r="E9444"/>
  <c r="B9445"/>
  <c r="E9445"/>
  <c r="B9446"/>
  <c r="E9446"/>
  <c r="B9447"/>
  <c r="E9447"/>
  <c r="B9448"/>
  <c r="E9448"/>
  <c r="B9449"/>
  <c r="E9449"/>
  <c r="B9450"/>
  <c r="E9450"/>
  <c r="B9451"/>
  <c r="E9451"/>
  <c r="B9452"/>
  <c r="E9452"/>
  <c r="B9453"/>
  <c r="E9453"/>
  <c r="B9454"/>
  <c r="E9454"/>
  <c r="B9455"/>
  <c r="E9455"/>
  <c r="B9456"/>
  <c r="E9456"/>
  <c r="B9457"/>
  <c r="E9457"/>
  <c r="B9458"/>
  <c r="E9458"/>
  <c r="B9459"/>
  <c r="E9459"/>
  <c r="B9460"/>
  <c r="E9460"/>
  <c r="B9461"/>
  <c r="E9461"/>
  <c r="B9462"/>
  <c r="E9462"/>
  <c r="B9463"/>
  <c r="E9463"/>
  <c r="B9464"/>
  <c r="E9464"/>
  <c r="B9465"/>
  <c r="E9465"/>
  <c r="B9466"/>
  <c r="E9466"/>
  <c r="B9467"/>
  <c r="E9467"/>
  <c r="B9468"/>
  <c r="E9468"/>
  <c r="B9469"/>
  <c r="E9469"/>
  <c r="B9470"/>
  <c r="E9470"/>
  <c r="B9471"/>
  <c r="E9471"/>
  <c r="B9472"/>
  <c r="E9472"/>
  <c r="B9473"/>
  <c r="E9473"/>
  <c r="B9474"/>
  <c r="E9474"/>
  <c r="B9475"/>
  <c r="E9475"/>
  <c r="B9476"/>
  <c r="E9476"/>
  <c r="B9477"/>
  <c r="E9477"/>
  <c r="B9478"/>
  <c r="E9478"/>
  <c r="B9479"/>
  <c r="E9479"/>
  <c r="B9480"/>
  <c r="E9480"/>
  <c r="B9481"/>
  <c r="E9481"/>
  <c r="B9482"/>
  <c r="E9482"/>
  <c r="B9483"/>
  <c r="E9483"/>
  <c r="B9484"/>
  <c r="E9484"/>
  <c r="B9485"/>
  <c r="E9485"/>
  <c r="B9486"/>
  <c r="E9486"/>
  <c r="B9487"/>
  <c r="E9487"/>
  <c r="B9488"/>
  <c r="E9488"/>
  <c r="B9489"/>
  <c r="E9489"/>
  <c r="B9490"/>
  <c r="E9490"/>
  <c r="B9491"/>
  <c r="E9491"/>
  <c r="B9492"/>
  <c r="E9492"/>
  <c r="B9493"/>
  <c r="E9493"/>
  <c r="B9494"/>
  <c r="E9494"/>
  <c r="B9495"/>
  <c r="E9495"/>
  <c r="B9496"/>
  <c r="E9496"/>
  <c r="B9497"/>
  <c r="E9497"/>
  <c r="B9498"/>
  <c r="E9498"/>
  <c r="B9499"/>
  <c r="E9499"/>
  <c r="B9500"/>
  <c r="E9500"/>
  <c r="B9501"/>
  <c r="E9501"/>
  <c r="B9502"/>
  <c r="E9502"/>
  <c r="B9503"/>
  <c r="E9503"/>
  <c r="B9504"/>
  <c r="E9504"/>
  <c r="B9505"/>
  <c r="E9505"/>
  <c r="B9506"/>
  <c r="E9506"/>
  <c r="B9507"/>
  <c r="E9507"/>
  <c r="B9508"/>
  <c r="E9508"/>
  <c r="B9509"/>
  <c r="E9509"/>
  <c r="B9510"/>
  <c r="E9510"/>
  <c r="B9511"/>
  <c r="E9511"/>
  <c r="B9512"/>
  <c r="E9512"/>
  <c r="B9513"/>
  <c r="E9513"/>
  <c r="B9514"/>
  <c r="E9514"/>
  <c r="B9515"/>
  <c r="E9515"/>
  <c r="B9516"/>
  <c r="E9516"/>
  <c r="B9517"/>
  <c r="E9517"/>
  <c r="B9518"/>
  <c r="E9518"/>
  <c r="B9519"/>
  <c r="E9519"/>
  <c r="B9520"/>
  <c r="E9520"/>
  <c r="B9521"/>
  <c r="E9521"/>
  <c r="B9522"/>
  <c r="E9522"/>
  <c r="B9523"/>
  <c r="E9523"/>
  <c r="B9524"/>
  <c r="E9524"/>
  <c r="B9525"/>
  <c r="E9525"/>
  <c r="B9526"/>
  <c r="E9526"/>
  <c r="B9527"/>
  <c r="E9527"/>
  <c r="B9528"/>
  <c r="E9528"/>
  <c r="B9529"/>
  <c r="E9529"/>
  <c r="B9530"/>
  <c r="E9530"/>
  <c r="B9531"/>
  <c r="E9531"/>
  <c r="B9532"/>
  <c r="E9532"/>
  <c r="B9533"/>
  <c r="E9533"/>
  <c r="B9534"/>
  <c r="E9534"/>
  <c r="B9535"/>
  <c r="E9535"/>
  <c r="B9536"/>
  <c r="E9536"/>
  <c r="B9537"/>
  <c r="E9537"/>
  <c r="B9538"/>
  <c r="E9538"/>
  <c r="B9539"/>
  <c r="E9539"/>
  <c r="B9540"/>
  <c r="E9540"/>
  <c r="B9541"/>
  <c r="E9541"/>
  <c r="B9542"/>
  <c r="E9542"/>
  <c r="B9543"/>
  <c r="E9543"/>
  <c r="B9544"/>
  <c r="E9544"/>
  <c r="B9545"/>
  <c r="E9545"/>
  <c r="B9546"/>
  <c r="E9546"/>
  <c r="B9547"/>
  <c r="E9547"/>
  <c r="B9548"/>
  <c r="E9548"/>
  <c r="B9549"/>
  <c r="E9549"/>
  <c r="B9550"/>
  <c r="E9550"/>
  <c r="B9551"/>
  <c r="E9551"/>
  <c r="B9552"/>
  <c r="E9552"/>
  <c r="B9553"/>
  <c r="E9553"/>
  <c r="B9554"/>
  <c r="E9554"/>
  <c r="B9555"/>
  <c r="E9555"/>
  <c r="B9556"/>
  <c r="E9556"/>
  <c r="B9557"/>
  <c r="E9557"/>
  <c r="B9558"/>
  <c r="E9558"/>
  <c r="B9559"/>
  <c r="E9559"/>
  <c r="B9560"/>
  <c r="E9560"/>
  <c r="B9561"/>
  <c r="E9561"/>
  <c r="B9562"/>
  <c r="E9562"/>
  <c r="B9563"/>
  <c r="E9563"/>
  <c r="B9564"/>
  <c r="E9564"/>
  <c r="B9565"/>
  <c r="E9565"/>
  <c r="B9566"/>
  <c r="E9566"/>
  <c r="B9567"/>
  <c r="E9567"/>
  <c r="B9568"/>
  <c r="E9568"/>
  <c r="B9569"/>
  <c r="E9569"/>
  <c r="B9570"/>
  <c r="E9570"/>
  <c r="B9571"/>
  <c r="E9571"/>
  <c r="B9572"/>
  <c r="E9572"/>
  <c r="B9573"/>
  <c r="E9573"/>
  <c r="B9574"/>
  <c r="E9574"/>
  <c r="B9575"/>
  <c r="E9575"/>
  <c r="B9576"/>
  <c r="E9576"/>
  <c r="B9577"/>
  <c r="E9577"/>
  <c r="B9578"/>
  <c r="E9578"/>
  <c r="B9579"/>
  <c r="E9579"/>
  <c r="B9580"/>
  <c r="E9580"/>
  <c r="B9581"/>
  <c r="E9581"/>
  <c r="B9582"/>
  <c r="E9582"/>
  <c r="B9583"/>
  <c r="E9583"/>
  <c r="B9584"/>
  <c r="E9584"/>
  <c r="B9585"/>
  <c r="E9585"/>
  <c r="B9586"/>
  <c r="E9586"/>
  <c r="B9587"/>
  <c r="E9587"/>
  <c r="B9588"/>
  <c r="E9588"/>
  <c r="B9589"/>
  <c r="E9589"/>
  <c r="B9590"/>
  <c r="E9590"/>
  <c r="B9591"/>
  <c r="E9591"/>
  <c r="B9592"/>
  <c r="E9592"/>
  <c r="B9593"/>
  <c r="E9593"/>
  <c r="B9594"/>
  <c r="E9594"/>
  <c r="B9595"/>
  <c r="E9595"/>
  <c r="B9596"/>
  <c r="E9596"/>
  <c r="B9597"/>
  <c r="E9597"/>
  <c r="B9598"/>
  <c r="E9598"/>
  <c r="B9599"/>
  <c r="E9599"/>
  <c r="B9600"/>
  <c r="E9600"/>
  <c r="B9601"/>
  <c r="E9601"/>
  <c r="B9602"/>
  <c r="E9602"/>
  <c r="B9603"/>
  <c r="E9603"/>
  <c r="B9604"/>
  <c r="E9604"/>
  <c r="B9605"/>
  <c r="E9605"/>
  <c r="B9606"/>
  <c r="E9606"/>
  <c r="B9607"/>
  <c r="E9607"/>
  <c r="B9608"/>
  <c r="E9608"/>
  <c r="B9609"/>
  <c r="E9609"/>
  <c r="B9610"/>
  <c r="E9610"/>
  <c r="B9611"/>
  <c r="E9611"/>
  <c r="B9612"/>
  <c r="E9612"/>
  <c r="B9613"/>
  <c r="E9613"/>
  <c r="B9614"/>
  <c r="E9614"/>
  <c r="B9615"/>
  <c r="E9615"/>
  <c r="B9616"/>
  <c r="E9616"/>
  <c r="B9617"/>
  <c r="E9617"/>
  <c r="B9618"/>
  <c r="E9618"/>
  <c r="B9619"/>
  <c r="E9619"/>
  <c r="B9620"/>
  <c r="E9620"/>
  <c r="B9621"/>
  <c r="E9621"/>
  <c r="B9622"/>
  <c r="E9622"/>
  <c r="B9623"/>
  <c r="E9623"/>
  <c r="B9624"/>
  <c r="E9624"/>
  <c r="B9625"/>
  <c r="E9625"/>
  <c r="B9626"/>
  <c r="E9626"/>
  <c r="B9627"/>
  <c r="E9627"/>
  <c r="B9628"/>
  <c r="E9628"/>
  <c r="B9629"/>
  <c r="E9629"/>
  <c r="B9630"/>
  <c r="E9630"/>
  <c r="B9631"/>
  <c r="E9631"/>
  <c r="B9632"/>
  <c r="E9632"/>
  <c r="B9633"/>
  <c r="E9633"/>
  <c r="B9634"/>
  <c r="E9634"/>
  <c r="B9635"/>
  <c r="E9635"/>
  <c r="B9636"/>
  <c r="E9636"/>
  <c r="B9637"/>
  <c r="E9637"/>
  <c r="B9638"/>
  <c r="E9638"/>
  <c r="B9639"/>
  <c r="E9639"/>
  <c r="B9640"/>
  <c r="E9640"/>
  <c r="B9641"/>
  <c r="E9641"/>
  <c r="B9642"/>
  <c r="E9642"/>
  <c r="B9643"/>
  <c r="E9643"/>
  <c r="B9644"/>
  <c r="E9644"/>
  <c r="B9645"/>
  <c r="E9645"/>
  <c r="B9646"/>
  <c r="E9646"/>
  <c r="B9647"/>
  <c r="E9647"/>
  <c r="B9648"/>
  <c r="E9648"/>
  <c r="B9649"/>
  <c r="E9649"/>
  <c r="B9650"/>
  <c r="E9650"/>
  <c r="B9651"/>
  <c r="E9651"/>
  <c r="B9652"/>
  <c r="E9652"/>
  <c r="B9653"/>
  <c r="E9653"/>
  <c r="B9654"/>
  <c r="E9654"/>
  <c r="B9655"/>
  <c r="E9655"/>
  <c r="B9656"/>
  <c r="E9656"/>
  <c r="B9657"/>
  <c r="E9657"/>
  <c r="B9658"/>
  <c r="E9658"/>
  <c r="B9659"/>
  <c r="E9659"/>
  <c r="B9660"/>
  <c r="E9660"/>
  <c r="B9661"/>
  <c r="E9661"/>
  <c r="B9662"/>
  <c r="E9662"/>
  <c r="B9663"/>
  <c r="E9663"/>
  <c r="B9664"/>
  <c r="E9664"/>
  <c r="B9665"/>
  <c r="E9665"/>
  <c r="B9666"/>
  <c r="E9666"/>
  <c r="B9667"/>
  <c r="E9667"/>
  <c r="B9668"/>
  <c r="E9668"/>
  <c r="B9669"/>
  <c r="E9669"/>
  <c r="B9670"/>
  <c r="E9670"/>
  <c r="B9671"/>
  <c r="E9671"/>
  <c r="B9672"/>
  <c r="E9672"/>
  <c r="B9673"/>
  <c r="E9673"/>
  <c r="B9674"/>
  <c r="E9674"/>
  <c r="B9675"/>
  <c r="E9675"/>
  <c r="B9676"/>
  <c r="E9676"/>
  <c r="B9677"/>
  <c r="E9677"/>
  <c r="B9678"/>
  <c r="E9678"/>
  <c r="B9679"/>
  <c r="E9679"/>
  <c r="B9680"/>
  <c r="E9680"/>
  <c r="B9681"/>
  <c r="E9681"/>
  <c r="B9682"/>
  <c r="E9682"/>
  <c r="B9683"/>
  <c r="E9683"/>
  <c r="B9684"/>
  <c r="E9684"/>
  <c r="B9685"/>
  <c r="E9685"/>
  <c r="B9686"/>
  <c r="E9686"/>
  <c r="B9687"/>
  <c r="E9687"/>
  <c r="B9688"/>
  <c r="E9688"/>
  <c r="B9689"/>
  <c r="E9689"/>
  <c r="B9690"/>
  <c r="E9690"/>
  <c r="B9691"/>
  <c r="E9691"/>
  <c r="B9692"/>
  <c r="E9692"/>
  <c r="B9693"/>
  <c r="E9693"/>
  <c r="B9694"/>
  <c r="E9694"/>
  <c r="B9695"/>
  <c r="E9695"/>
  <c r="B9696"/>
  <c r="E9696"/>
  <c r="B9697"/>
  <c r="E9697"/>
  <c r="B9698"/>
  <c r="E9698"/>
  <c r="B9699"/>
  <c r="E9699"/>
  <c r="B9700"/>
  <c r="E9700"/>
  <c r="B9701"/>
  <c r="E9701"/>
  <c r="B9702"/>
  <c r="E9702"/>
  <c r="B9703"/>
  <c r="E9703"/>
  <c r="B9704"/>
  <c r="E9704"/>
  <c r="B9705"/>
  <c r="E9705"/>
  <c r="B9706"/>
  <c r="E9706"/>
  <c r="B9707"/>
  <c r="E9707"/>
  <c r="B9708"/>
  <c r="E9708"/>
  <c r="B9709"/>
  <c r="E9709"/>
  <c r="B9710"/>
  <c r="E9710"/>
  <c r="B9711"/>
  <c r="E9711"/>
  <c r="B9712"/>
  <c r="E9712"/>
  <c r="B9713"/>
  <c r="E9713"/>
  <c r="B9714"/>
  <c r="E9714"/>
  <c r="B9715"/>
  <c r="E9715"/>
  <c r="B9716"/>
  <c r="E9716"/>
  <c r="B9717"/>
  <c r="E9717"/>
  <c r="B9718"/>
  <c r="E9718"/>
  <c r="B9719"/>
  <c r="E9719"/>
  <c r="B9720"/>
  <c r="E9720"/>
  <c r="B9721"/>
  <c r="E9721"/>
  <c r="B9722"/>
  <c r="E9722"/>
  <c r="B9723"/>
  <c r="E9723"/>
  <c r="B9724"/>
  <c r="E9724"/>
  <c r="B9725"/>
  <c r="E9725"/>
  <c r="B9726"/>
  <c r="E9726"/>
  <c r="B9727"/>
  <c r="E9727"/>
  <c r="B9728"/>
  <c r="E9728"/>
  <c r="B9729"/>
  <c r="E9729"/>
  <c r="B9730"/>
  <c r="E9730"/>
  <c r="B9731"/>
  <c r="E9731"/>
  <c r="B9732"/>
  <c r="E9732"/>
  <c r="B9733"/>
  <c r="E9733"/>
  <c r="B9734"/>
  <c r="E9734"/>
  <c r="B9735"/>
  <c r="E9735"/>
  <c r="B9736"/>
  <c r="E9736"/>
  <c r="B9737"/>
  <c r="E9737"/>
  <c r="B9738"/>
  <c r="E9738"/>
  <c r="B9739"/>
  <c r="E9739"/>
  <c r="B9740"/>
  <c r="E9740"/>
  <c r="B9741"/>
  <c r="E9741"/>
  <c r="B9742"/>
  <c r="E9742"/>
  <c r="B9743"/>
  <c r="E9743"/>
  <c r="B9744"/>
  <c r="E9744"/>
  <c r="B9745"/>
  <c r="E9745"/>
  <c r="B9746"/>
  <c r="E9746"/>
  <c r="B9747"/>
  <c r="E9747"/>
  <c r="B9748"/>
  <c r="E9748"/>
  <c r="B9749"/>
  <c r="E9749"/>
  <c r="B9750"/>
  <c r="E9750"/>
  <c r="B9751"/>
  <c r="E9751"/>
  <c r="B9752"/>
  <c r="E9752"/>
  <c r="B9753"/>
  <c r="E9753"/>
  <c r="B9754"/>
  <c r="E9754"/>
  <c r="B9755"/>
  <c r="E9755"/>
  <c r="B9756"/>
  <c r="E9756"/>
  <c r="B9757"/>
  <c r="E9757"/>
  <c r="B9758"/>
  <c r="E9758"/>
  <c r="B9759"/>
  <c r="E9759"/>
  <c r="B9760"/>
  <c r="E9760"/>
  <c r="B9761"/>
  <c r="E9761"/>
  <c r="B9762"/>
  <c r="E9762"/>
  <c r="B9763"/>
  <c r="E9763"/>
  <c r="B9764"/>
  <c r="E9764"/>
  <c r="B9765"/>
  <c r="E9765"/>
  <c r="B9766"/>
  <c r="E9766"/>
  <c r="B9767"/>
  <c r="E9767"/>
  <c r="B9768"/>
  <c r="E9768"/>
  <c r="B9769"/>
  <c r="E9769"/>
  <c r="B9770"/>
  <c r="E9770"/>
  <c r="B9771"/>
  <c r="E9771"/>
  <c r="B9772"/>
  <c r="E9772"/>
  <c r="B9773"/>
  <c r="E9773"/>
  <c r="B9774"/>
  <c r="E9774"/>
  <c r="B9775"/>
  <c r="E9775"/>
  <c r="B9776"/>
  <c r="E9776"/>
  <c r="B9777"/>
  <c r="E9777"/>
  <c r="B9778"/>
  <c r="E9778"/>
  <c r="B9779"/>
  <c r="E9779"/>
  <c r="B9780"/>
  <c r="E9780"/>
  <c r="B9781"/>
  <c r="E9781"/>
  <c r="B9782"/>
  <c r="E9782"/>
  <c r="B9783"/>
  <c r="E9783"/>
  <c r="B9784"/>
  <c r="E9784"/>
  <c r="B9785"/>
  <c r="E9785"/>
  <c r="B9786"/>
  <c r="E9786"/>
  <c r="B9787"/>
  <c r="E9787"/>
  <c r="B9788"/>
  <c r="E9788"/>
  <c r="B9789"/>
  <c r="E9789"/>
  <c r="B9790"/>
  <c r="E9790"/>
  <c r="B9791"/>
  <c r="E9791"/>
  <c r="B9792"/>
  <c r="E9792"/>
  <c r="B9793"/>
  <c r="E9793"/>
  <c r="B9794"/>
  <c r="E9794"/>
  <c r="B9795"/>
  <c r="E9795"/>
  <c r="B9796"/>
  <c r="E9796"/>
  <c r="B9797"/>
  <c r="E9797"/>
  <c r="B9798"/>
  <c r="E9798"/>
  <c r="B9799"/>
  <c r="E9799"/>
  <c r="B9800"/>
  <c r="E9800"/>
  <c r="B9801"/>
  <c r="E9801"/>
  <c r="B9802"/>
  <c r="E9802"/>
  <c r="B9803"/>
  <c r="E9803"/>
  <c r="B9804"/>
  <c r="E9804"/>
  <c r="B9805"/>
  <c r="E9805"/>
  <c r="B9806"/>
  <c r="E9806"/>
  <c r="B9807"/>
  <c r="E9807"/>
  <c r="B9808"/>
  <c r="E9808"/>
  <c r="B9809"/>
  <c r="E9809"/>
  <c r="B9810"/>
  <c r="E9810"/>
  <c r="B9811"/>
  <c r="E9811"/>
  <c r="B9812"/>
  <c r="E9812"/>
  <c r="B9813"/>
  <c r="E9813"/>
  <c r="B9814"/>
  <c r="E9814"/>
  <c r="B9815"/>
  <c r="E9815"/>
  <c r="B9816"/>
  <c r="E9816"/>
  <c r="B9817"/>
  <c r="E9817"/>
  <c r="B9818"/>
  <c r="E9818"/>
  <c r="B9819"/>
  <c r="E9819"/>
  <c r="B9820"/>
  <c r="E9820"/>
  <c r="B9821"/>
  <c r="E9821"/>
  <c r="B9822"/>
  <c r="E9822"/>
  <c r="B9823"/>
  <c r="E9823"/>
  <c r="B9824"/>
  <c r="E9824"/>
  <c r="B9825"/>
  <c r="E9825"/>
  <c r="B9826"/>
  <c r="E9826"/>
  <c r="B9827"/>
  <c r="E9827"/>
  <c r="B9828"/>
  <c r="E9828"/>
  <c r="B9829"/>
  <c r="E9829"/>
  <c r="B9830"/>
  <c r="E9830"/>
  <c r="B9831"/>
  <c r="E9831"/>
  <c r="B9832"/>
  <c r="E9832"/>
  <c r="B9833"/>
  <c r="E9833"/>
  <c r="B9834"/>
  <c r="E9834"/>
  <c r="B9835"/>
  <c r="E9835"/>
  <c r="B9836"/>
  <c r="E9836"/>
  <c r="B9837"/>
  <c r="E9837"/>
  <c r="B9838"/>
  <c r="E9838"/>
  <c r="B9839"/>
  <c r="E9839"/>
  <c r="B9840"/>
  <c r="E9840"/>
  <c r="B9841"/>
  <c r="E9841"/>
  <c r="B9842"/>
  <c r="E9842"/>
  <c r="B9843"/>
  <c r="E9843"/>
  <c r="B9844"/>
  <c r="E9844"/>
  <c r="B9845"/>
  <c r="E9845"/>
  <c r="B9846"/>
  <c r="E9846"/>
  <c r="B9847"/>
  <c r="E9847"/>
  <c r="B9848"/>
  <c r="E9848"/>
  <c r="B9849"/>
  <c r="E9849"/>
  <c r="B9850"/>
  <c r="E9850"/>
  <c r="B9851"/>
  <c r="E9851"/>
  <c r="B9852"/>
  <c r="E9852"/>
  <c r="B9853"/>
  <c r="E9853"/>
  <c r="B9854"/>
  <c r="E9854"/>
  <c r="B9855"/>
  <c r="E9855"/>
  <c r="B9856"/>
  <c r="E9856"/>
  <c r="B9857"/>
  <c r="E9857"/>
  <c r="B9858"/>
  <c r="E9858"/>
  <c r="B9859"/>
  <c r="E9859"/>
  <c r="B9860"/>
  <c r="E9860"/>
  <c r="B9861"/>
  <c r="E9861"/>
  <c r="B9862"/>
  <c r="E9862"/>
  <c r="B9863"/>
  <c r="E9863"/>
  <c r="B9864"/>
  <c r="E9864"/>
  <c r="B9865"/>
  <c r="E9865"/>
  <c r="B9866"/>
  <c r="E9866"/>
  <c r="B9867"/>
  <c r="E9867"/>
  <c r="B9868"/>
  <c r="E9868"/>
  <c r="B9869"/>
  <c r="E9869"/>
  <c r="B9870"/>
  <c r="E9870"/>
  <c r="B9871"/>
  <c r="E9871"/>
  <c r="B9872"/>
  <c r="E9872"/>
  <c r="B9873"/>
  <c r="E9873"/>
  <c r="B9874"/>
  <c r="E9874"/>
  <c r="B9875"/>
  <c r="E9875"/>
  <c r="B9876"/>
  <c r="E9876"/>
  <c r="B9877"/>
  <c r="E9877"/>
  <c r="B9878"/>
  <c r="E9878"/>
  <c r="B9879"/>
  <c r="E9879"/>
  <c r="B9880"/>
  <c r="E9880"/>
  <c r="B9881"/>
  <c r="E9881"/>
  <c r="B9882"/>
  <c r="E9882"/>
  <c r="B9883"/>
  <c r="E9883"/>
  <c r="B9884"/>
  <c r="E9884"/>
  <c r="B9885"/>
  <c r="E9885"/>
  <c r="B9886"/>
  <c r="E9886"/>
  <c r="B9887"/>
  <c r="E9887"/>
  <c r="B9888"/>
  <c r="E9888"/>
  <c r="B9889"/>
  <c r="E9889"/>
  <c r="B9890"/>
  <c r="E9890"/>
  <c r="B9891"/>
  <c r="E9891"/>
  <c r="B9892"/>
  <c r="E9892"/>
  <c r="B9893"/>
  <c r="E9893"/>
  <c r="B9894"/>
  <c r="E9894"/>
  <c r="B9895"/>
  <c r="E9895"/>
  <c r="B9896"/>
  <c r="E9896"/>
  <c r="B9897"/>
  <c r="E9897"/>
  <c r="B9898"/>
  <c r="E9898"/>
  <c r="B9899"/>
  <c r="E9899"/>
  <c r="B9900"/>
  <c r="E9900"/>
  <c r="B9901"/>
  <c r="E9901"/>
  <c r="B9902"/>
  <c r="E9902"/>
  <c r="B9903"/>
  <c r="E9903"/>
  <c r="B9904"/>
  <c r="E9904"/>
  <c r="B9905"/>
  <c r="E9905"/>
  <c r="B9906"/>
  <c r="E9906"/>
  <c r="B9907"/>
  <c r="E9907"/>
  <c r="B9908"/>
  <c r="E9908"/>
  <c r="B9909"/>
  <c r="E9909"/>
  <c r="B9910"/>
  <c r="E9910"/>
  <c r="B9911"/>
  <c r="E9911"/>
  <c r="B9912"/>
  <c r="E9912"/>
  <c r="B9913"/>
  <c r="E9913"/>
  <c r="B9914"/>
  <c r="E9914"/>
  <c r="B9915"/>
  <c r="E9915"/>
  <c r="B9916"/>
  <c r="E9916"/>
  <c r="B9917"/>
  <c r="E9917"/>
  <c r="B9918"/>
  <c r="E9918"/>
  <c r="B9919"/>
  <c r="E9919"/>
  <c r="B9920"/>
  <c r="E9920"/>
  <c r="B9921"/>
  <c r="E9921"/>
  <c r="B9922"/>
  <c r="E9922"/>
  <c r="B9923"/>
  <c r="E9923"/>
  <c r="B9924"/>
  <c r="E9924"/>
  <c r="B9925"/>
  <c r="E9925"/>
  <c r="B9926"/>
  <c r="E9926"/>
  <c r="B9927"/>
  <c r="E9927"/>
  <c r="B9928"/>
  <c r="E9928"/>
  <c r="B9929"/>
  <c r="E9929"/>
  <c r="B9930"/>
  <c r="E9930"/>
  <c r="B9931"/>
  <c r="E9931"/>
  <c r="B9932"/>
  <c r="E9932"/>
  <c r="B9933"/>
  <c r="E9933"/>
  <c r="B9934"/>
  <c r="E9934"/>
  <c r="B9935"/>
  <c r="E9935"/>
  <c r="B9936"/>
  <c r="E9936"/>
  <c r="B9937"/>
  <c r="E9937"/>
  <c r="B9938"/>
  <c r="E9938"/>
  <c r="B9939"/>
  <c r="E9939"/>
  <c r="B9940"/>
  <c r="E9940"/>
  <c r="B9941"/>
  <c r="E9941"/>
  <c r="B9942"/>
  <c r="E9942"/>
  <c r="B9943"/>
  <c r="E9943"/>
  <c r="B9944"/>
  <c r="E9944"/>
  <c r="B9945"/>
  <c r="E9945"/>
  <c r="B9946"/>
  <c r="E9946"/>
  <c r="B9947"/>
  <c r="E9947"/>
  <c r="B9948"/>
  <c r="E9948"/>
  <c r="B9949"/>
  <c r="E9949"/>
  <c r="B9950"/>
  <c r="E9950"/>
  <c r="B9951"/>
  <c r="E9951"/>
  <c r="B9952"/>
  <c r="E9952"/>
  <c r="B9953"/>
  <c r="E9953"/>
  <c r="B9954"/>
  <c r="E9954"/>
  <c r="B9955"/>
  <c r="E9955"/>
  <c r="B9956"/>
  <c r="E9956"/>
  <c r="B9957"/>
  <c r="E9957"/>
  <c r="B9958"/>
  <c r="E9958"/>
  <c r="B9959"/>
  <c r="E9959"/>
  <c r="B9960"/>
  <c r="E9960"/>
  <c r="B9961"/>
  <c r="E9961"/>
  <c r="B9962"/>
  <c r="E9962"/>
  <c r="B9963"/>
  <c r="E9963"/>
  <c r="B9964"/>
  <c r="E9964"/>
  <c r="B9965"/>
  <c r="E9965"/>
  <c r="B9966"/>
  <c r="E9966"/>
  <c r="B9967"/>
  <c r="E9967"/>
  <c r="B9968"/>
  <c r="E9968"/>
  <c r="B9969"/>
  <c r="E9969"/>
  <c r="B9970"/>
  <c r="E9970"/>
  <c r="B9971"/>
  <c r="E9971"/>
  <c r="B9972"/>
  <c r="E9972"/>
  <c r="B9973"/>
  <c r="E9973"/>
  <c r="B9974"/>
  <c r="E9974"/>
  <c r="B9975"/>
  <c r="E9975"/>
  <c r="B9976"/>
  <c r="E9976"/>
  <c r="B9977"/>
  <c r="E9977"/>
  <c r="B9978"/>
  <c r="E9978"/>
  <c r="B9979"/>
  <c r="E9979"/>
  <c r="B9980"/>
  <c r="E9980"/>
  <c r="B9981"/>
  <c r="E9981"/>
  <c r="B9982"/>
  <c r="E9982"/>
  <c r="B9983"/>
  <c r="E9983"/>
  <c r="B9984"/>
  <c r="E9984"/>
  <c r="B9985"/>
  <c r="E9985"/>
  <c r="B9986"/>
  <c r="E9986"/>
  <c r="B9987"/>
  <c r="E9987"/>
  <c r="B9988"/>
  <c r="E9988"/>
  <c r="B9989"/>
  <c r="E9989"/>
  <c r="B9990"/>
  <c r="E9990"/>
  <c r="B9991"/>
  <c r="E9991"/>
  <c r="B9992"/>
  <c r="E9992"/>
  <c r="B9993"/>
  <c r="E9993"/>
  <c r="B9994"/>
  <c r="E9994"/>
  <c r="B9995"/>
  <c r="E9995"/>
  <c r="B9996"/>
  <c r="E9996"/>
  <c r="B9997"/>
  <c r="E9997"/>
  <c r="B9998"/>
  <c r="E9998"/>
  <c r="B9999"/>
  <c r="E9999"/>
  <c r="B10000"/>
  <c r="E10000"/>
  <c r="B10001"/>
  <c r="E10001"/>
  <c r="B10002"/>
  <c r="E10002"/>
  <c r="B10003"/>
  <c r="E10003"/>
  <c r="B10004"/>
  <c r="E10004"/>
  <c r="B10005"/>
  <c r="E10005"/>
  <c r="B10006"/>
  <c r="E10006"/>
  <c r="B10007"/>
  <c r="E10007"/>
  <c r="B10008"/>
  <c r="E10008"/>
  <c r="B10009"/>
  <c r="E10009"/>
  <c r="B10010"/>
  <c r="E10010"/>
  <c r="B10011"/>
  <c r="E10011"/>
  <c r="B10012"/>
  <c r="E10012"/>
  <c r="B10013"/>
  <c r="E10013"/>
  <c r="B10014"/>
  <c r="E10014"/>
  <c r="B10015"/>
  <c r="E10015"/>
  <c r="B10016"/>
  <c r="E10016"/>
  <c r="B10017"/>
  <c r="E10017"/>
  <c r="B10018"/>
  <c r="E10018"/>
  <c r="B10019"/>
  <c r="E10019"/>
  <c r="B10020"/>
  <c r="E10020"/>
  <c r="B10021"/>
  <c r="E10021"/>
  <c r="B10022"/>
  <c r="E10022"/>
  <c r="B10023"/>
  <c r="E10023"/>
  <c r="B10024"/>
  <c r="E10024"/>
  <c r="B10025"/>
  <c r="E10025"/>
  <c r="B10026"/>
  <c r="E10026"/>
  <c r="B10027"/>
  <c r="E10027"/>
  <c r="B10028"/>
  <c r="E10028"/>
  <c r="B10029"/>
  <c r="E10029"/>
  <c r="B10030"/>
  <c r="E10030"/>
  <c r="B10031"/>
  <c r="E10031"/>
  <c r="B10032"/>
  <c r="E10032"/>
  <c r="B10033"/>
  <c r="E10033"/>
  <c r="B10034"/>
  <c r="E10034"/>
  <c r="B10035"/>
  <c r="E10035"/>
  <c r="B10036"/>
  <c r="E10036"/>
  <c r="B10037"/>
  <c r="E10037"/>
  <c r="B10038"/>
  <c r="E10038"/>
  <c r="B10039"/>
  <c r="E10039"/>
  <c r="B10040"/>
  <c r="E10040"/>
  <c r="B10041"/>
  <c r="E10041"/>
  <c r="B10042"/>
  <c r="E10042"/>
  <c r="B10043"/>
  <c r="E10043"/>
  <c r="B10044"/>
  <c r="E10044"/>
  <c r="B10045"/>
  <c r="E10045"/>
  <c r="B10046"/>
  <c r="E10046"/>
  <c r="B10047"/>
  <c r="E10047"/>
  <c r="B10048"/>
  <c r="E10048"/>
  <c r="B10049"/>
  <c r="E10049"/>
  <c r="B10050"/>
  <c r="E10050"/>
  <c r="B10051"/>
  <c r="E10051"/>
  <c r="B10052"/>
  <c r="E10052"/>
  <c r="B10053"/>
  <c r="E10053"/>
  <c r="B10054"/>
  <c r="E10054"/>
  <c r="B10055"/>
  <c r="E10055"/>
  <c r="B10056"/>
  <c r="E10056"/>
  <c r="B10057"/>
  <c r="E10057"/>
  <c r="B10058"/>
  <c r="E10058"/>
  <c r="B10059"/>
  <c r="E10059"/>
  <c r="B10060"/>
  <c r="E10060"/>
  <c r="B10061"/>
  <c r="E10061"/>
  <c r="B10062"/>
  <c r="E10062"/>
  <c r="B10063"/>
  <c r="E10063"/>
  <c r="B10064"/>
  <c r="E10064"/>
  <c r="B10065"/>
  <c r="E10065"/>
  <c r="B10066"/>
  <c r="E10066"/>
  <c r="B10067"/>
  <c r="E10067"/>
  <c r="B10068"/>
  <c r="E10068"/>
  <c r="B10069"/>
  <c r="E10069"/>
  <c r="B10070"/>
  <c r="E10070"/>
  <c r="B10071"/>
  <c r="E10071"/>
  <c r="B10072"/>
  <c r="E10072"/>
  <c r="B10073"/>
  <c r="E10073"/>
  <c r="B10074"/>
  <c r="E10074"/>
  <c r="B10075"/>
  <c r="E10075"/>
  <c r="B10076"/>
  <c r="E10076"/>
  <c r="B10077"/>
  <c r="E10077"/>
  <c r="B10078"/>
  <c r="E10078"/>
  <c r="B10079"/>
  <c r="E10079"/>
  <c r="B10080"/>
  <c r="E10080"/>
  <c r="B10081"/>
  <c r="E10081"/>
  <c r="B10082"/>
  <c r="E10082"/>
  <c r="B10083"/>
  <c r="E10083"/>
  <c r="B10084"/>
  <c r="E10084"/>
  <c r="B10085"/>
  <c r="E10085"/>
  <c r="B10086"/>
  <c r="E10086"/>
  <c r="B10087"/>
  <c r="E10087"/>
  <c r="B10088"/>
  <c r="E10088"/>
  <c r="B10089"/>
  <c r="E10089"/>
  <c r="B10090"/>
  <c r="E10090"/>
  <c r="B10091"/>
  <c r="E10091"/>
  <c r="B10092"/>
  <c r="E10092"/>
  <c r="B10093"/>
  <c r="E10093"/>
  <c r="B10094"/>
  <c r="E10094"/>
  <c r="B10095"/>
  <c r="E10095"/>
  <c r="B10096"/>
  <c r="E10096"/>
  <c r="B10097"/>
  <c r="E10097"/>
  <c r="B10098"/>
  <c r="E10098"/>
  <c r="B10099"/>
  <c r="E10099"/>
  <c r="B10100"/>
  <c r="E10100"/>
  <c r="B10101"/>
  <c r="E10101"/>
  <c r="B10102"/>
  <c r="E10102"/>
  <c r="B10103"/>
  <c r="E10103"/>
  <c r="B10104"/>
  <c r="E10104"/>
  <c r="B10105"/>
  <c r="E10105"/>
  <c r="B10106"/>
  <c r="E10106"/>
  <c r="B10107"/>
  <c r="E10107"/>
  <c r="B10108"/>
  <c r="E10108"/>
  <c r="B10109"/>
  <c r="E10109"/>
  <c r="B10110"/>
  <c r="E10110"/>
  <c r="B10111"/>
  <c r="E10111"/>
  <c r="B10112"/>
  <c r="E10112"/>
  <c r="B10113"/>
  <c r="E10113"/>
  <c r="B10114"/>
  <c r="E10114"/>
  <c r="B10115"/>
  <c r="E10115"/>
  <c r="B10116"/>
  <c r="E10116"/>
  <c r="B10117"/>
  <c r="E10117"/>
  <c r="B10118"/>
  <c r="E10118"/>
  <c r="B10119"/>
  <c r="E10119"/>
  <c r="B10120"/>
  <c r="E10120"/>
  <c r="B10121"/>
  <c r="E10121"/>
  <c r="B10122"/>
  <c r="E10122"/>
  <c r="B10123"/>
  <c r="E10123"/>
  <c r="B10124"/>
  <c r="E10124"/>
  <c r="B10125"/>
  <c r="E10125"/>
  <c r="B10126"/>
  <c r="E10126"/>
  <c r="B10127"/>
  <c r="E10127"/>
  <c r="B10128"/>
  <c r="E10128"/>
  <c r="B10129"/>
  <c r="E10129"/>
  <c r="B10130"/>
  <c r="E10130"/>
  <c r="B10131"/>
  <c r="E10131"/>
  <c r="B10132"/>
  <c r="E10132"/>
  <c r="B10133"/>
  <c r="E10133"/>
  <c r="B10134"/>
  <c r="E10134"/>
  <c r="B10135"/>
  <c r="E10135"/>
  <c r="B10136"/>
  <c r="E10136"/>
  <c r="B10137"/>
  <c r="E10137"/>
  <c r="B10138"/>
  <c r="E10138"/>
  <c r="B10139"/>
  <c r="E10139"/>
  <c r="B10140"/>
  <c r="E10140"/>
  <c r="B10141"/>
  <c r="E10141"/>
  <c r="B10142"/>
  <c r="E10142"/>
  <c r="B10143"/>
  <c r="E10143"/>
  <c r="B10144"/>
  <c r="E10144"/>
  <c r="B10145"/>
  <c r="E10145"/>
  <c r="B10146"/>
  <c r="E10146"/>
  <c r="B10147"/>
  <c r="E10147"/>
  <c r="B10148"/>
  <c r="E10148"/>
  <c r="B10149"/>
  <c r="E10149"/>
  <c r="B10150"/>
  <c r="E10150"/>
  <c r="B10151"/>
  <c r="E10151"/>
  <c r="B10152"/>
  <c r="E10152"/>
  <c r="B10153"/>
  <c r="E10153"/>
  <c r="B10154"/>
  <c r="E10154"/>
  <c r="B10155"/>
  <c r="E10155"/>
  <c r="B10156"/>
  <c r="E10156"/>
  <c r="B10157"/>
  <c r="E10157"/>
  <c r="B10158"/>
  <c r="E10158"/>
  <c r="B10159"/>
  <c r="E10159"/>
  <c r="B10160"/>
  <c r="E10160"/>
  <c r="B10161"/>
  <c r="E10161"/>
  <c r="B10162"/>
  <c r="E10162"/>
  <c r="B10163"/>
  <c r="E10163"/>
  <c r="B10164"/>
  <c r="E10164"/>
  <c r="B10165"/>
  <c r="E10165"/>
  <c r="B10166"/>
  <c r="E10166"/>
  <c r="B10167"/>
  <c r="E10167"/>
  <c r="B10168"/>
  <c r="E10168"/>
  <c r="B10169"/>
  <c r="E10169"/>
  <c r="B10170"/>
  <c r="E10170"/>
  <c r="B10171"/>
  <c r="E10171"/>
  <c r="B10172"/>
  <c r="E10172"/>
  <c r="B10173"/>
  <c r="E10173"/>
  <c r="B10174"/>
  <c r="E10174"/>
  <c r="B10175"/>
  <c r="E10175"/>
  <c r="B10176"/>
  <c r="E10176"/>
  <c r="B10177"/>
  <c r="E10177"/>
  <c r="B10178"/>
  <c r="E10178"/>
  <c r="B10179"/>
  <c r="E10179"/>
  <c r="B10180"/>
  <c r="E10180"/>
  <c r="B10181"/>
  <c r="E10181"/>
  <c r="B10182"/>
  <c r="E10182"/>
  <c r="B10183"/>
  <c r="E10183"/>
  <c r="B10184"/>
  <c r="E10184"/>
  <c r="B10185"/>
  <c r="E10185"/>
  <c r="B10186"/>
  <c r="E10186"/>
  <c r="B10187"/>
  <c r="E10187"/>
  <c r="B10188"/>
  <c r="E10188"/>
  <c r="B10189"/>
  <c r="E10189"/>
  <c r="B10190"/>
  <c r="E10190"/>
  <c r="B10191"/>
  <c r="E10191"/>
  <c r="B10192"/>
  <c r="E10192"/>
  <c r="B10193"/>
  <c r="E10193"/>
  <c r="B10194"/>
  <c r="E10194"/>
  <c r="B10195"/>
  <c r="E10195"/>
  <c r="B10196"/>
  <c r="E10196"/>
  <c r="B10197"/>
  <c r="E10197"/>
  <c r="B10198"/>
  <c r="E10198"/>
  <c r="B10199"/>
  <c r="E10199"/>
  <c r="B10200"/>
  <c r="E10200"/>
  <c r="B10201"/>
  <c r="E10201"/>
  <c r="B10202"/>
  <c r="E10202"/>
  <c r="B10203"/>
  <c r="E10203"/>
  <c r="B10204"/>
  <c r="E10204"/>
  <c r="B10205"/>
  <c r="E10205"/>
  <c r="B10206"/>
  <c r="E10206"/>
  <c r="B10207"/>
  <c r="E10207"/>
  <c r="B10208"/>
  <c r="E10208"/>
  <c r="B10209"/>
  <c r="E10209"/>
  <c r="B10210"/>
  <c r="E10210"/>
  <c r="B10211"/>
  <c r="E10211"/>
  <c r="B10212"/>
  <c r="E10212"/>
  <c r="B10213"/>
  <c r="E10213"/>
  <c r="B10214"/>
  <c r="E10214"/>
  <c r="B10215"/>
  <c r="E10215"/>
  <c r="B10216"/>
  <c r="E10216"/>
  <c r="B10217"/>
  <c r="E10217"/>
  <c r="B10218"/>
  <c r="E10218"/>
  <c r="B10219"/>
  <c r="E10219"/>
  <c r="B10220"/>
  <c r="E10220"/>
  <c r="B10221"/>
  <c r="E10221"/>
  <c r="B10222"/>
  <c r="E10222"/>
  <c r="B10223"/>
  <c r="E10223"/>
  <c r="B10224"/>
  <c r="E10224"/>
  <c r="B10225"/>
  <c r="E10225"/>
  <c r="B10226"/>
  <c r="E10226"/>
  <c r="B10227"/>
  <c r="E10227"/>
  <c r="B10228"/>
  <c r="E10228"/>
  <c r="B10229"/>
  <c r="E10229"/>
  <c r="B10230"/>
  <c r="E10230"/>
  <c r="B10231"/>
  <c r="E10231"/>
  <c r="B10232"/>
  <c r="E10232"/>
  <c r="B10233"/>
  <c r="E10233"/>
  <c r="B10234"/>
  <c r="E10234"/>
  <c r="B10235"/>
  <c r="E10235"/>
  <c r="B10236"/>
  <c r="E10236"/>
  <c r="B10237"/>
  <c r="E10237"/>
  <c r="B10238"/>
  <c r="E10238"/>
  <c r="B10239"/>
  <c r="E10239"/>
  <c r="B10240"/>
  <c r="E10240"/>
  <c r="B10241"/>
  <c r="E10241"/>
  <c r="B10242"/>
  <c r="E10242"/>
  <c r="B10243"/>
  <c r="E10243"/>
  <c r="B10244"/>
  <c r="E10244"/>
  <c r="B10245"/>
  <c r="E10245"/>
  <c r="B10246"/>
  <c r="E10246"/>
  <c r="B10247"/>
  <c r="E10247"/>
  <c r="B10248"/>
  <c r="E10248"/>
  <c r="B10249"/>
  <c r="E10249"/>
  <c r="B10250"/>
  <c r="E10250"/>
  <c r="B10251"/>
  <c r="E10251"/>
  <c r="B10252"/>
  <c r="E10252"/>
  <c r="B10253"/>
  <c r="E10253"/>
  <c r="B10254"/>
  <c r="E10254"/>
  <c r="B10255"/>
  <c r="E10255"/>
  <c r="B10256"/>
  <c r="E10256"/>
  <c r="B10257"/>
  <c r="E10257"/>
  <c r="B10258"/>
  <c r="E10258"/>
  <c r="B10259"/>
  <c r="E10259"/>
  <c r="B10260"/>
  <c r="E10260"/>
  <c r="B10261"/>
  <c r="E10261"/>
  <c r="B10262"/>
  <c r="E10262"/>
  <c r="B10263"/>
  <c r="E10263"/>
  <c r="B10264"/>
  <c r="E10264"/>
  <c r="B10265"/>
  <c r="E10265"/>
  <c r="B10266"/>
  <c r="E10266"/>
  <c r="B10267"/>
  <c r="E10267"/>
  <c r="B10268"/>
  <c r="E10268"/>
  <c r="B10269"/>
  <c r="E10269"/>
  <c r="B10270"/>
  <c r="E10270"/>
  <c r="B10271"/>
  <c r="E10271"/>
  <c r="B10272"/>
  <c r="E10272"/>
  <c r="B10273"/>
  <c r="E10273"/>
  <c r="B10274"/>
  <c r="E10274"/>
  <c r="B10275"/>
  <c r="E10275"/>
  <c r="B10276"/>
  <c r="E10276"/>
  <c r="B10277"/>
  <c r="E10277"/>
  <c r="B10278"/>
  <c r="E10278"/>
  <c r="B10279"/>
  <c r="E10279"/>
  <c r="B10280"/>
  <c r="E10280"/>
  <c r="B10281"/>
  <c r="E10281"/>
  <c r="B10282"/>
  <c r="E10282"/>
  <c r="B10283"/>
  <c r="E10283"/>
  <c r="B10284"/>
  <c r="E10284"/>
  <c r="B10285"/>
  <c r="E10285"/>
  <c r="B10286"/>
  <c r="E10286"/>
  <c r="B10287"/>
  <c r="E10287"/>
  <c r="B10288"/>
  <c r="E10288"/>
  <c r="B10289"/>
  <c r="E10289"/>
  <c r="B10290"/>
  <c r="E10290"/>
  <c r="B10291"/>
  <c r="E10291"/>
  <c r="B10292"/>
  <c r="E10292"/>
  <c r="B10293"/>
  <c r="E10293"/>
  <c r="B10294"/>
  <c r="E10294"/>
  <c r="B10295"/>
  <c r="E10295"/>
  <c r="B10296"/>
  <c r="E10296"/>
  <c r="B10297"/>
  <c r="E10297"/>
  <c r="B10298"/>
  <c r="E10298"/>
  <c r="B10299"/>
  <c r="E10299"/>
  <c r="B10300"/>
  <c r="E10300"/>
  <c r="B10301"/>
  <c r="E10301"/>
  <c r="B10302"/>
  <c r="E10302"/>
  <c r="B10303"/>
  <c r="E10303"/>
  <c r="B10304"/>
  <c r="E10304"/>
  <c r="B10305"/>
  <c r="E10305"/>
  <c r="B10306"/>
  <c r="E10306"/>
  <c r="B10307"/>
  <c r="E10307"/>
  <c r="B10308"/>
  <c r="E10308"/>
  <c r="B10309"/>
  <c r="E10309"/>
  <c r="B10310"/>
  <c r="E10310"/>
  <c r="B10311"/>
  <c r="E10311"/>
  <c r="B10312"/>
  <c r="E10312"/>
  <c r="B10313"/>
  <c r="E10313"/>
  <c r="B10314"/>
  <c r="E10314"/>
  <c r="B10315"/>
  <c r="E10315"/>
  <c r="B10316"/>
  <c r="E10316"/>
  <c r="B10317"/>
  <c r="E10317"/>
  <c r="B10318"/>
  <c r="E10318"/>
  <c r="B10319"/>
  <c r="E10319"/>
  <c r="B10320"/>
  <c r="E10320"/>
  <c r="B10321"/>
  <c r="E10321"/>
  <c r="B10322"/>
  <c r="E10322"/>
  <c r="B10323"/>
  <c r="E10323"/>
  <c r="B10324"/>
  <c r="E10324"/>
  <c r="B10325"/>
  <c r="E10325"/>
  <c r="B10326"/>
  <c r="E10326"/>
  <c r="B10327"/>
  <c r="E10327"/>
  <c r="B10328"/>
  <c r="E10328"/>
  <c r="B10329"/>
  <c r="E10329"/>
  <c r="B10330"/>
  <c r="E10330"/>
  <c r="B10331"/>
  <c r="E10331"/>
  <c r="B10332"/>
  <c r="E10332"/>
  <c r="B10333"/>
  <c r="E10333"/>
  <c r="B10334"/>
  <c r="E10334"/>
  <c r="B10335"/>
  <c r="E10335"/>
  <c r="B10336"/>
  <c r="E10336"/>
  <c r="B10337"/>
  <c r="E10337"/>
  <c r="B10338"/>
  <c r="E10338"/>
  <c r="B10339"/>
  <c r="E10339"/>
  <c r="B10340"/>
  <c r="E10340"/>
  <c r="B10341"/>
  <c r="E10341"/>
  <c r="B10342"/>
  <c r="E10342"/>
  <c r="B10343"/>
  <c r="E10343"/>
  <c r="B10344"/>
  <c r="E10344"/>
  <c r="B10345"/>
  <c r="E10345"/>
  <c r="B10346"/>
  <c r="E10346"/>
  <c r="B10347"/>
  <c r="E10347"/>
  <c r="B10348"/>
  <c r="E10348"/>
  <c r="B10349"/>
  <c r="E10349"/>
  <c r="B10350"/>
  <c r="E10350"/>
  <c r="B10351"/>
  <c r="E10351"/>
  <c r="B10352"/>
  <c r="E10352"/>
  <c r="B10353"/>
  <c r="E10353"/>
  <c r="B10354"/>
  <c r="E10354"/>
  <c r="B10355"/>
  <c r="E10355"/>
  <c r="B10356"/>
  <c r="E10356"/>
  <c r="B10357"/>
  <c r="E10357"/>
  <c r="B10358"/>
  <c r="E10358"/>
  <c r="B10359"/>
  <c r="E10359"/>
  <c r="B10360"/>
  <c r="E10360"/>
  <c r="B10361"/>
  <c r="E10361"/>
  <c r="B10362"/>
  <c r="E10362"/>
  <c r="B10363"/>
  <c r="E10363"/>
  <c r="B10364"/>
  <c r="E10364"/>
  <c r="B10365"/>
  <c r="E10365"/>
  <c r="B10366"/>
  <c r="E10366"/>
  <c r="B10367"/>
  <c r="E10367"/>
  <c r="B10368"/>
  <c r="E10368"/>
  <c r="B10369"/>
  <c r="E10369"/>
  <c r="B10370"/>
  <c r="E10370"/>
  <c r="B10371"/>
  <c r="E10371"/>
  <c r="B10372"/>
  <c r="E10372"/>
  <c r="B10373"/>
  <c r="E10373"/>
  <c r="B10374"/>
  <c r="E10374"/>
  <c r="B10375"/>
  <c r="E10375"/>
  <c r="B10376"/>
  <c r="E10376"/>
  <c r="B10377"/>
  <c r="E10377"/>
  <c r="B10378"/>
  <c r="E10378"/>
  <c r="B10379"/>
  <c r="E10379"/>
  <c r="B10380"/>
  <c r="E10380"/>
  <c r="B10381"/>
  <c r="E10381"/>
  <c r="B10382"/>
  <c r="E10382"/>
  <c r="B10383"/>
  <c r="E10383"/>
  <c r="B10384"/>
  <c r="E10384"/>
  <c r="B10385"/>
  <c r="E10385"/>
  <c r="B10386"/>
  <c r="E10386"/>
  <c r="B10387"/>
  <c r="E10387"/>
  <c r="B10388"/>
  <c r="E10388"/>
  <c r="B10389"/>
  <c r="E10389"/>
  <c r="B10390"/>
  <c r="E10390"/>
  <c r="B10391"/>
  <c r="E10391"/>
  <c r="B10392"/>
  <c r="E10392"/>
  <c r="B10393"/>
  <c r="E10393"/>
  <c r="B10394"/>
  <c r="E10394"/>
  <c r="B10395"/>
  <c r="E10395"/>
  <c r="B10396"/>
  <c r="E10396"/>
  <c r="B10397"/>
  <c r="E10397"/>
  <c r="B10398"/>
  <c r="E10398"/>
  <c r="B10399"/>
  <c r="E10399"/>
  <c r="B10400"/>
  <c r="E10400"/>
  <c r="B10401"/>
  <c r="E10401"/>
  <c r="B10402"/>
  <c r="E10402"/>
  <c r="B10403"/>
  <c r="E10403"/>
  <c r="B10404"/>
  <c r="E10404"/>
  <c r="B10405"/>
  <c r="E10405"/>
  <c r="B10406"/>
  <c r="E10406"/>
  <c r="B10407"/>
  <c r="E10407"/>
  <c r="B10408"/>
  <c r="E10408"/>
  <c r="B10409"/>
  <c r="E10409"/>
  <c r="B10410"/>
  <c r="E10410"/>
  <c r="B10411"/>
  <c r="E10411"/>
  <c r="B10412"/>
  <c r="E10412"/>
  <c r="B10413"/>
  <c r="E10413"/>
  <c r="B10414"/>
  <c r="E10414"/>
  <c r="B10415"/>
  <c r="E10415"/>
  <c r="B10416"/>
  <c r="E10416"/>
  <c r="B10417"/>
  <c r="E10417"/>
  <c r="B10418"/>
  <c r="E10418"/>
  <c r="B10419"/>
  <c r="E10419"/>
  <c r="B10420"/>
  <c r="E10420"/>
  <c r="B10421"/>
  <c r="E10421"/>
  <c r="B10422"/>
  <c r="E10422"/>
  <c r="B10423"/>
  <c r="E10423"/>
  <c r="B10424"/>
  <c r="E10424"/>
  <c r="B10425"/>
  <c r="E10425"/>
  <c r="B10426"/>
  <c r="E10426"/>
  <c r="B10427"/>
  <c r="E10427"/>
  <c r="B10428"/>
  <c r="E10428"/>
  <c r="B10429"/>
  <c r="E10429"/>
  <c r="B10430"/>
  <c r="E10430"/>
  <c r="B10431"/>
  <c r="E10431"/>
  <c r="B10432"/>
  <c r="E10432"/>
  <c r="B10433"/>
  <c r="E10433"/>
  <c r="B10434"/>
  <c r="E10434"/>
  <c r="B10435"/>
  <c r="E10435"/>
  <c r="B10436"/>
  <c r="E10436"/>
  <c r="B10437"/>
  <c r="E10437"/>
  <c r="B10438"/>
  <c r="E10438"/>
  <c r="B10439"/>
  <c r="E10439"/>
  <c r="B10440"/>
  <c r="E10440"/>
  <c r="B10441"/>
  <c r="E10441"/>
  <c r="B10442"/>
  <c r="E10442"/>
  <c r="B10443"/>
  <c r="E10443"/>
  <c r="B10444"/>
  <c r="E10444"/>
  <c r="B10445"/>
  <c r="E10445"/>
  <c r="B10446"/>
  <c r="E10446"/>
  <c r="B10447"/>
  <c r="E10447"/>
  <c r="B10448"/>
  <c r="E10448"/>
  <c r="B10449"/>
  <c r="E10449"/>
  <c r="B10450"/>
  <c r="E10450"/>
  <c r="B10451"/>
  <c r="E10451"/>
  <c r="B10452"/>
  <c r="E10452"/>
  <c r="B10453"/>
  <c r="E10453"/>
  <c r="B10454"/>
  <c r="E10454"/>
  <c r="B10455"/>
  <c r="E10455"/>
  <c r="B10456"/>
  <c r="E10456"/>
  <c r="B10457"/>
  <c r="E10457"/>
  <c r="B10458"/>
  <c r="E10458"/>
  <c r="B10459"/>
  <c r="E10459"/>
  <c r="B10460"/>
  <c r="E10460"/>
  <c r="B10461"/>
  <c r="E10461"/>
  <c r="B10462"/>
  <c r="E10462"/>
  <c r="B10463"/>
  <c r="E10463"/>
  <c r="B10464"/>
  <c r="E10464"/>
  <c r="B10465"/>
  <c r="E10465"/>
  <c r="B10466"/>
  <c r="E10466"/>
  <c r="B10467"/>
  <c r="E10467"/>
  <c r="B10468"/>
  <c r="E10468"/>
  <c r="B10469"/>
  <c r="E10469"/>
  <c r="B10470"/>
  <c r="E10470"/>
  <c r="B10471"/>
  <c r="E10471"/>
  <c r="B10472"/>
  <c r="E10472"/>
  <c r="B10473"/>
  <c r="E10473"/>
  <c r="B10474"/>
  <c r="E10474"/>
  <c r="B10475"/>
  <c r="E10475"/>
  <c r="B10476"/>
  <c r="E10476"/>
  <c r="B10477"/>
  <c r="E10477"/>
  <c r="B10478"/>
  <c r="E10478"/>
  <c r="B10479"/>
  <c r="E10479"/>
  <c r="B10480"/>
  <c r="E10480"/>
  <c r="B10481"/>
  <c r="E10481"/>
  <c r="B10482"/>
  <c r="E10482"/>
  <c r="B10483"/>
  <c r="E10483"/>
  <c r="B10484"/>
  <c r="E10484"/>
  <c r="B10485"/>
  <c r="E10485"/>
  <c r="B10486"/>
  <c r="E10486"/>
  <c r="B10487"/>
  <c r="E10487"/>
  <c r="B10488"/>
  <c r="E10488"/>
  <c r="B10489"/>
  <c r="E10489"/>
  <c r="B10490"/>
  <c r="E10490"/>
  <c r="B10491"/>
  <c r="E10491"/>
  <c r="B10492"/>
  <c r="E10492"/>
  <c r="B10493"/>
  <c r="E10493"/>
  <c r="B10494"/>
  <c r="E10494"/>
  <c r="B10495"/>
  <c r="E10495"/>
  <c r="B10496"/>
  <c r="E10496"/>
  <c r="B10497"/>
  <c r="E10497"/>
  <c r="B10498"/>
  <c r="E10498"/>
  <c r="B10499"/>
  <c r="E10499"/>
  <c r="B10500"/>
  <c r="E10500"/>
  <c r="B10501"/>
  <c r="E10501"/>
  <c r="B10502"/>
  <c r="E10502"/>
  <c r="B10503"/>
  <c r="E10503"/>
  <c r="B10504"/>
  <c r="E10504"/>
  <c r="B10505"/>
  <c r="E10505"/>
  <c r="B10506"/>
  <c r="E10506"/>
  <c r="B10507"/>
  <c r="E10507"/>
  <c r="B10508"/>
  <c r="E10508"/>
  <c r="B10509"/>
  <c r="E10509"/>
  <c r="B10510"/>
  <c r="E10510"/>
  <c r="B10511"/>
  <c r="E10511"/>
  <c r="B10512"/>
  <c r="E10512"/>
  <c r="B10513"/>
  <c r="E10513"/>
  <c r="B10514"/>
  <c r="E10514"/>
  <c r="B10515"/>
  <c r="E10515"/>
  <c r="B10516"/>
  <c r="E10516"/>
  <c r="B10517"/>
  <c r="E10517"/>
  <c r="B10518"/>
  <c r="E10518"/>
  <c r="B10519"/>
  <c r="E10519"/>
  <c r="B10520"/>
  <c r="E10520"/>
  <c r="B10521"/>
  <c r="E10521"/>
  <c r="B10522"/>
  <c r="E10522"/>
  <c r="B10523"/>
  <c r="E10523"/>
  <c r="B10524"/>
  <c r="E10524"/>
  <c r="B10525"/>
  <c r="E10525"/>
  <c r="B10526"/>
  <c r="E10526"/>
  <c r="B10527"/>
  <c r="E10527"/>
  <c r="B10528"/>
  <c r="E10528"/>
  <c r="B10529"/>
  <c r="E10529"/>
  <c r="B10530"/>
  <c r="E10530"/>
  <c r="B10531"/>
  <c r="E10531"/>
  <c r="B10532"/>
  <c r="E10532"/>
  <c r="B10533"/>
  <c r="E10533"/>
  <c r="B10534"/>
  <c r="E10534"/>
  <c r="B10535"/>
  <c r="E10535"/>
  <c r="B10536"/>
  <c r="E10536"/>
  <c r="B10537"/>
  <c r="E10537"/>
  <c r="B10538"/>
  <c r="E10538"/>
  <c r="B10539"/>
  <c r="E10539"/>
  <c r="B10540"/>
  <c r="E10540"/>
  <c r="B10541"/>
  <c r="E10541"/>
  <c r="B10542"/>
  <c r="E10542"/>
  <c r="B10543"/>
  <c r="E10543"/>
  <c r="B10544"/>
  <c r="E10544"/>
  <c r="B10545"/>
  <c r="E10545"/>
  <c r="B10546"/>
  <c r="E10546"/>
  <c r="B10547"/>
  <c r="E10547"/>
  <c r="B10548"/>
  <c r="E10548"/>
  <c r="B10549"/>
  <c r="E10549"/>
  <c r="B10550"/>
  <c r="E10550"/>
  <c r="B10551"/>
  <c r="E10551"/>
  <c r="B10552"/>
  <c r="E10552"/>
  <c r="B10553"/>
  <c r="E10553"/>
  <c r="B10554"/>
  <c r="E10554"/>
  <c r="B10555"/>
  <c r="E10555"/>
  <c r="B10556"/>
  <c r="E10556"/>
  <c r="B10557"/>
  <c r="E10557"/>
  <c r="B10558"/>
  <c r="E10558"/>
  <c r="B10559"/>
  <c r="E10559"/>
  <c r="B10560"/>
  <c r="E10560"/>
  <c r="B10561"/>
  <c r="E10561"/>
  <c r="B10562"/>
  <c r="E10562"/>
  <c r="B10563"/>
  <c r="E10563"/>
  <c r="B10564"/>
  <c r="E10564"/>
  <c r="B10565"/>
  <c r="E10565"/>
  <c r="B10566"/>
  <c r="E10566"/>
  <c r="B10567"/>
  <c r="E10567"/>
  <c r="B10568"/>
  <c r="E10568"/>
  <c r="B10569"/>
  <c r="E10569"/>
  <c r="B10570"/>
  <c r="E10570"/>
  <c r="B10571"/>
  <c r="E10571"/>
  <c r="B10572"/>
  <c r="E10572"/>
  <c r="B10573"/>
  <c r="E10573"/>
  <c r="B10574"/>
  <c r="E10574"/>
  <c r="B10575"/>
  <c r="E10575"/>
  <c r="B10576"/>
  <c r="E10576"/>
  <c r="B10577"/>
  <c r="E10577"/>
  <c r="B10578"/>
  <c r="E10578"/>
  <c r="B10579"/>
  <c r="E10579"/>
  <c r="B10580"/>
  <c r="E10580"/>
  <c r="B10581"/>
  <c r="E10581"/>
  <c r="B10582"/>
  <c r="E10582"/>
  <c r="B10583"/>
  <c r="E10583"/>
  <c r="B10584"/>
  <c r="E10584"/>
  <c r="B10585"/>
  <c r="E10585"/>
  <c r="B10586"/>
  <c r="E10586"/>
  <c r="B10587"/>
  <c r="E10587"/>
  <c r="B10588"/>
  <c r="E10588"/>
  <c r="B10589"/>
  <c r="E10589"/>
  <c r="B10590"/>
  <c r="E10590"/>
  <c r="B10591"/>
  <c r="E10591"/>
  <c r="B10592"/>
  <c r="E10592"/>
  <c r="B10593"/>
  <c r="E10593"/>
  <c r="B10594"/>
  <c r="E10594"/>
  <c r="B10595"/>
  <c r="E10595"/>
  <c r="B10596"/>
  <c r="E10596"/>
  <c r="B10597"/>
  <c r="E10597"/>
  <c r="B10598"/>
  <c r="E10598"/>
  <c r="B10599"/>
  <c r="E10599"/>
  <c r="B10600"/>
  <c r="E10600"/>
  <c r="B10601"/>
  <c r="E10601"/>
  <c r="B10602"/>
  <c r="E10602"/>
  <c r="B10603"/>
  <c r="E10603"/>
  <c r="B10604"/>
  <c r="E10604"/>
  <c r="B10605"/>
  <c r="E10605"/>
  <c r="B10606"/>
  <c r="E10606"/>
  <c r="B10607"/>
  <c r="E10607"/>
  <c r="B10608"/>
  <c r="E10608"/>
  <c r="B10609"/>
  <c r="E10609"/>
  <c r="B10610"/>
  <c r="E10610"/>
  <c r="B10611"/>
  <c r="E10611"/>
  <c r="B10612"/>
  <c r="E10612"/>
  <c r="B10613"/>
  <c r="E10613"/>
  <c r="B10614"/>
  <c r="E10614"/>
  <c r="B10615"/>
  <c r="E10615"/>
  <c r="B10616"/>
  <c r="E10616"/>
  <c r="B10617"/>
  <c r="E10617"/>
  <c r="B10618"/>
  <c r="E10618"/>
  <c r="B10619"/>
  <c r="E10619"/>
  <c r="B10620"/>
  <c r="E10620"/>
  <c r="B10621"/>
  <c r="E10621"/>
  <c r="B10622"/>
  <c r="E10622"/>
  <c r="B10623"/>
  <c r="E10623"/>
  <c r="B10624"/>
  <c r="E10624"/>
  <c r="B10625"/>
  <c r="E10625"/>
  <c r="B10626"/>
  <c r="E10626"/>
  <c r="B10627"/>
  <c r="E10627"/>
  <c r="B10628"/>
  <c r="E10628"/>
  <c r="B10629"/>
  <c r="E10629"/>
  <c r="B10630"/>
  <c r="E10630"/>
  <c r="B10631"/>
  <c r="E10631"/>
  <c r="B10632"/>
  <c r="E10632"/>
  <c r="B10633"/>
  <c r="E10633"/>
  <c r="B10634"/>
  <c r="E10634"/>
  <c r="B10635"/>
  <c r="E10635"/>
  <c r="B10636"/>
  <c r="E10636"/>
  <c r="B10637"/>
  <c r="E10637"/>
  <c r="B10638"/>
  <c r="E10638"/>
  <c r="B10639"/>
  <c r="E10639"/>
  <c r="B10640"/>
  <c r="E10640"/>
  <c r="B10641"/>
  <c r="E10641"/>
  <c r="B10642"/>
  <c r="E10642"/>
  <c r="B10643"/>
  <c r="E10643"/>
  <c r="B10644"/>
  <c r="E10644"/>
  <c r="B10645"/>
  <c r="E10645"/>
  <c r="B10646"/>
  <c r="E10646"/>
  <c r="B10647"/>
  <c r="E10647"/>
  <c r="B10648"/>
  <c r="E10648"/>
  <c r="B10649"/>
  <c r="E10649"/>
  <c r="B10650"/>
  <c r="E10650"/>
  <c r="B10651"/>
  <c r="E10651"/>
  <c r="B10652"/>
  <c r="E10652"/>
  <c r="B10653"/>
  <c r="E10653"/>
  <c r="B10654"/>
  <c r="E10654"/>
  <c r="B10655"/>
  <c r="E10655"/>
  <c r="B10656"/>
  <c r="E10656"/>
  <c r="B10657"/>
  <c r="E10657"/>
  <c r="B10658"/>
  <c r="E10658"/>
  <c r="B10659"/>
  <c r="E10659"/>
  <c r="B10660"/>
  <c r="E10660"/>
  <c r="B10661"/>
  <c r="E10661"/>
  <c r="B10662"/>
  <c r="E10662"/>
  <c r="B10663"/>
  <c r="E10663"/>
  <c r="B10664"/>
  <c r="E10664"/>
  <c r="B10665"/>
  <c r="E10665"/>
  <c r="B10666"/>
  <c r="E10666"/>
  <c r="B10667"/>
  <c r="E10667"/>
  <c r="B10668"/>
  <c r="E10668"/>
  <c r="B10669"/>
  <c r="E10669"/>
  <c r="B10670"/>
  <c r="E10670"/>
  <c r="B10671"/>
  <c r="E10671"/>
  <c r="B10672"/>
  <c r="E10672"/>
  <c r="B10673"/>
  <c r="E10673"/>
  <c r="B10674"/>
  <c r="E10674"/>
  <c r="B10675"/>
  <c r="E10675"/>
  <c r="B10676"/>
  <c r="E10676"/>
  <c r="B10677"/>
  <c r="E10677"/>
  <c r="B10678"/>
  <c r="E10678"/>
  <c r="B10679"/>
  <c r="E10679"/>
  <c r="B10680"/>
  <c r="E10680"/>
  <c r="B10681"/>
  <c r="E10681"/>
  <c r="B10682"/>
  <c r="E10682"/>
  <c r="B10683"/>
  <c r="E10683"/>
  <c r="B10684"/>
  <c r="E10684"/>
  <c r="B10685"/>
  <c r="E10685"/>
  <c r="B10686"/>
  <c r="E10686"/>
  <c r="B10687"/>
  <c r="E10687"/>
  <c r="B10688"/>
  <c r="E10688"/>
  <c r="B10689"/>
  <c r="E10689"/>
  <c r="B10690"/>
  <c r="E10690"/>
  <c r="B10691"/>
  <c r="E10691"/>
  <c r="B10692"/>
  <c r="E10692"/>
  <c r="B10693"/>
  <c r="E10693"/>
  <c r="B10694"/>
  <c r="E10694"/>
  <c r="B10695"/>
  <c r="E10695"/>
  <c r="B10696"/>
  <c r="E10696"/>
  <c r="B10697"/>
  <c r="E10697"/>
  <c r="B10698"/>
  <c r="E10698"/>
  <c r="B10699"/>
  <c r="E10699"/>
  <c r="B10700"/>
  <c r="E10700"/>
  <c r="B10701"/>
  <c r="E10701"/>
  <c r="B10702"/>
  <c r="E10702"/>
  <c r="B10703"/>
  <c r="E10703"/>
  <c r="B10704"/>
  <c r="E10704"/>
  <c r="B10705"/>
  <c r="E10705"/>
  <c r="B10706"/>
  <c r="E10706"/>
  <c r="B10707"/>
  <c r="E10707"/>
  <c r="B10708"/>
  <c r="E10708"/>
  <c r="B10709"/>
  <c r="E10709"/>
  <c r="B10710"/>
  <c r="E10710"/>
  <c r="B10711"/>
  <c r="E10711"/>
  <c r="B10712"/>
  <c r="E10712"/>
  <c r="B10713"/>
  <c r="E10713"/>
  <c r="B10714"/>
  <c r="E10714"/>
  <c r="B10715"/>
  <c r="E10715"/>
  <c r="B10716"/>
  <c r="E10716"/>
  <c r="B10717"/>
  <c r="E10717"/>
  <c r="B10718"/>
  <c r="E10718"/>
  <c r="B10719"/>
  <c r="E10719"/>
  <c r="B10720"/>
  <c r="E10720"/>
  <c r="B10721"/>
  <c r="E10721"/>
  <c r="B10722"/>
  <c r="E10722"/>
  <c r="B10723"/>
  <c r="E10723"/>
  <c r="B10724"/>
  <c r="E10724"/>
  <c r="B10725"/>
  <c r="E10725"/>
  <c r="B10726"/>
  <c r="E10726"/>
  <c r="B10727"/>
  <c r="E10727"/>
  <c r="B10728"/>
  <c r="E10728"/>
  <c r="B10729"/>
  <c r="E10729"/>
  <c r="B10730"/>
  <c r="E10730"/>
  <c r="B10731"/>
  <c r="E10731"/>
  <c r="B10732"/>
  <c r="E10732"/>
  <c r="B10733"/>
  <c r="E10733"/>
  <c r="B10734"/>
  <c r="E10734"/>
  <c r="B10735"/>
  <c r="E10735"/>
  <c r="B10736"/>
  <c r="E10736"/>
  <c r="B10737"/>
  <c r="E10737"/>
  <c r="B10738"/>
  <c r="E10738"/>
  <c r="B10739"/>
  <c r="E10739"/>
  <c r="B10740"/>
  <c r="E10740"/>
  <c r="B10741"/>
  <c r="E10741"/>
  <c r="B10742"/>
  <c r="E10742"/>
  <c r="B10743"/>
  <c r="E10743"/>
  <c r="B10744"/>
  <c r="E10744"/>
  <c r="B10745"/>
  <c r="E10745"/>
  <c r="B10746"/>
  <c r="E10746"/>
  <c r="B10747"/>
  <c r="E10747"/>
  <c r="B10748"/>
  <c r="E10748"/>
  <c r="B10749"/>
  <c r="E10749"/>
  <c r="B10750"/>
  <c r="E10750"/>
  <c r="B10751"/>
  <c r="E10751"/>
  <c r="B10752"/>
  <c r="E10752"/>
  <c r="B10753"/>
  <c r="E10753"/>
  <c r="B10754"/>
  <c r="E10754"/>
  <c r="B10755"/>
  <c r="E10755"/>
  <c r="B10756"/>
  <c r="E10756"/>
  <c r="B10757"/>
  <c r="E10757"/>
  <c r="B10758"/>
  <c r="E10758"/>
  <c r="B10759"/>
  <c r="E10759"/>
  <c r="B10760"/>
  <c r="E10760"/>
  <c r="B10761"/>
  <c r="E10761"/>
  <c r="B10762"/>
  <c r="E10762"/>
  <c r="B10763"/>
  <c r="E10763"/>
  <c r="B10764"/>
  <c r="E10764"/>
  <c r="B10765"/>
  <c r="E10765"/>
  <c r="B10766"/>
  <c r="E10766"/>
  <c r="B10767"/>
  <c r="E10767"/>
  <c r="B10768"/>
  <c r="E10768"/>
  <c r="B10769"/>
  <c r="E10769"/>
  <c r="B10770"/>
  <c r="E10770"/>
  <c r="B10771"/>
  <c r="E10771"/>
  <c r="B10772"/>
  <c r="E10772"/>
  <c r="B10773"/>
  <c r="E10773"/>
  <c r="B10774"/>
  <c r="E10774"/>
  <c r="B10775"/>
  <c r="E10775"/>
  <c r="B10776"/>
  <c r="E10776"/>
  <c r="B10777"/>
  <c r="E10777"/>
  <c r="B10778"/>
  <c r="E10778"/>
  <c r="B10779"/>
  <c r="E10779"/>
  <c r="B10780"/>
  <c r="E10780"/>
  <c r="B10781"/>
  <c r="E10781"/>
  <c r="B10782"/>
  <c r="E10782"/>
  <c r="B10783"/>
  <c r="E10783"/>
  <c r="B10784"/>
  <c r="E10784"/>
  <c r="B10785"/>
  <c r="E10785"/>
  <c r="B10786"/>
  <c r="E10786"/>
  <c r="B10787"/>
  <c r="E10787"/>
  <c r="B10788"/>
  <c r="E10788"/>
  <c r="B10789"/>
  <c r="E10789"/>
  <c r="B10790"/>
  <c r="E10790"/>
  <c r="B10791"/>
  <c r="E10791"/>
  <c r="B10792"/>
  <c r="E10792"/>
  <c r="B10793"/>
  <c r="E10793"/>
  <c r="B10794"/>
  <c r="E10794"/>
  <c r="B10795"/>
  <c r="E10795"/>
  <c r="B10796"/>
  <c r="E10796"/>
  <c r="B10797"/>
  <c r="E10797"/>
  <c r="B10798"/>
  <c r="E10798"/>
  <c r="B10799"/>
  <c r="E10799"/>
  <c r="B10800"/>
  <c r="E10800"/>
  <c r="B10801"/>
  <c r="E10801"/>
  <c r="B10802"/>
  <c r="E10802"/>
  <c r="B10803"/>
  <c r="E10803"/>
  <c r="B10804"/>
  <c r="E10804"/>
  <c r="B10805"/>
  <c r="E10805"/>
  <c r="B10806"/>
  <c r="E10806"/>
  <c r="B10807"/>
  <c r="E10807"/>
  <c r="B10808"/>
  <c r="E10808"/>
  <c r="B10809"/>
  <c r="E10809"/>
  <c r="B10810"/>
  <c r="E10810"/>
  <c r="B10811"/>
  <c r="E10811"/>
  <c r="B10812"/>
  <c r="E10812"/>
  <c r="B10813"/>
  <c r="E10813"/>
  <c r="B10814"/>
  <c r="E10814"/>
  <c r="B10815"/>
  <c r="E10815"/>
  <c r="B10816"/>
  <c r="E10816"/>
  <c r="B10817"/>
  <c r="E10817"/>
  <c r="B10818"/>
  <c r="E10818"/>
  <c r="B10819"/>
  <c r="E10819"/>
  <c r="B10820"/>
  <c r="E10820"/>
  <c r="B10821"/>
  <c r="E10821"/>
  <c r="B10822"/>
  <c r="E10822"/>
  <c r="B10823"/>
  <c r="E10823"/>
  <c r="B10824"/>
  <c r="E10824"/>
  <c r="B10825"/>
  <c r="E10825"/>
  <c r="B10826"/>
  <c r="E10826"/>
  <c r="B10827"/>
  <c r="E10827"/>
  <c r="B10828"/>
  <c r="E10828"/>
  <c r="B10829"/>
  <c r="E10829"/>
  <c r="B10830"/>
  <c r="E10830"/>
  <c r="B10831"/>
  <c r="E10831"/>
  <c r="B10832"/>
  <c r="E10832"/>
  <c r="B10833"/>
  <c r="E10833"/>
  <c r="B10834"/>
  <c r="E10834"/>
  <c r="B10835"/>
  <c r="E10835"/>
  <c r="B10836"/>
  <c r="E10836"/>
  <c r="B10837"/>
  <c r="E10837"/>
  <c r="B10838"/>
  <c r="E10838"/>
  <c r="B10839"/>
  <c r="E10839"/>
  <c r="B10840"/>
  <c r="E10840"/>
  <c r="B10841"/>
  <c r="E10841"/>
  <c r="B10842"/>
  <c r="E10842"/>
  <c r="B10843"/>
  <c r="E10843"/>
  <c r="B10844"/>
  <c r="E10844"/>
  <c r="B10845"/>
  <c r="E10845"/>
  <c r="B10846"/>
  <c r="E10846"/>
  <c r="B10847"/>
  <c r="E10847"/>
  <c r="B10848"/>
  <c r="E10848"/>
  <c r="B10849"/>
  <c r="E10849"/>
  <c r="B10850"/>
  <c r="E10850"/>
  <c r="B10851"/>
  <c r="E10851"/>
  <c r="B10852"/>
  <c r="E10852"/>
  <c r="B10853"/>
  <c r="E10853"/>
  <c r="B10854"/>
  <c r="E10854"/>
  <c r="B10855"/>
  <c r="E10855"/>
  <c r="B10856"/>
  <c r="E10856"/>
  <c r="B10857"/>
  <c r="E10857"/>
  <c r="B10858"/>
  <c r="E10858"/>
  <c r="B10859"/>
  <c r="E10859"/>
  <c r="B10860"/>
  <c r="E10860"/>
  <c r="B10861"/>
  <c r="E10861"/>
  <c r="B10862"/>
  <c r="E10862"/>
  <c r="B10863"/>
  <c r="E10863"/>
  <c r="B10864"/>
  <c r="E10864"/>
  <c r="B10865"/>
  <c r="E10865"/>
  <c r="B10866"/>
  <c r="E10866"/>
  <c r="B10867"/>
  <c r="E10867"/>
  <c r="B10868"/>
  <c r="E10868"/>
  <c r="B10869"/>
  <c r="E10869"/>
  <c r="B10870"/>
  <c r="E10870"/>
  <c r="B10871"/>
  <c r="E10871"/>
  <c r="B10872"/>
  <c r="E10872"/>
  <c r="B10873"/>
  <c r="E10873"/>
  <c r="B10874"/>
  <c r="E10874"/>
  <c r="B10875"/>
  <c r="E10875"/>
  <c r="B10876"/>
  <c r="E10876"/>
  <c r="B10877"/>
  <c r="E10877"/>
  <c r="B10878"/>
  <c r="E10878"/>
  <c r="B10879"/>
  <c r="E10879"/>
  <c r="B10880"/>
  <c r="E10880"/>
  <c r="B10881"/>
  <c r="E10881"/>
  <c r="B10882"/>
  <c r="E10882"/>
  <c r="B10883"/>
  <c r="E10883"/>
  <c r="B10884"/>
  <c r="E10884"/>
  <c r="B10885"/>
  <c r="E10885"/>
  <c r="B10886"/>
  <c r="E10886"/>
  <c r="B10887"/>
  <c r="E10887"/>
  <c r="B10888"/>
  <c r="E10888"/>
  <c r="B10889"/>
  <c r="E10889"/>
  <c r="B10890"/>
  <c r="E10890"/>
  <c r="B10891"/>
  <c r="E10891"/>
  <c r="B10892"/>
  <c r="E10892"/>
  <c r="B10893"/>
  <c r="E10893"/>
  <c r="B10894"/>
  <c r="E10894"/>
  <c r="B10895"/>
  <c r="E10895"/>
  <c r="B10896"/>
  <c r="E10896"/>
  <c r="B10897"/>
  <c r="E10897"/>
  <c r="B10898"/>
  <c r="E10898"/>
  <c r="B10899"/>
  <c r="E10899"/>
  <c r="B10900"/>
  <c r="E10900"/>
  <c r="B10901"/>
  <c r="E10901"/>
  <c r="B10902"/>
  <c r="E10902"/>
  <c r="B10903"/>
  <c r="E10903"/>
  <c r="B10904"/>
  <c r="E10904"/>
  <c r="B10905"/>
  <c r="E10905"/>
  <c r="B10906"/>
  <c r="E10906"/>
  <c r="B10907"/>
  <c r="E10907"/>
  <c r="B10908"/>
  <c r="E10908"/>
  <c r="B10909"/>
  <c r="E10909"/>
  <c r="B10910"/>
  <c r="E10910"/>
  <c r="B10911"/>
  <c r="E10911"/>
  <c r="B10912"/>
  <c r="E10912"/>
  <c r="B10913"/>
  <c r="E10913"/>
  <c r="B10914"/>
  <c r="E10914"/>
  <c r="B10915"/>
  <c r="E10915"/>
  <c r="B10916"/>
  <c r="E10916"/>
  <c r="B10917"/>
  <c r="E10917"/>
  <c r="B10918"/>
  <c r="E10918"/>
  <c r="B10919"/>
  <c r="E10919"/>
  <c r="B10920"/>
  <c r="E10920"/>
  <c r="B10921"/>
  <c r="E10921"/>
  <c r="B10922"/>
  <c r="E10922"/>
  <c r="B10923"/>
  <c r="E10923"/>
  <c r="B10924"/>
  <c r="E10924"/>
  <c r="B10925"/>
  <c r="E10925"/>
  <c r="B10926"/>
  <c r="E10926"/>
  <c r="B10927"/>
  <c r="E10927"/>
  <c r="B10928"/>
  <c r="E10928"/>
  <c r="B10929"/>
  <c r="E10929"/>
  <c r="B10930"/>
  <c r="E10930"/>
  <c r="B10931"/>
  <c r="E10931"/>
  <c r="B10932"/>
  <c r="E10932"/>
  <c r="B10933"/>
  <c r="E10933"/>
  <c r="B10934"/>
  <c r="E10934"/>
  <c r="B10935"/>
  <c r="E10935"/>
  <c r="B10936"/>
  <c r="E10936"/>
  <c r="B10937"/>
  <c r="E10937"/>
  <c r="B10938"/>
  <c r="E10938"/>
  <c r="B10939"/>
  <c r="E10939"/>
  <c r="B10940"/>
  <c r="E10940"/>
  <c r="B10941"/>
  <c r="E10941"/>
  <c r="B10942"/>
  <c r="E10942"/>
  <c r="B10943"/>
  <c r="E10943"/>
  <c r="B10944"/>
  <c r="E10944"/>
  <c r="B10945"/>
  <c r="E10945"/>
  <c r="B10946"/>
  <c r="E10946"/>
  <c r="B10947"/>
  <c r="E10947"/>
  <c r="B10948"/>
  <c r="E10948"/>
  <c r="B10949"/>
  <c r="E10949"/>
  <c r="B10950"/>
  <c r="E10950"/>
  <c r="B10951"/>
  <c r="E10951"/>
  <c r="B10952"/>
  <c r="E10952"/>
  <c r="B10953"/>
  <c r="E10953"/>
  <c r="B10954"/>
  <c r="E10954"/>
  <c r="B10955"/>
  <c r="E10955"/>
  <c r="B10956"/>
  <c r="E10956"/>
  <c r="B10957"/>
  <c r="E10957"/>
  <c r="B10958"/>
  <c r="E10958"/>
  <c r="B10959"/>
  <c r="E10959"/>
  <c r="B10960"/>
  <c r="E10960"/>
  <c r="B10961"/>
  <c r="E10961"/>
  <c r="B10962"/>
  <c r="E10962"/>
  <c r="B10963"/>
  <c r="E10963"/>
  <c r="B10964"/>
  <c r="E10964"/>
  <c r="B10965"/>
  <c r="E10965"/>
  <c r="B10966"/>
  <c r="E10966"/>
  <c r="B10967"/>
  <c r="E10967"/>
  <c r="B10968"/>
  <c r="E10968"/>
  <c r="B10969"/>
  <c r="E10969"/>
  <c r="B10970"/>
  <c r="E10970"/>
  <c r="B10971"/>
  <c r="E10971"/>
  <c r="B10972"/>
  <c r="E10972"/>
  <c r="B10973"/>
  <c r="E10973"/>
  <c r="B10974"/>
  <c r="E10974"/>
  <c r="B10975"/>
  <c r="E10975"/>
  <c r="B10976"/>
  <c r="E10976"/>
  <c r="B10977"/>
  <c r="E10977"/>
  <c r="B10978"/>
  <c r="E10978"/>
  <c r="B10979"/>
  <c r="E10979"/>
  <c r="B10980"/>
  <c r="E10980"/>
  <c r="B10981"/>
  <c r="E10981"/>
  <c r="B10982"/>
  <c r="E10982"/>
  <c r="B10983"/>
  <c r="E10983"/>
  <c r="B10984"/>
  <c r="E10984"/>
  <c r="B10985"/>
  <c r="E10985"/>
  <c r="B10986"/>
  <c r="E10986"/>
  <c r="B10987"/>
  <c r="E10987"/>
  <c r="B10988"/>
  <c r="E10988"/>
  <c r="B10989"/>
  <c r="E10989"/>
  <c r="B10990"/>
  <c r="E10990"/>
  <c r="B10991"/>
  <c r="E10991"/>
  <c r="B10992"/>
  <c r="E10992"/>
  <c r="B10993"/>
  <c r="E10993"/>
  <c r="B10994"/>
  <c r="E10994"/>
  <c r="B10995"/>
  <c r="E10995"/>
  <c r="B10996"/>
  <c r="E10996"/>
  <c r="B10997"/>
  <c r="E10997"/>
  <c r="B10998"/>
  <c r="E10998"/>
  <c r="B10999"/>
  <c r="E10999"/>
  <c r="B11000"/>
  <c r="E11000"/>
  <c r="B11001"/>
  <c r="E11001"/>
  <c r="B11002"/>
  <c r="E11002"/>
  <c r="B11003"/>
  <c r="E11003"/>
  <c r="B11004"/>
  <c r="E11004"/>
  <c r="B11005"/>
  <c r="E11005"/>
  <c r="B11006"/>
  <c r="E11006"/>
  <c r="B11007"/>
  <c r="E11007"/>
  <c r="B11008"/>
  <c r="E11008"/>
  <c r="B11009"/>
  <c r="E11009"/>
  <c r="B11010"/>
  <c r="E11010"/>
  <c r="B11011"/>
  <c r="E11011"/>
  <c r="B11012"/>
  <c r="E11012"/>
  <c r="B11013"/>
  <c r="E11013"/>
  <c r="B11014"/>
  <c r="E11014"/>
  <c r="B11015"/>
  <c r="E11015"/>
  <c r="B11016"/>
  <c r="E11016"/>
  <c r="B11017"/>
  <c r="E11017"/>
  <c r="B11018"/>
  <c r="E11018"/>
  <c r="B11019"/>
  <c r="E11019"/>
  <c r="B11020"/>
  <c r="E11020"/>
  <c r="B11021"/>
  <c r="E11021"/>
  <c r="B11022"/>
  <c r="E11022"/>
  <c r="B11023"/>
  <c r="E11023"/>
  <c r="B11024"/>
  <c r="E11024"/>
  <c r="B11025"/>
  <c r="E11025"/>
  <c r="B11026"/>
  <c r="E11026"/>
  <c r="B11027"/>
  <c r="E11027"/>
  <c r="B11028"/>
  <c r="E11028"/>
  <c r="B11029"/>
  <c r="E11029"/>
  <c r="B11030"/>
  <c r="E11030"/>
  <c r="B11031"/>
  <c r="E11031"/>
  <c r="B11032"/>
  <c r="E11032"/>
  <c r="B11033"/>
  <c r="E11033"/>
  <c r="B11034"/>
  <c r="E11034"/>
  <c r="B11035"/>
  <c r="E11035"/>
  <c r="B11036"/>
  <c r="E11036"/>
  <c r="B11037"/>
  <c r="E11037"/>
  <c r="B11038"/>
  <c r="E11038"/>
  <c r="B11039"/>
  <c r="E11039"/>
  <c r="B11040"/>
  <c r="E11040"/>
  <c r="B11041"/>
  <c r="E11041"/>
  <c r="B11042"/>
  <c r="E11042"/>
  <c r="B11043"/>
  <c r="E11043"/>
  <c r="B11044"/>
  <c r="E11044"/>
  <c r="B11045"/>
  <c r="E11045"/>
  <c r="B11046"/>
  <c r="E11046"/>
  <c r="B11047"/>
  <c r="E11047"/>
  <c r="B11048"/>
  <c r="E11048"/>
  <c r="B11049"/>
  <c r="E11049"/>
  <c r="B11050"/>
  <c r="E11050"/>
  <c r="B11051"/>
  <c r="E11051"/>
  <c r="B11052"/>
  <c r="E11052"/>
  <c r="B11053"/>
  <c r="E11053"/>
  <c r="B11054"/>
  <c r="E11054"/>
  <c r="B11055"/>
  <c r="E11055"/>
  <c r="B11056"/>
  <c r="E11056"/>
  <c r="B11057"/>
  <c r="E11057"/>
  <c r="B11058"/>
  <c r="E11058"/>
  <c r="B11059"/>
  <c r="E11059"/>
  <c r="B11060"/>
  <c r="E11060"/>
  <c r="B11061"/>
  <c r="E11061"/>
  <c r="B11062"/>
  <c r="E11062"/>
  <c r="B11063"/>
  <c r="E11063"/>
  <c r="B11064"/>
  <c r="E11064"/>
  <c r="B11065"/>
  <c r="E11065"/>
  <c r="B11066"/>
  <c r="E11066"/>
  <c r="B11067"/>
  <c r="E11067"/>
  <c r="B11068"/>
  <c r="E11068"/>
  <c r="B11069"/>
  <c r="E11069"/>
  <c r="B11070"/>
  <c r="E11070"/>
  <c r="B11071"/>
  <c r="E11071"/>
  <c r="B11072"/>
  <c r="E11072"/>
  <c r="B11073"/>
  <c r="E11073"/>
  <c r="B11074"/>
  <c r="E11074"/>
  <c r="B11075"/>
  <c r="E11075"/>
  <c r="B11076"/>
  <c r="E11076"/>
  <c r="B11077"/>
  <c r="E11077"/>
  <c r="B11078"/>
  <c r="E11078"/>
  <c r="B11079"/>
  <c r="E11079"/>
  <c r="B11080"/>
  <c r="E11080"/>
  <c r="B11081"/>
  <c r="E11081"/>
  <c r="B11082"/>
  <c r="E11082"/>
  <c r="B11083"/>
  <c r="E11083"/>
  <c r="B11084"/>
  <c r="E11084"/>
  <c r="B11085"/>
  <c r="E11085"/>
  <c r="B11086"/>
  <c r="E11086"/>
  <c r="B11087"/>
  <c r="E11087"/>
  <c r="B11088"/>
  <c r="E11088"/>
  <c r="B11089"/>
  <c r="E11089"/>
  <c r="B11090"/>
  <c r="E11090"/>
  <c r="B11091"/>
  <c r="E11091"/>
  <c r="B11092"/>
  <c r="E11092"/>
  <c r="B11093"/>
  <c r="E11093"/>
  <c r="B11094"/>
  <c r="E11094"/>
  <c r="B11095"/>
  <c r="E11095"/>
  <c r="B11096"/>
  <c r="E11096"/>
  <c r="B11097"/>
  <c r="E11097"/>
  <c r="B11098"/>
  <c r="E11098"/>
  <c r="B11099"/>
  <c r="E11099"/>
  <c r="B11100"/>
  <c r="E11100"/>
  <c r="B11101"/>
  <c r="E11101"/>
  <c r="B11102"/>
  <c r="E11102"/>
  <c r="B11103"/>
  <c r="E11103"/>
  <c r="B11104"/>
  <c r="E11104"/>
  <c r="B11105"/>
  <c r="E11105"/>
  <c r="B11106"/>
  <c r="E11106"/>
  <c r="B11107"/>
  <c r="E11107"/>
  <c r="B11108"/>
  <c r="E11108"/>
  <c r="B11109"/>
  <c r="E11109"/>
  <c r="B11110"/>
  <c r="E11110"/>
  <c r="B11111"/>
  <c r="E11111"/>
  <c r="B11112"/>
  <c r="E11112"/>
  <c r="B11113"/>
  <c r="E11113"/>
  <c r="B11114"/>
  <c r="E11114"/>
  <c r="B11115"/>
  <c r="E11115"/>
  <c r="B11116"/>
  <c r="E11116"/>
  <c r="B11117"/>
  <c r="E11117"/>
  <c r="B11118"/>
  <c r="E11118"/>
  <c r="B11119"/>
  <c r="E11119"/>
  <c r="B11120"/>
  <c r="E11120"/>
  <c r="B11121"/>
  <c r="E11121"/>
  <c r="B11122"/>
  <c r="E11122"/>
  <c r="B11123"/>
  <c r="E11123"/>
  <c r="B11124"/>
  <c r="E11124"/>
  <c r="B11125"/>
  <c r="E11125"/>
  <c r="B11126"/>
  <c r="E11126"/>
  <c r="B11127"/>
  <c r="E11127"/>
  <c r="B11128"/>
  <c r="E11128"/>
  <c r="B11129"/>
  <c r="E11129"/>
  <c r="B11130"/>
  <c r="E11130"/>
  <c r="B11131"/>
  <c r="E11131"/>
  <c r="B11132"/>
  <c r="E11132"/>
  <c r="B11133"/>
  <c r="E11133"/>
  <c r="B11134"/>
  <c r="E11134"/>
  <c r="B11135"/>
  <c r="E11135"/>
  <c r="B11136"/>
  <c r="E11136"/>
  <c r="B11137"/>
  <c r="E11137"/>
  <c r="B11138"/>
  <c r="E11138"/>
  <c r="B11139"/>
  <c r="E11139"/>
  <c r="B11140"/>
  <c r="E11140"/>
  <c r="B11141"/>
  <c r="E11141"/>
  <c r="B11142"/>
  <c r="E11142"/>
  <c r="B11143"/>
  <c r="E11143"/>
  <c r="B11144"/>
  <c r="E11144"/>
  <c r="B11145"/>
  <c r="E11145"/>
  <c r="B11146"/>
  <c r="E11146"/>
  <c r="B11147"/>
  <c r="E11147"/>
  <c r="B11148"/>
  <c r="E11148"/>
  <c r="B11149"/>
  <c r="E11149"/>
  <c r="B11150"/>
  <c r="E11150"/>
  <c r="B11151"/>
  <c r="E11151"/>
  <c r="B11152"/>
  <c r="E11152"/>
  <c r="B11153"/>
  <c r="E11153"/>
  <c r="B11154"/>
  <c r="E11154"/>
  <c r="B11155"/>
  <c r="E11155"/>
  <c r="B11156"/>
  <c r="E11156"/>
  <c r="B11157"/>
  <c r="E11157"/>
  <c r="B11158"/>
  <c r="E11158"/>
  <c r="B11159"/>
  <c r="E11159"/>
  <c r="B11160"/>
  <c r="E11160"/>
  <c r="B11161"/>
  <c r="E11161"/>
  <c r="B11162"/>
  <c r="E11162"/>
  <c r="B11163"/>
  <c r="E11163"/>
  <c r="B11164"/>
  <c r="E11164"/>
  <c r="B11165"/>
  <c r="E11165"/>
  <c r="B11166"/>
  <c r="E11166"/>
  <c r="B11167"/>
  <c r="E11167"/>
  <c r="B11168"/>
  <c r="E11168"/>
  <c r="B11169"/>
  <c r="E11169"/>
  <c r="B11170"/>
  <c r="E11170"/>
  <c r="B11171"/>
  <c r="E11171"/>
  <c r="B11172"/>
  <c r="E11172"/>
  <c r="B11173"/>
  <c r="E11173"/>
  <c r="B11174"/>
  <c r="E11174"/>
  <c r="B11175"/>
  <c r="E11175"/>
  <c r="B11176"/>
  <c r="E11176"/>
  <c r="B11177"/>
  <c r="E11177"/>
  <c r="B11178"/>
  <c r="E11178"/>
  <c r="B11179"/>
  <c r="E11179"/>
  <c r="B11180"/>
  <c r="E11180"/>
  <c r="B11181"/>
  <c r="E11181"/>
  <c r="B11182"/>
  <c r="E11182"/>
  <c r="B11183"/>
  <c r="E11183"/>
  <c r="B11184"/>
  <c r="E11184"/>
  <c r="B11185"/>
  <c r="E11185"/>
  <c r="B11186"/>
  <c r="E11186"/>
  <c r="B11187"/>
  <c r="E11187"/>
  <c r="B11188"/>
  <c r="E11188"/>
  <c r="B11189"/>
  <c r="E11189"/>
  <c r="B11190"/>
  <c r="E11190"/>
  <c r="B11191"/>
  <c r="E11191"/>
  <c r="B11192"/>
  <c r="E11192"/>
  <c r="B11193"/>
  <c r="E11193"/>
  <c r="B11194"/>
  <c r="E11194"/>
  <c r="B11195"/>
  <c r="E11195"/>
  <c r="B11196"/>
  <c r="E11196"/>
  <c r="B11197"/>
  <c r="E11197"/>
  <c r="B11198"/>
  <c r="E11198"/>
  <c r="B11199"/>
  <c r="E11199"/>
  <c r="B11200"/>
  <c r="E11200"/>
  <c r="B11201"/>
  <c r="E11201"/>
  <c r="B11202"/>
  <c r="E11202"/>
  <c r="B11203"/>
  <c r="E11203"/>
  <c r="B11204"/>
  <c r="E11204"/>
  <c r="B11205"/>
  <c r="E11205"/>
  <c r="B11206"/>
  <c r="E11206"/>
  <c r="B11207"/>
  <c r="E11207"/>
  <c r="B11208"/>
  <c r="E11208"/>
  <c r="B11209"/>
  <c r="E11209"/>
  <c r="B11210"/>
  <c r="E11210"/>
  <c r="B11211"/>
  <c r="E11211"/>
  <c r="B11212"/>
  <c r="E11212"/>
  <c r="B11213"/>
  <c r="E11213"/>
  <c r="B11214"/>
  <c r="E11214"/>
  <c r="B11215"/>
  <c r="E11215"/>
  <c r="B11216"/>
  <c r="E11216"/>
  <c r="B11217"/>
  <c r="E11217"/>
  <c r="B11218"/>
  <c r="E11218"/>
  <c r="B11219"/>
  <c r="E11219"/>
  <c r="B11220"/>
  <c r="E11220"/>
  <c r="B11221"/>
  <c r="E11221"/>
  <c r="B11222"/>
  <c r="E11222"/>
  <c r="B11223"/>
  <c r="E11223"/>
  <c r="B11224"/>
  <c r="E11224"/>
  <c r="B11225"/>
  <c r="E11225"/>
  <c r="B11226"/>
  <c r="E11226"/>
  <c r="B11227"/>
  <c r="E11227"/>
  <c r="B11228"/>
  <c r="E11228"/>
  <c r="B11229"/>
  <c r="E11229"/>
  <c r="B11230"/>
  <c r="E11230"/>
  <c r="B11231"/>
  <c r="E11231"/>
  <c r="B11232"/>
  <c r="E11232"/>
  <c r="B11233"/>
  <c r="E11233"/>
  <c r="B11234"/>
  <c r="E11234"/>
  <c r="B11235"/>
  <c r="E11235"/>
  <c r="B11236"/>
  <c r="E11236"/>
  <c r="B11237"/>
  <c r="E11237"/>
  <c r="B11238"/>
  <c r="E11238"/>
  <c r="B11239"/>
  <c r="E11239"/>
  <c r="B11240"/>
  <c r="E11240"/>
  <c r="B11241"/>
  <c r="E11241"/>
  <c r="B11242"/>
  <c r="E11242"/>
  <c r="B11243"/>
  <c r="E11243"/>
  <c r="B11244"/>
  <c r="E11244"/>
  <c r="B11245"/>
  <c r="E11245"/>
  <c r="B11246"/>
  <c r="E11246"/>
  <c r="B11247"/>
  <c r="E11247"/>
  <c r="B11248"/>
  <c r="E11248"/>
  <c r="B11249"/>
  <c r="E11249"/>
  <c r="B11250"/>
  <c r="E11250"/>
  <c r="B11251"/>
  <c r="E11251"/>
  <c r="B11252"/>
  <c r="E11252"/>
  <c r="B11253"/>
  <c r="E11253"/>
  <c r="B11254"/>
  <c r="E11254"/>
  <c r="B11255"/>
  <c r="E11255"/>
  <c r="B11256"/>
  <c r="E11256"/>
  <c r="B11257"/>
  <c r="E11257"/>
  <c r="B11258"/>
  <c r="E11258"/>
  <c r="B11259"/>
  <c r="E11259"/>
  <c r="B11260"/>
  <c r="E11260"/>
  <c r="B11261"/>
  <c r="E11261"/>
  <c r="B11262"/>
  <c r="E11262"/>
  <c r="B11263"/>
  <c r="E11263"/>
  <c r="B11264"/>
  <c r="E11264"/>
  <c r="B11265"/>
  <c r="E11265"/>
  <c r="B11266"/>
  <c r="E11266"/>
  <c r="B11267"/>
  <c r="E11267"/>
  <c r="B11268"/>
  <c r="E11268"/>
  <c r="B11269"/>
  <c r="E11269"/>
  <c r="B11270"/>
  <c r="E11270"/>
  <c r="B11271"/>
  <c r="E11271"/>
  <c r="B11272"/>
  <c r="E11272"/>
  <c r="B11273"/>
  <c r="E11273"/>
  <c r="B11274"/>
  <c r="E11274"/>
  <c r="B11275"/>
  <c r="E11275"/>
  <c r="B11276"/>
  <c r="E11276"/>
  <c r="B11277"/>
  <c r="E11277"/>
  <c r="B11278"/>
  <c r="E11278"/>
  <c r="B11279"/>
  <c r="E11279"/>
  <c r="B11280"/>
  <c r="E11280"/>
  <c r="B11281"/>
  <c r="E11281"/>
  <c r="B11282"/>
  <c r="E11282"/>
  <c r="B11283"/>
  <c r="E11283"/>
  <c r="B11284"/>
  <c r="E11284"/>
  <c r="B11285"/>
  <c r="E11285"/>
  <c r="B11286"/>
  <c r="E11286"/>
  <c r="B11287"/>
  <c r="E11287"/>
  <c r="B11288"/>
  <c r="E11288"/>
  <c r="B11289"/>
  <c r="E11289"/>
  <c r="B11290"/>
  <c r="E11290"/>
  <c r="B11291"/>
  <c r="E11291"/>
  <c r="B11292"/>
  <c r="E11292"/>
  <c r="B11293"/>
  <c r="E11293"/>
  <c r="B11294"/>
  <c r="E11294"/>
  <c r="B11295"/>
  <c r="E11295"/>
  <c r="B11296"/>
  <c r="E11296"/>
  <c r="B11297"/>
  <c r="E11297"/>
  <c r="B11298"/>
  <c r="E11298"/>
  <c r="B11299"/>
  <c r="E11299"/>
  <c r="B11300"/>
  <c r="E11300"/>
  <c r="B11301"/>
  <c r="E11301"/>
  <c r="B11302"/>
  <c r="E11302"/>
  <c r="B11303"/>
  <c r="E11303"/>
  <c r="B11304"/>
  <c r="E11304"/>
  <c r="B11305"/>
  <c r="E11305"/>
  <c r="B11306"/>
  <c r="E11306"/>
  <c r="B11307"/>
  <c r="E11307"/>
  <c r="B11308"/>
  <c r="E11308"/>
  <c r="B11309"/>
  <c r="E11309"/>
  <c r="B11310"/>
  <c r="E11310"/>
  <c r="B11311"/>
  <c r="E11311"/>
  <c r="B11312"/>
  <c r="E11312"/>
  <c r="B11313"/>
  <c r="E11313"/>
  <c r="B11314"/>
  <c r="E11314"/>
  <c r="B11315"/>
  <c r="E11315"/>
  <c r="B11316"/>
  <c r="E11316"/>
  <c r="B11317"/>
  <c r="E11317"/>
  <c r="B11318"/>
  <c r="E11318"/>
  <c r="B11319"/>
  <c r="E11319"/>
  <c r="B11320"/>
  <c r="E11320"/>
  <c r="B11321"/>
  <c r="E11321"/>
  <c r="B11322"/>
  <c r="E11322"/>
  <c r="B11323"/>
  <c r="E11323"/>
  <c r="B11324"/>
  <c r="E11324"/>
  <c r="B11325"/>
  <c r="E11325"/>
  <c r="B11326"/>
  <c r="E11326"/>
  <c r="B11327"/>
  <c r="E11327"/>
  <c r="B11328"/>
  <c r="E11328"/>
  <c r="B11329"/>
  <c r="E11329"/>
  <c r="B11330"/>
  <c r="E11330"/>
  <c r="B11331"/>
  <c r="E11331"/>
  <c r="B11332"/>
  <c r="E11332"/>
  <c r="B11333"/>
  <c r="E11333"/>
  <c r="B11334"/>
  <c r="E11334"/>
  <c r="B11335"/>
  <c r="E11335"/>
  <c r="B11336"/>
  <c r="E11336"/>
  <c r="B11337"/>
  <c r="E11337"/>
  <c r="B11338"/>
  <c r="E11338"/>
  <c r="B11339"/>
  <c r="E11339"/>
  <c r="B11340"/>
  <c r="E11340"/>
  <c r="B11341"/>
  <c r="E11341"/>
  <c r="B11342"/>
  <c r="E11342"/>
  <c r="B11343"/>
  <c r="E11343"/>
  <c r="B11344"/>
  <c r="E11344"/>
  <c r="B11345"/>
  <c r="E11345"/>
  <c r="B11346"/>
  <c r="E11346"/>
  <c r="B11347"/>
  <c r="E11347"/>
  <c r="B11348"/>
  <c r="E11348"/>
  <c r="B11349"/>
  <c r="E11349"/>
  <c r="B11350"/>
  <c r="E11350"/>
  <c r="B11351"/>
  <c r="E11351"/>
  <c r="B11352"/>
  <c r="E11352"/>
  <c r="B11353"/>
  <c r="E11353"/>
  <c r="B11354"/>
  <c r="E11354"/>
  <c r="B11355"/>
  <c r="E11355"/>
  <c r="B11356"/>
  <c r="E11356"/>
  <c r="B11357"/>
  <c r="E11357"/>
  <c r="B11358"/>
  <c r="E11358"/>
  <c r="B11359"/>
  <c r="E11359"/>
  <c r="B11360"/>
  <c r="E11360"/>
  <c r="B11361"/>
  <c r="E11361"/>
  <c r="B11362"/>
  <c r="E11362"/>
  <c r="B11363"/>
  <c r="E11363"/>
  <c r="B11364"/>
  <c r="E11364"/>
  <c r="B11365"/>
  <c r="E11365"/>
  <c r="B11366"/>
  <c r="E11366"/>
  <c r="B11367"/>
  <c r="E11367"/>
  <c r="B11368"/>
  <c r="E11368"/>
  <c r="B11369"/>
  <c r="E11369"/>
  <c r="B11370"/>
  <c r="E11370"/>
  <c r="B11371"/>
  <c r="E11371"/>
  <c r="B11372"/>
  <c r="E11372"/>
  <c r="B11373"/>
  <c r="E11373"/>
  <c r="B11374"/>
  <c r="E11374"/>
  <c r="B11375"/>
  <c r="E11375"/>
  <c r="B11376"/>
  <c r="E11376"/>
  <c r="B11377"/>
  <c r="E11377"/>
  <c r="B11378"/>
  <c r="E11378"/>
  <c r="B11379"/>
  <c r="E11379"/>
  <c r="B11380"/>
  <c r="E11380"/>
  <c r="B11381"/>
  <c r="E11381"/>
  <c r="B11382"/>
  <c r="E11382"/>
  <c r="B11383"/>
  <c r="E11383"/>
  <c r="B11384"/>
  <c r="E11384"/>
  <c r="B11385"/>
  <c r="E11385"/>
  <c r="B11386"/>
  <c r="E11386"/>
  <c r="B11387"/>
  <c r="E11387"/>
  <c r="B11388"/>
  <c r="E11388"/>
  <c r="B11389"/>
  <c r="E11389"/>
  <c r="B11390"/>
  <c r="E11390"/>
  <c r="B11391"/>
  <c r="E11391"/>
  <c r="B11392"/>
  <c r="E11392"/>
  <c r="B11393"/>
  <c r="E11393"/>
  <c r="B11394"/>
  <c r="E11394"/>
  <c r="B11395"/>
  <c r="E11395"/>
  <c r="B11396"/>
  <c r="E11396"/>
  <c r="B11397"/>
  <c r="E11397"/>
  <c r="B11398"/>
  <c r="E11398"/>
  <c r="B11399"/>
  <c r="E11399"/>
  <c r="B11400"/>
  <c r="E11400"/>
  <c r="B11401"/>
  <c r="E11401"/>
  <c r="B11402"/>
  <c r="E11402"/>
  <c r="B11403"/>
  <c r="E11403"/>
  <c r="B11404"/>
  <c r="E11404"/>
  <c r="B11405"/>
  <c r="E11405"/>
  <c r="B11406"/>
  <c r="E11406"/>
  <c r="B11407"/>
  <c r="E11407"/>
  <c r="B11408"/>
  <c r="E11408"/>
  <c r="B11409"/>
  <c r="E11409"/>
  <c r="B11410"/>
  <c r="E11410"/>
  <c r="B11411"/>
  <c r="E11411"/>
  <c r="B11412"/>
  <c r="E11412"/>
  <c r="B11413"/>
  <c r="E11413"/>
  <c r="B11414"/>
  <c r="E11414"/>
  <c r="B11415"/>
  <c r="E11415"/>
  <c r="B11416"/>
  <c r="E11416"/>
  <c r="B11417"/>
  <c r="E11417"/>
  <c r="B11418"/>
  <c r="E11418"/>
  <c r="B11419"/>
  <c r="E11419"/>
  <c r="B11420"/>
  <c r="E11420"/>
  <c r="B11421"/>
  <c r="E11421"/>
  <c r="B11422"/>
  <c r="E11422"/>
  <c r="B11423"/>
  <c r="E11423"/>
  <c r="B11424"/>
  <c r="E11424"/>
  <c r="B11425"/>
  <c r="E11425"/>
  <c r="B11426"/>
  <c r="E11426"/>
  <c r="B11427"/>
  <c r="E11427"/>
  <c r="B11428"/>
  <c r="E11428"/>
  <c r="B11429"/>
  <c r="E11429"/>
  <c r="B11430"/>
  <c r="E11430"/>
  <c r="B11431"/>
  <c r="E11431"/>
  <c r="B11432"/>
  <c r="E11432"/>
  <c r="B11433"/>
  <c r="E11433"/>
  <c r="B11434"/>
  <c r="E11434"/>
  <c r="B11435"/>
  <c r="E11435"/>
  <c r="B11436"/>
  <c r="E11436"/>
  <c r="B11437"/>
  <c r="E11437"/>
  <c r="B11438"/>
  <c r="E11438"/>
  <c r="B11439"/>
  <c r="E11439"/>
  <c r="B11440"/>
  <c r="E11440"/>
  <c r="B11441"/>
  <c r="E11441"/>
  <c r="B11442"/>
  <c r="E11442"/>
  <c r="B11443"/>
  <c r="E11443"/>
  <c r="B11444"/>
  <c r="E11444"/>
  <c r="B11445"/>
  <c r="E11445"/>
  <c r="B11446"/>
  <c r="E11446"/>
  <c r="B11447"/>
  <c r="E11447"/>
  <c r="B11448"/>
  <c r="E11448"/>
  <c r="B11449"/>
  <c r="E11449"/>
  <c r="B11450"/>
  <c r="E11450"/>
  <c r="B11451"/>
  <c r="E11451"/>
  <c r="B11452"/>
  <c r="E11452"/>
  <c r="B11453"/>
  <c r="E11453"/>
  <c r="B11454"/>
  <c r="E11454"/>
  <c r="B11455"/>
  <c r="E11455"/>
  <c r="B11456"/>
  <c r="E11456"/>
  <c r="B11457"/>
  <c r="E11457"/>
  <c r="B11458"/>
  <c r="E11458"/>
  <c r="B11459"/>
  <c r="E11459"/>
  <c r="B11460"/>
  <c r="E11460"/>
  <c r="B11461"/>
  <c r="E11461"/>
  <c r="B11462"/>
  <c r="E11462"/>
  <c r="B11463"/>
  <c r="E11463"/>
  <c r="B11464"/>
  <c r="E11464"/>
  <c r="B11465"/>
  <c r="E11465"/>
  <c r="B11466"/>
  <c r="E11466"/>
  <c r="B11467"/>
  <c r="E11467"/>
  <c r="B11468"/>
  <c r="E11468"/>
  <c r="B11469"/>
  <c r="E11469"/>
  <c r="B11470"/>
  <c r="E11470"/>
  <c r="B11471"/>
  <c r="E11471"/>
  <c r="B11472"/>
  <c r="E11472"/>
  <c r="B11473"/>
  <c r="E11473"/>
  <c r="B11474"/>
  <c r="E11474"/>
  <c r="B11475"/>
  <c r="E11475"/>
  <c r="B11476"/>
  <c r="E11476"/>
  <c r="B11477"/>
  <c r="E11477"/>
  <c r="B11478"/>
  <c r="E11478"/>
  <c r="B11479"/>
  <c r="E11479"/>
  <c r="B11480"/>
  <c r="E11480"/>
  <c r="B11481"/>
  <c r="E11481"/>
  <c r="B11482"/>
  <c r="E11482"/>
  <c r="B11483"/>
  <c r="E11483"/>
  <c r="B11484"/>
  <c r="E11484"/>
  <c r="B11485"/>
  <c r="E11485"/>
  <c r="B11486"/>
  <c r="E11486"/>
  <c r="B11487"/>
  <c r="E11487"/>
  <c r="B11488"/>
  <c r="E11488"/>
  <c r="B11489"/>
  <c r="E11489"/>
  <c r="B11490"/>
  <c r="E11490"/>
  <c r="B11491"/>
  <c r="E11491"/>
  <c r="B11492"/>
  <c r="E11492"/>
  <c r="B11493"/>
  <c r="E11493"/>
  <c r="B11494"/>
  <c r="E11494"/>
  <c r="B11495"/>
  <c r="E11495"/>
  <c r="B11496"/>
  <c r="E11496"/>
  <c r="B11497"/>
  <c r="E11497"/>
  <c r="B11498"/>
  <c r="E11498"/>
  <c r="B11499"/>
  <c r="E11499"/>
  <c r="B11500"/>
  <c r="E11500"/>
  <c r="B11501"/>
  <c r="E11501"/>
  <c r="B11502"/>
  <c r="E11502"/>
  <c r="B11503"/>
  <c r="E11503"/>
  <c r="B11504"/>
  <c r="E11504"/>
  <c r="B11505"/>
  <c r="E11505"/>
  <c r="B11506"/>
  <c r="E11506"/>
  <c r="B11507"/>
  <c r="E11507"/>
  <c r="B11508"/>
  <c r="E11508"/>
  <c r="B11509"/>
  <c r="E11509"/>
  <c r="B11510"/>
  <c r="E11510"/>
  <c r="B11511"/>
  <c r="E11511"/>
  <c r="B11512"/>
  <c r="E11512"/>
  <c r="B11513"/>
  <c r="E11513"/>
  <c r="B11514"/>
  <c r="E11514"/>
  <c r="B11515"/>
  <c r="E11515"/>
  <c r="B11516"/>
  <c r="E11516"/>
  <c r="B11517"/>
  <c r="E11517"/>
  <c r="B11518"/>
  <c r="E11518"/>
  <c r="B11519"/>
  <c r="E11519"/>
  <c r="B11520"/>
  <c r="E11520"/>
  <c r="B11521"/>
  <c r="E11521"/>
  <c r="B11522"/>
  <c r="E11522"/>
  <c r="B11523"/>
  <c r="E11523"/>
  <c r="B11524"/>
  <c r="E11524"/>
  <c r="B11525"/>
  <c r="E11525"/>
  <c r="B11526"/>
  <c r="E11526"/>
  <c r="B11527"/>
  <c r="E11527"/>
  <c r="B11528"/>
  <c r="E11528"/>
  <c r="B11529"/>
  <c r="E11529"/>
  <c r="B11530"/>
  <c r="E11530"/>
  <c r="B11531"/>
  <c r="E11531"/>
  <c r="B11532"/>
  <c r="E11532"/>
  <c r="B11533"/>
  <c r="E11533"/>
  <c r="B11534"/>
  <c r="E11534"/>
  <c r="B11535"/>
  <c r="E11535"/>
  <c r="B11536"/>
  <c r="E11536"/>
  <c r="B11537"/>
  <c r="E11537"/>
  <c r="B11538"/>
  <c r="E11538"/>
  <c r="B11539"/>
  <c r="E11539"/>
  <c r="B11540"/>
  <c r="E11540"/>
  <c r="B11541"/>
  <c r="E11541"/>
  <c r="B11542"/>
  <c r="E11542"/>
  <c r="B11543"/>
  <c r="E11543"/>
  <c r="B11544"/>
  <c r="E11544"/>
  <c r="B11545"/>
  <c r="E11545"/>
  <c r="B11546"/>
  <c r="E11546"/>
  <c r="B11547"/>
  <c r="E11547"/>
  <c r="B11548"/>
  <c r="E11548"/>
  <c r="B11549"/>
  <c r="E11549"/>
  <c r="B11550"/>
  <c r="E11550"/>
  <c r="B11551"/>
  <c r="E11551"/>
  <c r="B11552"/>
  <c r="E11552"/>
  <c r="B11553"/>
  <c r="E11553"/>
  <c r="B11554"/>
  <c r="E11554"/>
  <c r="B11555"/>
  <c r="E11555"/>
  <c r="B11556"/>
  <c r="E11556"/>
  <c r="B11557"/>
  <c r="E11557"/>
  <c r="B11558"/>
  <c r="E11558"/>
  <c r="B11559"/>
  <c r="E11559"/>
  <c r="B11560"/>
  <c r="E11560"/>
  <c r="B11561"/>
  <c r="E11561"/>
  <c r="B11562"/>
  <c r="E11562"/>
  <c r="B11563"/>
  <c r="E11563"/>
  <c r="B11564"/>
  <c r="E11564"/>
  <c r="B11565"/>
  <c r="E11565"/>
  <c r="B11566"/>
  <c r="E11566"/>
  <c r="B11567"/>
  <c r="E11567"/>
  <c r="B11568"/>
  <c r="E11568"/>
  <c r="B11569"/>
  <c r="E11569"/>
  <c r="B11570"/>
  <c r="E11570"/>
  <c r="B11571"/>
  <c r="E11571"/>
  <c r="B11572"/>
  <c r="E11572"/>
  <c r="B11573"/>
  <c r="E11573"/>
  <c r="B11574"/>
  <c r="E11574"/>
  <c r="B11575"/>
  <c r="E11575"/>
  <c r="B11576"/>
  <c r="E11576"/>
  <c r="B11577"/>
  <c r="E11577"/>
  <c r="B11578"/>
  <c r="E11578"/>
  <c r="B11579"/>
  <c r="E11579"/>
  <c r="B11580"/>
  <c r="E11580"/>
  <c r="B11581"/>
  <c r="E11581"/>
  <c r="B11582"/>
  <c r="E11582"/>
  <c r="B11583"/>
  <c r="E11583"/>
  <c r="B11584"/>
  <c r="E11584"/>
  <c r="B11585"/>
  <c r="E11585"/>
  <c r="B11586"/>
  <c r="E11586"/>
  <c r="B11587"/>
  <c r="E11587"/>
  <c r="B11588"/>
  <c r="E11588"/>
  <c r="B11589"/>
  <c r="E11589"/>
  <c r="B11590"/>
  <c r="E11590"/>
  <c r="B11591"/>
  <c r="E11591"/>
  <c r="B11592"/>
  <c r="E11592"/>
  <c r="B11593"/>
  <c r="E11593"/>
  <c r="B11594"/>
  <c r="E11594"/>
  <c r="B11595"/>
  <c r="E11595"/>
  <c r="B11596"/>
  <c r="E11596"/>
  <c r="B11597"/>
  <c r="E11597"/>
  <c r="B11598"/>
  <c r="E11598"/>
  <c r="B11599"/>
  <c r="E11599"/>
  <c r="B11600"/>
  <c r="E11600"/>
  <c r="B11601"/>
  <c r="E11601"/>
  <c r="B11602"/>
  <c r="E11602"/>
  <c r="B11603"/>
  <c r="E11603"/>
  <c r="B11604"/>
  <c r="E11604"/>
  <c r="B11605"/>
  <c r="E11605"/>
  <c r="B11606"/>
  <c r="E11606"/>
  <c r="B11607"/>
  <c r="E11607"/>
  <c r="B11608"/>
  <c r="E11608"/>
  <c r="B11609"/>
  <c r="E11609"/>
  <c r="B11610"/>
  <c r="E11610"/>
  <c r="B11611"/>
  <c r="E11611"/>
  <c r="B11612"/>
  <c r="E11612"/>
  <c r="B11613"/>
  <c r="E11613"/>
  <c r="B11614"/>
  <c r="E11614"/>
  <c r="B11615"/>
  <c r="E11615"/>
  <c r="B11616"/>
  <c r="E11616"/>
  <c r="B11617"/>
  <c r="E11617"/>
  <c r="B11618"/>
  <c r="E11618"/>
  <c r="B11619"/>
  <c r="E11619"/>
  <c r="B11620"/>
  <c r="E11620"/>
  <c r="B11621"/>
  <c r="E11621"/>
  <c r="B11622"/>
  <c r="E11622"/>
  <c r="B11623"/>
  <c r="E11623"/>
  <c r="B11624"/>
  <c r="E11624"/>
  <c r="B11625"/>
  <c r="E11625"/>
  <c r="B11626"/>
  <c r="E11626"/>
  <c r="B11627"/>
  <c r="E11627"/>
  <c r="B11628"/>
  <c r="E11628"/>
  <c r="B11629"/>
  <c r="E11629"/>
  <c r="B11630"/>
  <c r="E11630"/>
  <c r="B11631"/>
  <c r="E11631"/>
  <c r="B11632"/>
  <c r="E11632"/>
  <c r="B11633"/>
  <c r="E11633"/>
  <c r="B11634"/>
  <c r="E11634"/>
  <c r="B11635"/>
  <c r="E11635"/>
  <c r="B11636"/>
  <c r="E11636"/>
  <c r="B11637"/>
  <c r="E11637"/>
  <c r="B11638"/>
  <c r="E11638"/>
  <c r="B11639"/>
  <c r="E11639"/>
  <c r="B11640"/>
  <c r="E11640"/>
  <c r="B11641"/>
  <c r="E11641"/>
  <c r="B11642"/>
  <c r="E11642"/>
  <c r="B11643"/>
  <c r="E11643"/>
  <c r="B11644"/>
  <c r="E11644"/>
  <c r="B11645"/>
  <c r="E11645"/>
  <c r="B11646"/>
  <c r="E11646"/>
  <c r="B11647"/>
  <c r="E11647"/>
  <c r="B11648"/>
  <c r="E11648"/>
  <c r="B11649"/>
  <c r="E11649"/>
  <c r="B11650"/>
  <c r="E11650"/>
  <c r="B11651"/>
  <c r="E11651"/>
  <c r="B11652"/>
  <c r="E11652"/>
  <c r="B11653"/>
  <c r="E11653"/>
  <c r="B11654"/>
  <c r="E11654"/>
  <c r="B11655"/>
  <c r="E11655"/>
  <c r="B11656"/>
  <c r="E11656"/>
  <c r="B11657"/>
  <c r="E11657"/>
  <c r="B11658"/>
  <c r="E11658"/>
  <c r="B11659"/>
  <c r="E11659"/>
  <c r="B11660"/>
  <c r="E11660"/>
  <c r="B11661"/>
  <c r="E11661"/>
  <c r="B11662"/>
  <c r="E11662"/>
  <c r="B11663"/>
  <c r="E11663"/>
  <c r="B11664"/>
  <c r="E11664"/>
  <c r="B11665"/>
  <c r="E11665"/>
  <c r="B11666"/>
  <c r="E11666"/>
  <c r="B11667"/>
  <c r="E11667"/>
  <c r="B11668"/>
  <c r="E11668"/>
  <c r="B11669"/>
  <c r="E11669"/>
  <c r="B11670"/>
  <c r="E11670"/>
  <c r="B11671"/>
  <c r="E11671"/>
  <c r="B11672"/>
  <c r="E11672"/>
  <c r="B11673"/>
  <c r="E11673"/>
  <c r="B11674"/>
  <c r="E11674"/>
  <c r="B11675"/>
  <c r="E11675"/>
  <c r="B11676"/>
  <c r="E11676"/>
  <c r="B11677"/>
  <c r="E11677"/>
  <c r="B11678"/>
  <c r="E11678"/>
  <c r="B11679"/>
  <c r="E11679"/>
  <c r="B11680"/>
  <c r="E11680"/>
  <c r="B11681"/>
  <c r="E11681"/>
  <c r="B11682"/>
  <c r="E11682"/>
  <c r="B11683"/>
  <c r="E11683"/>
  <c r="B11684"/>
  <c r="E11684"/>
  <c r="B11685"/>
  <c r="E11685"/>
  <c r="B11686"/>
  <c r="E11686"/>
  <c r="B11687"/>
  <c r="E11687"/>
  <c r="B11688"/>
  <c r="E11688"/>
  <c r="B11689"/>
  <c r="E11689"/>
  <c r="B11690"/>
  <c r="E11690"/>
  <c r="B11691"/>
  <c r="E11691"/>
  <c r="B11692"/>
  <c r="E11692"/>
  <c r="B11693"/>
  <c r="E11693"/>
  <c r="B11694"/>
  <c r="E11694"/>
  <c r="B11695"/>
  <c r="E11695"/>
  <c r="B11696"/>
  <c r="E11696"/>
  <c r="B11697"/>
  <c r="E11697"/>
  <c r="B11698"/>
  <c r="E11698"/>
  <c r="B11699"/>
  <c r="E11699"/>
  <c r="B11700"/>
  <c r="E11700"/>
  <c r="B11701"/>
  <c r="E11701"/>
  <c r="B11702"/>
  <c r="E11702"/>
  <c r="B11703"/>
  <c r="E11703"/>
  <c r="B11704"/>
  <c r="E11704"/>
  <c r="B11705"/>
  <c r="E11705"/>
  <c r="B11706"/>
  <c r="E11706"/>
  <c r="B11707"/>
  <c r="E11707"/>
  <c r="B11708"/>
  <c r="E11708"/>
  <c r="B11709"/>
  <c r="E11709"/>
  <c r="B11710"/>
  <c r="E11710"/>
  <c r="B11711"/>
  <c r="E11711"/>
  <c r="B11712"/>
  <c r="E11712"/>
  <c r="B11713"/>
  <c r="E11713"/>
  <c r="B11714"/>
  <c r="E11714"/>
  <c r="B11715"/>
  <c r="E11715"/>
  <c r="B11716"/>
  <c r="E11716"/>
  <c r="B11717"/>
  <c r="E11717"/>
  <c r="B11718"/>
  <c r="E11718"/>
  <c r="B11719"/>
  <c r="E11719"/>
  <c r="B11720"/>
  <c r="E11720"/>
  <c r="B11721"/>
  <c r="E11721"/>
  <c r="B11722"/>
  <c r="E11722"/>
  <c r="B11723"/>
  <c r="E11723"/>
  <c r="B11724"/>
  <c r="E11724"/>
  <c r="B11725"/>
  <c r="E11725"/>
  <c r="B11726"/>
  <c r="E11726"/>
  <c r="B11727"/>
  <c r="E11727"/>
  <c r="B11728"/>
  <c r="E11728"/>
  <c r="B11729"/>
  <c r="E11729"/>
  <c r="B11730"/>
  <c r="E11730"/>
  <c r="B11731"/>
  <c r="E11731"/>
  <c r="B11732"/>
  <c r="E11732"/>
  <c r="B11733"/>
  <c r="E11733"/>
  <c r="B11734"/>
  <c r="E11734"/>
  <c r="B11735"/>
  <c r="E11735"/>
  <c r="B11736"/>
  <c r="E11736"/>
  <c r="B11737"/>
  <c r="E11737"/>
  <c r="B11738"/>
  <c r="E11738"/>
  <c r="B11739"/>
  <c r="E11739"/>
  <c r="B11740"/>
  <c r="E11740"/>
  <c r="B11741"/>
  <c r="E11741"/>
  <c r="B11742"/>
  <c r="E11742"/>
  <c r="B11743"/>
  <c r="E11743"/>
  <c r="B11744"/>
  <c r="E11744"/>
  <c r="B11745"/>
  <c r="E11745"/>
  <c r="B11746"/>
  <c r="E11746"/>
  <c r="B11747"/>
  <c r="E11747"/>
  <c r="B11748"/>
  <c r="E11748"/>
  <c r="B11749"/>
  <c r="E11749"/>
  <c r="B11750"/>
  <c r="E11750"/>
  <c r="B11751"/>
  <c r="E11751"/>
  <c r="B11752"/>
  <c r="E11752"/>
  <c r="B11753"/>
  <c r="E11753"/>
  <c r="B11754"/>
  <c r="E11754"/>
  <c r="B11755"/>
  <c r="E11755"/>
  <c r="B11756"/>
  <c r="E11756"/>
  <c r="B11757"/>
  <c r="E11757"/>
  <c r="B11758"/>
  <c r="E11758"/>
  <c r="B11759"/>
  <c r="E11759"/>
  <c r="B11760"/>
  <c r="E11760"/>
  <c r="B11761"/>
  <c r="E11761"/>
  <c r="B11762"/>
  <c r="E11762"/>
  <c r="B11763"/>
  <c r="E11763"/>
  <c r="B11764"/>
  <c r="E11764"/>
  <c r="B11765"/>
  <c r="E11765"/>
  <c r="B11766"/>
  <c r="E11766"/>
  <c r="B11767"/>
  <c r="E11767"/>
  <c r="B11768"/>
  <c r="E11768"/>
  <c r="B11769"/>
  <c r="E11769"/>
  <c r="B11770"/>
  <c r="E11770"/>
  <c r="B11771"/>
  <c r="E11771"/>
  <c r="B11772"/>
  <c r="E11772"/>
  <c r="B11773"/>
  <c r="E11773"/>
  <c r="B11774"/>
  <c r="E11774"/>
  <c r="B11775"/>
  <c r="E11775"/>
  <c r="B11776"/>
  <c r="E11776"/>
  <c r="B11777"/>
  <c r="E11777"/>
  <c r="B11778"/>
  <c r="E11778"/>
  <c r="B11779"/>
  <c r="E11779"/>
  <c r="B11780"/>
  <c r="E11780"/>
  <c r="B11781"/>
  <c r="E11781"/>
  <c r="B11782"/>
  <c r="E11782"/>
  <c r="B11783"/>
  <c r="E11783"/>
  <c r="B11784"/>
  <c r="E11784"/>
  <c r="B11785"/>
  <c r="E11785"/>
  <c r="B11786"/>
  <c r="E11786"/>
  <c r="B11787"/>
  <c r="E11787"/>
  <c r="B11788"/>
  <c r="E11788"/>
  <c r="B11789"/>
  <c r="E11789"/>
  <c r="B11790"/>
  <c r="E11790"/>
  <c r="B11791"/>
  <c r="E11791"/>
  <c r="B11792"/>
  <c r="E11792"/>
  <c r="B11793"/>
  <c r="E11793"/>
  <c r="B11794"/>
  <c r="E11794"/>
  <c r="B11795"/>
  <c r="E11795"/>
  <c r="B11796"/>
  <c r="E11796"/>
  <c r="B11797"/>
  <c r="E11797"/>
  <c r="B11798"/>
  <c r="E11798"/>
  <c r="B11799"/>
  <c r="E11799"/>
  <c r="B11800"/>
  <c r="E11800"/>
  <c r="B11801"/>
  <c r="E11801"/>
  <c r="B11802"/>
  <c r="E11802"/>
  <c r="B11803"/>
  <c r="E11803"/>
  <c r="B11804"/>
  <c r="E11804"/>
  <c r="B11805"/>
  <c r="E11805"/>
  <c r="B11806"/>
  <c r="E11806"/>
  <c r="B11807"/>
  <c r="E11807"/>
  <c r="B11808"/>
  <c r="E11808"/>
  <c r="B11809"/>
  <c r="E11809"/>
  <c r="B11810"/>
  <c r="E11810"/>
  <c r="B11811"/>
  <c r="E11811"/>
  <c r="B11812"/>
  <c r="E11812"/>
  <c r="B11813"/>
  <c r="E11813"/>
  <c r="B11814"/>
  <c r="E11814"/>
  <c r="B11815"/>
  <c r="E11815"/>
  <c r="B11816"/>
  <c r="E11816"/>
  <c r="B11817"/>
  <c r="E11817"/>
  <c r="B11818"/>
  <c r="E11818"/>
  <c r="B11819"/>
  <c r="E11819"/>
  <c r="B11820"/>
  <c r="E11820"/>
  <c r="B11821"/>
  <c r="E11821"/>
  <c r="B11822"/>
  <c r="E11822"/>
  <c r="B11823"/>
  <c r="E11823"/>
  <c r="B11824"/>
  <c r="E11824"/>
  <c r="B11825"/>
  <c r="E11825"/>
  <c r="B11826"/>
  <c r="E11826"/>
  <c r="B11827"/>
  <c r="E11827"/>
  <c r="B11828"/>
  <c r="E11828"/>
  <c r="B11829"/>
  <c r="E11829"/>
  <c r="B11830"/>
  <c r="E11830"/>
  <c r="B11831"/>
  <c r="E11831"/>
  <c r="B11832"/>
  <c r="E11832"/>
  <c r="B11833"/>
  <c r="E11833"/>
  <c r="B11834"/>
  <c r="E11834"/>
  <c r="B11835"/>
  <c r="E11835"/>
  <c r="B11836"/>
  <c r="E11836"/>
  <c r="B11837"/>
  <c r="E11837"/>
  <c r="B11838"/>
  <c r="E11838"/>
  <c r="B11839"/>
  <c r="E11839"/>
  <c r="B11840"/>
  <c r="E11840"/>
  <c r="B11841"/>
  <c r="E11841"/>
  <c r="B11842"/>
  <c r="E11842"/>
  <c r="B11843"/>
  <c r="E11843"/>
  <c r="B11844"/>
  <c r="E11844"/>
  <c r="B11845"/>
  <c r="E11845"/>
  <c r="B11846"/>
  <c r="E11846"/>
  <c r="B11847"/>
  <c r="E11847"/>
  <c r="B11848"/>
  <c r="E11848"/>
  <c r="B11849"/>
  <c r="E11849"/>
  <c r="B11850"/>
  <c r="E11850"/>
  <c r="B11851"/>
  <c r="E11851"/>
  <c r="B11852"/>
  <c r="E11852"/>
  <c r="B11853"/>
  <c r="E11853"/>
  <c r="B11854"/>
  <c r="E11854"/>
  <c r="B11855"/>
  <c r="E11855"/>
  <c r="B11856"/>
  <c r="E11856"/>
  <c r="B11857"/>
  <c r="E11857"/>
  <c r="B11858"/>
  <c r="E11858"/>
  <c r="B11859"/>
  <c r="E11859"/>
  <c r="B11860"/>
  <c r="E11860"/>
  <c r="B11861"/>
  <c r="E11861"/>
  <c r="B11862"/>
  <c r="E11862"/>
  <c r="B11863"/>
  <c r="E11863"/>
  <c r="B11864"/>
  <c r="E11864"/>
  <c r="B11865"/>
  <c r="E11865"/>
  <c r="B11866"/>
  <c r="E11866"/>
  <c r="B11867"/>
  <c r="E11867"/>
  <c r="B11868"/>
  <c r="E11868"/>
  <c r="B11869"/>
  <c r="E11869"/>
  <c r="B11870"/>
  <c r="E11870"/>
  <c r="B11871"/>
  <c r="E11871"/>
  <c r="B11872"/>
  <c r="E11872"/>
  <c r="B11873"/>
  <c r="E11873"/>
  <c r="B11874"/>
  <c r="E11874"/>
  <c r="B11875"/>
  <c r="E11875"/>
  <c r="B11876"/>
  <c r="E11876"/>
  <c r="B11877"/>
  <c r="E11877"/>
  <c r="B11878"/>
  <c r="E11878"/>
  <c r="B11879"/>
  <c r="E11879"/>
  <c r="B11880"/>
  <c r="E11880"/>
  <c r="B11881"/>
  <c r="E11881"/>
  <c r="B11882"/>
  <c r="E11882"/>
  <c r="B11883"/>
  <c r="E11883"/>
  <c r="B11884"/>
  <c r="E11884"/>
  <c r="B11885"/>
  <c r="E11885"/>
  <c r="B11886"/>
  <c r="E11886"/>
  <c r="B11887"/>
  <c r="E11887"/>
  <c r="B11888"/>
  <c r="E11888"/>
  <c r="B11889"/>
  <c r="E11889"/>
  <c r="B11890"/>
  <c r="E11890"/>
  <c r="B11891"/>
  <c r="E11891"/>
  <c r="B11892"/>
  <c r="E11892"/>
  <c r="B11893"/>
  <c r="E11893"/>
  <c r="B11894"/>
  <c r="E11894"/>
  <c r="B11895"/>
  <c r="E11895"/>
  <c r="B11896"/>
  <c r="E11896"/>
  <c r="B11897"/>
  <c r="E11897"/>
  <c r="B11898"/>
  <c r="E11898"/>
  <c r="B11899"/>
  <c r="E11899"/>
  <c r="B11900"/>
  <c r="E11900"/>
  <c r="B11901"/>
  <c r="E11901"/>
  <c r="B11902"/>
  <c r="E11902"/>
  <c r="B11903"/>
  <c r="E11903"/>
  <c r="B11904"/>
  <c r="E11904"/>
  <c r="B11905"/>
  <c r="E11905"/>
  <c r="B11906"/>
  <c r="E11906"/>
  <c r="B11907"/>
  <c r="E11907"/>
  <c r="B11908"/>
  <c r="E11908"/>
  <c r="B11909"/>
  <c r="E11909"/>
  <c r="B11910"/>
  <c r="E11910"/>
  <c r="B11911"/>
  <c r="E11911"/>
  <c r="B11912"/>
  <c r="E11912"/>
  <c r="B11913"/>
  <c r="E11913"/>
  <c r="B11914"/>
  <c r="E11914"/>
  <c r="B11915"/>
  <c r="E11915"/>
  <c r="B11916"/>
  <c r="E11916"/>
  <c r="B11917"/>
  <c r="E11917"/>
  <c r="B11918"/>
  <c r="E11918"/>
  <c r="B11919"/>
  <c r="E11919"/>
  <c r="B11920"/>
  <c r="E11920"/>
  <c r="B11921"/>
  <c r="E11921"/>
  <c r="B11922"/>
  <c r="E11922"/>
  <c r="B11923"/>
  <c r="E11923"/>
  <c r="B11924"/>
  <c r="E11924"/>
  <c r="B11925"/>
  <c r="E11925"/>
  <c r="B11926"/>
  <c r="E11926"/>
  <c r="B11927"/>
  <c r="E11927"/>
  <c r="B11928"/>
  <c r="E11928"/>
  <c r="B11929"/>
  <c r="E11929"/>
  <c r="B11930"/>
  <c r="E11930"/>
  <c r="B11931"/>
  <c r="E11931"/>
  <c r="B11932"/>
  <c r="E11932"/>
  <c r="B11933"/>
  <c r="E11933"/>
  <c r="B11934"/>
  <c r="E11934"/>
  <c r="B11935"/>
  <c r="E11935"/>
  <c r="B11936"/>
  <c r="E11936"/>
  <c r="B11937"/>
  <c r="E11937"/>
  <c r="B11938"/>
  <c r="E11938"/>
</calcChain>
</file>

<file path=xl/sharedStrings.xml><?xml version="1.0" encoding="utf-8"?>
<sst xmlns="http://schemas.openxmlformats.org/spreadsheetml/2006/main" count="35805" uniqueCount="11414">
  <si>
    <t>Growth ETF Portfolio (VGRO)</t>
  </si>
  <si>
    <t>Holding details</t>
  </si>
  <si>
    <t>As of close  30 April 2019</t>
  </si>
  <si>
    <t>Holding name</t>
  </si>
  <si>
    <t>% of market value</t>
  </si>
  <si>
    <t>Sector</t>
  </si>
  <si>
    <t>Market Allocation</t>
  </si>
  <si>
    <t>Market value</t>
  </si>
  <si>
    <t>Shares</t>
  </si>
  <si>
    <t>Royal Bank of Canada(RY)</t>
  </si>
  <si>
    <t>—</t>
  </si>
  <si>
    <t>Toronto-Dominion Bank(TD)</t>
  </si>
  <si>
    <t>Microsoft Corp.(MSFT)</t>
  </si>
  <si>
    <t>Enbridge Inc.(ENB)</t>
  </si>
  <si>
    <t>Bank of Nova Scotia(BNS)</t>
  </si>
  <si>
    <t>Canadian National Railway Co. (Toronto Shares)(CNR)</t>
  </si>
  <si>
    <t>Apple Inc.(AAPL)</t>
  </si>
  <si>
    <t>Amazon.com Inc.(AMZN)</t>
  </si>
  <si>
    <t>Suncor Energy Inc.(SU)</t>
  </si>
  <si>
    <t>Bank of Montreal(BMO)</t>
  </si>
  <si>
    <t>TransCanada Corp.(TRP)</t>
  </si>
  <si>
    <t>Brookfield Asset Management Inc. Class A(BAM.A)</t>
  </si>
  <si>
    <t>Canadian Imperial Bank of Commerce(CM)</t>
  </si>
  <si>
    <t>Manulife Financial Corp.(MFC)</t>
  </si>
  <si>
    <t>Canadian Natural Resources Ltd.(CNQ)</t>
  </si>
  <si>
    <t>Facebook Inc. Class A(FB)</t>
  </si>
  <si>
    <t>Nutrien Ltd.(NTR)</t>
  </si>
  <si>
    <t>Canadian Pacific Railway Ltd.(CP)</t>
  </si>
  <si>
    <t>Berkshire Hathaway Inc. Class B(BRK.B)</t>
  </si>
  <si>
    <t>JPMorgan Chase &amp; Co.(JPM)</t>
  </si>
  <si>
    <t>Johnson &amp; Johnson(JNJ)</t>
  </si>
  <si>
    <t>Alphabet Inc. Class A(GOOGL)</t>
  </si>
  <si>
    <t>Alphabet Inc. Class C(GOOG)</t>
  </si>
  <si>
    <t>Sun Life Financial Inc.(SLF)</t>
  </si>
  <si>
    <t>Alimentation Couche-Tard Inc. Class B(ATD.B)</t>
  </si>
  <si>
    <t>Exxon Mobil Corp.(XOM)</t>
  </si>
  <si>
    <t>Waste Connections Inc.(WCN)</t>
  </si>
  <si>
    <t>Shopify Inc. Class A(SHOP)</t>
  </si>
  <si>
    <t>Barrick Gold Corp.(ABX)</t>
  </si>
  <si>
    <t>Nestle SA(NESN)</t>
  </si>
  <si>
    <t>Visa Inc. Class A(V)</t>
  </si>
  <si>
    <t>Procter &amp; Gamble Co.(PG)</t>
  </si>
  <si>
    <t>Bank of America Corp.(BAC)</t>
  </si>
  <si>
    <t>Tencent Holdings Ltd.(700)</t>
  </si>
  <si>
    <t>Cisco Systems Inc.(CSCO)</t>
  </si>
  <si>
    <t>Rogers Communications Inc. Class B(RCI.B)</t>
  </si>
  <si>
    <t>Pembina Pipeline Corp.(PPL)</t>
  </si>
  <si>
    <t>Constellation Software Inc./Canada(CSU)</t>
  </si>
  <si>
    <t>CGI Inc.(GIB.A)</t>
  </si>
  <si>
    <t>Verizon Communications Inc.(VZ)</t>
  </si>
  <si>
    <t>Pfizer Inc.(PFE)</t>
  </si>
  <si>
    <t>Walt Disney Co.(DIS)</t>
  </si>
  <si>
    <t>Magna International Inc.(MG)</t>
  </si>
  <si>
    <t>Mastercard Inc. Class A(MA)</t>
  </si>
  <si>
    <t>Home Depot Inc.(HD)</t>
  </si>
  <si>
    <t>Intel Corp.(INTC)</t>
  </si>
  <si>
    <t>Chevron Corp.(CVX)</t>
  </si>
  <si>
    <t>AT&amp;T Inc.(T)</t>
  </si>
  <si>
    <t>National Bank of Canada(NA)</t>
  </si>
  <si>
    <t>UnitedHealth Group Inc.(UNH)</t>
  </si>
  <si>
    <t>Fortis Inc./Canada(FTS)</t>
  </si>
  <si>
    <t>Restaurant Brands International Inc.(QSR)</t>
  </si>
  <si>
    <t>Merck &amp; Co. Inc.(MRK)</t>
  </si>
  <si>
    <t>Boeing Co.(BA)</t>
  </si>
  <si>
    <t>Alibaba Group Holding Ltd. ADR(BABA)</t>
  </si>
  <si>
    <t>Wells Fargo &amp; Co.(WFC)</t>
  </si>
  <si>
    <t>Comcast Corp. Class A(CMCSA)</t>
  </si>
  <si>
    <t>Coca-Cola Co.(KO)</t>
  </si>
  <si>
    <t>Samsung Electronics Co. Ltd.(005930)</t>
  </si>
  <si>
    <t>BCE Inc.(BCE)</t>
  </si>
  <si>
    <t>Roche Holding AG(ROG)</t>
  </si>
  <si>
    <t>PepsiCo Inc.(PEP)</t>
  </si>
  <si>
    <t>Franco-Nevada Corp.(FNV)</t>
  </si>
  <si>
    <t>Novartis AG(NOVN)</t>
  </si>
  <si>
    <t>Fairfax Financial Holdings Ltd.(FFH)</t>
  </si>
  <si>
    <t>HSBC Holdings plc(HSBA)</t>
  </si>
  <si>
    <t>Citigroup Inc.(C)</t>
  </si>
  <si>
    <t>Thomson Reuters Corp.(TRI)</t>
  </si>
  <si>
    <t>Teck Resources Ltd. Class B(TECK.B)</t>
  </si>
  <si>
    <t>Intact Financial Corp.(IFC)</t>
  </si>
  <si>
    <t>Netflix Inc.(NFLX)</t>
  </si>
  <si>
    <t>Toyota Motor Corp.(7203)</t>
  </si>
  <si>
    <t>McDonald's Corp.(MCD)</t>
  </si>
  <si>
    <t>Walmart Inc.(WMT)</t>
  </si>
  <si>
    <t>Royal Dutch Shell plc Class A(RDSA)</t>
  </si>
  <si>
    <t>BP plc(BP.)</t>
  </si>
  <si>
    <t>Adobe Inc.(ADBE)</t>
  </si>
  <si>
    <t>Encana Corp.(ECA)</t>
  </si>
  <si>
    <t>Abbott Laboratories(ABT)</t>
  </si>
  <si>
    <t>Oracle Corp.(ORCL)</t>
  </si>
  <si>
    <t>TOTAL SA(FP)</t>
  </si>
  <si>
    <t>Cenovus Energy Inc.(CVE)</t>
  </si>
  <si>
    <t>Philip Morris International Inc.(PM)</t>
  </si>
  <si>
    <t>Open Text Corp.(OTEX)</t>
  </si>
  <si>
    <t>Agnico Eagle Mines Ltd.(AEM)</t>
  </si>
  <si>
    <t>Wheaton Precious Metals Corp.(WPM)</t>
  </si>
  <si>
    <t>Dollarama Inc.(DOL)</t>
  </si>
  <si>
    <t>Union Pacific Corp.(UNP)</t>
  </si>
  <si>
    <t>International Business Machines Corp.(IBM)</t>
  </si>
  <si>
    <t>Honeywell International Inc.(HON)</t>
  </si>
  <si>
    <t>PayPal Holdings Inc.(PYPL)</t>
  </si>
  <si>
    <t>SAP SE(SAP)</t>
  </si>
  <si>
    <t>Loblaw Cos. Ltd.(L)</t>
  </si>
  <si>
    <t>AIA Group Ltd.(1299)</t>
  </si>
  <si>
    <t>United Technologies Corp.(UTX)</t>
  </si>
  <si>
    <t>Shaw Communications Inc. Class B(SJR.B)</t>
  </si>
  <si>
    <t>Canopy Growth Corp.(WEED)</t>
  </si>
  <si>
    <t>salesforce.com Inc.(CRM)</t>
  </si>
  <si>
    <t>Broadcom Inc.(AVGO)</t>
  </si>
  <si>
    <t>AbbVie Inc.(ABBV)</t>
  </si>
  <si>
    <t>Medtronic plc(MDT)</t>
  </si>
  <si>
    <t>Metro Inc.(MRU)</t>
  </si>
  <si>
    <t>Royal Dutch Shell plc Class B(RDSB)</t>
  </si>
  <si>
    <t>Accenture plc Class A(ACN)</t>
  </si>
  <si>
    <t>Taiwan Semiconductor Manufacturing Co. Ltd.(2330)</t>
  </si>
  <si>
    <t>Texas Instruments Inc.(TXN)</t>
  </si>
  <si>
    <t>Thermo Fisher Scientific Inc.(TMO)</t>
  </si>
  <si>
    <t>Amgen Inc.(AMGN)</t>
  </si>
  <si>
    <t>NIKE Inc. Class B(NKE)</t>
  </si>
  <si>
    <t>3M Co.(MMM)</t>
  </si>
  <si>
    <t>Costco Wholesale Corp.(COST)</t>
  </si>
  <si>
    <t>Power Corp. of Canada(POW)</t>
  </si>
  <si>
    <t>Bausch Health Cos. Inc.(BHC)</t>
  </si>
  <si>
    <t>NVIDIA Corp.(NVDA)</t>
  </si>
  <si>
    <t>QUALCOMM Inc.(QCOM)</t>
  </si>
  <si>
    <t>Gildan Activewear Inc.(GIL)</t>
  </si>
  <si>
    <t>Eli Lilly &amp; Co.(LLY)</t>
  </si>
  <si>
    <t>Altria Group Inc.(MO)</t>
  </si>
  <si>
    <t>Saputo Inc.(SAP)</t>
  </si>
  <si>
    <t>Naspers Ltd.(NPN)</t>
  </si>
  <si>
    <t>GlaxoSmithKline plc(GSK)</t>
  </si>
  <si>
    <t>Diageo plc(DGE)</t>
  </si>
  <si>
    <t>Allianz SE(ALV)</t>
  </si>
  <si>
    <t>TELUS Corp.(T)</t>
  </si>
  <si>
    <t>Linde plc(LIN)</t>
  </si>
  <si>
    <t>AstraZeneca plc(AZN)</t>
  </si>
  <si>
    <t>Aurora Cannabis Inc.(ACB)</t>
  </si>
  <si>
    <t>First Quantum Minerals Ltd.(FM)</t>
  </si>
  <si>
    <t>LVMH Moet Hennessy Louis Vuitton SE(MC)</t>
  </si>
  <si>
    <t>Great-West Lifeco Inc.(GWO)</t>
  </si>
  <si>
    <t>Sanofi(SAN)</t>
  </si>
  <si>
    <t>Imperial Oil Ltd.(IMO)</t>
  </si>
  <si>
    <t>NextEra Energy Inc.(NEE)</t>
  </si>
  <si>
    <t>Commonwealth Bank of Australia(CBA)</t>
  </si>
  <si>
    <t>Starbucks Corp.(SBUX)</t>
  </si>
  <si>
    <t>Siemens AG(SIE)</t>
  </si>
  <si>
    <t>Unilever NV(UNA)</t>
  </si>
  <si>
    <t>Lowe's Cos. Inc.(LOW)</t>
  </si>
  <si>
    <t>Inter Pipeline Ltd.(IPL)</t>
  </si>
  <si>
    <t>SoftBank Group Corp.(9984)</t>
  </si>
  <si>
    <t>British American Tobacco plc(BATS)</t>
  </si>
  <si>
    <t>Canadian Tire Corp. Ltd. Class A(CTC.A)</t>
  </si>
  <si>
    <t>DowDuPont Inc.(DWDP)</t>
  </si>
  <si>
    <t>American Tower Corp.(AMT)</t>
  </si>
  <si>
    <t>Booking Holdings Inc.(BKNG)</t>
  </si>
  <si>
    <t>CAE Inc.(CAE)</t>
  </si>
  <si>
    <t>Danaher Corp.(DHR)</t>
  </si>
  <si>
    <t>General Electric Co.(GE)</t>
  </si>
  <si>
    <t>ASML Holding NV(ASML)</t>
  </si>
  <si>
    <t>CCL Industries Inc. Class B(CCL.B)</t>
  </si>
  <si>
    <t>Gilead Sciences Inc.(GILD)</t>
  </si>
  <si>
    <t>Novo Nordisk A/S Class B(NOVO B)</t>
  </si>
  <si>
    <t>Kirkland Lake Gold Ltd.(KL)</t>
  </si>
  <si>
    <t>Banco Santander SA(SAN)</t>
  </si>
  <si>
    <t>Caterpillar Inc.(CAT)</t>
  </si>
  <si>
    <t>Lockheed Martin Corp.(LMT)</t>
  </si>
  <si>
    <t>RioCan REIT(REI.UN)</t>
  </si>
  <si>
    <t>Power Financial Corp.(PWF)</t>
  </si>
  <si>
    <t>American Express Co.(AXP)</t>
  </si>
  <si>
    <t>BHP Group Ltd.(BHP)</t>
  </si>
  <si>
    <t>US Bancorp(USB)</t>
  </si>
  <si>
    <t>Bristol-Myers Squibb Co.(BMY)</t>
  </si>
  <si>
    <t>WSP Global Inc.(WSP)</t>
  </si>
  <si>
    <t>Airbus SE(AIR)</t>
  </si>
  <si>
    <t>BASF SE(BAS)</t>
  </si>
  <si>
    <t>Algonquin Power &amp; Utilities Corp.(AQN)</t>
  </si>
  <si>
    <t>Taiwan Semiconductor Manufacturing Co. Ltd. ADR(TSM)</t>
  </si>
  <si>
    <t>United Parcel Service Inc. Class B(UPS)</t>
  </si>
  <si>
    <t>Mondelez International Inc. Class A(MDLZ)</t>
  </si>
  <si>
    <t>China Construction Bank Corp.(939)</t>
  </si>
  <si>
    <t>George Weston Ltd.(WN)</t>
  </si>
  <si>
    <t>ConocoPhillips(COP)</t>
  </si>
  <si>
    <t>CVS Health Corp.(CVS)</t>
  </si>
  <si>
    <t>Canadian Apartment Properties REIT(CAR.UN)</t>
  </si>
  <si>
    <t>Goldman Sachs Group Inc.(GS)</t>
  </si>
  <si>
    <t>Hydro One Ltd.(H)</t>
  </si>
  <si>
    <t>Anheuser-Busch InBev SA/NV(ABI)</t>
  </si>
  <si>
    <t>Automatic Data Processing Inc.(ADP)</t>
  </si>
  <si>
    <t>Anthem Inc.(ANTM)</t>
  </si>
  <si>
    <t>Unilever plc(ULVR)</t>
  </si>
  <si>
    <t>H&amp;R REIT(HR.UN)</t>
  </si>
  <si>
    <t>Westpac Banking Corp.(WBC)</t>
  </si>
  <si>
    <t>Celgene Corp.(CELG)</t>
  </si>
  <si>
    <t>Duke Energy Corp.(DUK)</t>
  </si>
  <si>
    <t>Onex Corp.(ONEX)</t>
  </si>
  <si>
    <t>Keyera Corp.(KEY)</t>
  </si>
  <si>
    <t>Becton Dickinson and Co.(BDX)</t>
  </si>
  <si>
    <t>Rio Tinto plc(RIO)</t>
  </si>
  <si>
    <t>CME Group Inc.(CME)</t>
  </si>
  <si>
    <t>CSL Ltd.(CSL)</t>
  </si>
  <si>
    <t>Colgate-Palmolive Co.(CL)</t>
  </si>
  <si>
    <t>Bayer AG(BAYN)</t>
  </si>
  <si>
    <t>Dominion Energy Inc.(D)</t>
  </si>
  <si>
    <t>Intuit Inc.(INTU)</t>
  </si>
  <si>
    <t>Morgan Stanley(MS)</t>
  </si>
  <si>
    <t>BlackBerry Ltd.(BB)</t>
  </si>
  <si>
    <t>CSX Corp.(CSX)</t>
  </si>
  <si>
    <t>Mitsubishi UFJ Financial Group Inc.(8306)</t>
  </si>
  <si>
    <t>TJX Cos. Inc.(TJX)</t>
  </si>
  <si>
    <t>Cigna Corp.(CI)</t>
  </si>
  <si>
    <t>Parkland Fuel Corp.(PKI)</t>
  </si>
  <si>
    <t>Chubb Ltd.(CB)</t>
  </si>
  <si>
    <t>Sony Corp.(6758)</t>
  </si>
  <si>
    <t>SNC-Lavalin Group Inc.(SNC)</t>
  </si>
  <si>
    <t>Schlumberger Ltd.(SLB)</t>
  </si>
  <si>
    <t>Prudential plc(PRU)</t>
  </si>
  <si>
    <t>Cameco Corp.(CCO)</t>
  </si>
  <si>
    <t>Charter Communications Inc. Class A(CHTR)</t>
  </si>
  <si>
    <t>Intuitive Surgical Inc.(ISRG)</t>
  </si>
  <si>
    <t>iA Financial Corp. Inc.(IAG)</t>
  </si>
  <si>
    <t>Lloyds Banking Group plc(LLOY)</t>
  </si>
  <si>
    <t>Ping An Insurance Group Co. of China Ltd.(2318)</t>
  </si>
  <si>
    <t>BNP Paribas SA(BNP)</t>
  </si>
  <si>
    <t>Methanex Corp.(MX)</t>
  </si>
  <si>
    <t>Reliance Industries Ltd.(RELIANCE)</t>
  </si>
  <si>
    <t>Daimler AG(DAI)</t>
  </si>
  <si>
    <t>PNC Financial Services Group Inc.(PNC)</t>
  </si>
  <si>
    <t>Stryker Corp.(SYK)</t>
  </si>
  <si>
    <t>Takeda Pharmaceutical Co. Ltd.(4502)</t>
  </si>
  <si>
    <t>Keyence Corp.(6861)</t>
  </si>
  <si>
    <t>EOG Resources Inc.(EOG)</t>
  </si>
  <si>
    <t>Charles Schwab Corp.(SCHW)</t>
  </si>
  <si>
    <t>Toromont Industries Ltd.(TIH)</t>
  </si>
  <si>
    <t>Australia &amp; New Zealand Banking Group Ltd.(ANZ)</t>
  </si>
  <si>
    <t>Iberdrola SA(IBE)</t>
  </si>
  <si>
    <t>S&amp;P Global Inc.(SPGI)</t>
  </si>
  <si>
    <t>Norfolk Southern Corp.(NSC)</t>
  </si>
  <si>
    <t>Industrial &amp; Commercial Bank of China Ltd.(1398)</t>
  </si>
  <si>
    <t>Southern Co.(SO)</t>
  </si>
  <si>
    <t>Simon Property Group Inc.(SPG)</t>
  </si>
  <si>
    <t>BlackRock Inc.(BLK)</t>
  </si>
  <si>
    <t>Kinross Gold Corp.(K)</t>
  </si>
  <si>
    <t>Deutsche Telekom AG(DTE)</t>
  </si>
  <si>
    <t>Deere &amp; Co.(DE)</t>
  </si>
  <si>
    <t>Crown Castle International Corp.(CCI)</t>
  </si>
  <si>
    <t>Empire Co. Ltd.(EMP.A)</t>
  </si>
  <si>
    <t>Boston Scientific Corp.(BSX)</t>
  </si>
  <si>
    <t>Ritchie Bros Auctioneers Inc.(RBA)</t>
  </si>
  <si>
    <t>Tourmaline Oil Corp.(TOU)</t>
  </si>
  <si>
    <t>AXA SA(CS)</t>
  </si>
  <si>
    <t>Reckitt Benckiser Group plc(RB.)</t>
  </si>
  <si>
    <t>Raytheon Co.(RTN)</t>
  </si>
  <si>
    <t>Allied Properties REIT(AP.UN)</t>
  </si>
  <si>
    <t>Vodafone Group plc(VOD)</t>
  </si>
  <si>
    <t>National Australia Bank Ltd.(NAB)</t>
  </si>
  <si>
    <t>General Motors Co.(GM)</t>
  </si>
  <si>
    <t>ING Groep NV(INGA)</t>
  </si>
  <si>
    <t>BHP Group plc(BHP)</t>
  </si>
  <si>
    <t>Northrop Grumman Corp.(NOC)</t>
  </si>
  <si>
    <t>Exelon Corp.(EXC)</t>
  </si>
  <si>
    <t>Bombardier Inc. Class B(BBD.B)</t>
  </si>
  <si>
    <t>Allergan plc(AGN)</t>
  </si>
  <si>
    <t>AltaGas Ltd.(ALA)</t>
  </si>
  <si>
    <t>Zoetis Inc.(ZTS)</t>
  </si>
  <si>
    <t>adidas AG(ADS)</t>
  </si>
  <si>
    <t>Honda Motor Co. Ltd.(7267)</t>
  </si>
  <si>
    <t>ServiceNow Inc.(NOW)</t>
  </si>
  <si>
    <t>Prologis Inc.(PLD)</t>
  </si>
  <si>
    <t>Enel SPA(ENEL)</t>
  </si>
  <si>
    <t>Danone SA(BN)</t>
  </si>
  <si>
    <t>Ecolab Inc.(ECL)</t>
  </si>
  <si>
    <t>TMX Group Ltd.(X)</t>
  </si>
  <si>
    <t>Sumitomo Mitsui Financial Group Inc.(8316)</t>
  </si>
  <si>
    <t>Vermilion Energy Inc.(VET)</t>
  </si>
  <si>
    <t>Marsh &amp; McLennan Cos. Inc.(MMC)</t>
  </si>
  <si>
    <t>Micron Technology Inc.(MU)</t>
  </si>
  <si>
    <t>Safran SA(SAF)</t>
  </si>
  <si>
    <t>Vinci SA(DG)</t>
  </si>
  <si>
    <t>Zurich Insurance Group AG(ZURN)</t>
  </si>
  <si>
    <t>UBS Group AG(UBSG)</t>
  </si>
  <si>
    <t>China Mobile Ltd.(941)</t>
  </si>
  <si>
    <t>Intercontinental Exchange Inc.(ICE)</t>
  </si>
  <si>
    <t>Lundin Mining Corp.(LUN)</t>
  </si>
  <si>
    <t>Illumina Inc.(ILMN)</t>
  </si>
  <si>
    <t>PrairieSky Royalty Ltd.(PSK)</t>
  </si>
  <si>
    <t>Progressive Corp.(PGR)</t>
  </si>
  <si>
    <t>Waste Management Inc.(WM)</t>
  </si>
  <si>
    <t>Housing Development Finance Corp. Ltd.(HDFC)</t>
  </si>
  <si>
    <t>Husky Energy Inc.(HSE)</t>
  </si>
  <si>
    <t>Air Products &amp; Chemicals Inc.(APD)</t>
  </si>
  <si>
    <t>Biogen Inc.(BIIB)</t>
  </si>
  <si>
    <t>CI Financial Corp.(CIX)</t>
  </si>
  <si>
    <t>FedEx Corp.(FDX)</t>
  </si>
  <si>
    <t>Canadian Utilities Ltd. Class A(CU)</t>
  </si>
  <si>
    <t>Glencore plc(GLEN)</t>
  </si>
  <si>
    <t>Occidental Petroleum Corp.(OXY)</t>
  </si>
  <si>
    <t>Kimberly-Clark Corp.(KMB)</t>
  </si>
  <si>
    <t>Kering SA(KER)</t>
  </si>
  <si>
    <t>Hong Kong Exchanges &amp; Clearing Ltd.(388)</t>
  </si>
  <si>
    <t>General Dynamics Corp.(GD)</t>
  </si>
  <si>
    <t>Schneider Electric SE(SU)</t>
  </si>
  <si>
    <t>Dow Inc.(DOW)</t>
  </si>
  <si>
    <t>Air Canada Class B(AC)</t>
  </si>
  <si>
    <t>Emerson Electric Co.(EMR)</t>
  </si>
  <si>
    <t>Capital One Financial Corp.(COF)</t>
  </si>
  <si>
    <t>Illinois Tool Works Inc.(ITW)</t>
  </si>
  <si>
    <t>SmartCentres REIT(SRU.UN)</t>
  </si>
  <si>
    <t>Aon plc(AON)</t>
  </si>
  <si>
    <t>Vertex Pharmaceuticals Inc.(VRTX)</t>
  </si>
  <si>
    <t>Prudential Financial Inc.(PRU)</t>
  </si>
  <si>
    <t>Walgreens Boots Alliance Inc.(WBA)</t>
  </si>
  <si>
    <t>Bank of New York Mellon Corp.(BK)</t>
  </si>
  <si>
    <t>Analog Devices Inc.(ADI)</t>
  </si>
  <si>
    <t>Eni SPA(ENI)</t>
  </si>
  <si>
    <t>West Fraser Timber Co. Ltd.(WFT)</t>
  </si>
  <si>
    <t>Baidu Inc. ADR(BIDU)</t>
  </si>
  <si>
    <t>Marathon Petroleum Corp.(MPC)</t>
  </si>
  <si>
    <t>American Electric Power Co. Inc.(AEP)</t>
  </si>
  <si>
    <t>Applied Materials Inc.(AMAT)</t>
  </si>
  <si>
    <t>Cognizant Technology Solutions Corp. Class A(CTSH)</t>
  </si>
  <si>
    <t>Cronos Group Inc.(CRON)</t>
  </si>
  <si>
    <t>Descartes Systems Group Inc.(DSG)</t>
  </si>
  <si>
    <t>American International Group Inc.(AIG)</t>
  </si>
  <si>
    <t>Phillips 66(PSX)</t>
  </si>
  <si>
    <t>Ford Motor Co.(F)</t>
  </si>
  <si>
    <t>Canada Goose Holdings Inc.(GOOS)</t>
  </si>
  <si>
    <t>Banco Bilbao Vizcaya Argentaria SA(BBVA)</t>
  </si>
  <si>
    <t>Target Corp.(TGT)</t>
  </si>
  <si>
    <t>Finning International Inc.(FTT)</t>
  </si>
  <si>
    <t>KDDI Corp.(9433)</t>
  </si>
  <si>
    <t>Koninklijke Philips NV(PHIA)</t>
  </si>
  <si>
    <t>Intesa Sanpaolo SPA (Registered)(ISP)</t>
  </si>
  <si>
    <t>Quebecor Inc. Class B(QBR.B)</t>
  </si>
  <si>
    <t>Mizuho Financial Group Inc.(8411)</t>
  </si>
  <si>
    <t>BB&amp;T Corp.(BBT)</t>
  </si>
  <si>
    <t>Autodesk Inc.(ADSK)</t>
  </si>
  <si>
    <t>Central Japan Railway Co.(9022)</t>
  </si>
  <si>
    <t>Valero Energy Corp.(VLO)</t>
  </si>
  <si>
    <t>Baxter International Inc.(BAX)</t>
  </si>
  <si>
    <t>Stantec Inc.(STN)</t>
  </si>
  <si>
    <t>Stars Group Inc.(TSGI)</t>
  </si>
  <si>
    <t>Sherwin-Williams Co.(SHW)</t>
  </si>
  <si>
    <t>Kinder Morgan Inc./DE(KMI)</t>
  </si>
  <si>
    <t>Shin-Etsu Chemical Co. Ltd.(4063)</t>
  </si>
  <si>
    <t>Aflac Inc.(AFL)</t>
  </si>
  <si>
    <t>Equinix Inc.(EQIX)</t>
  </si>
  <si>
    <t>Telefonica SA(TEF)</t>
  </si>
  <si>
    <t>Estee Lauder Cos. Inc. Class A(EL)</t>
  </si>
  <si>
    <t>Fidelity National Information Services Inc.(FIS)</t>
  </si>
  <si>
    <t>Infosys Ltd.(INFY)</t>
  </si>
  <si>
    <t>Cie Financiere Richemont SA(CFR)</t>
  </si>
  <si>
    <t>DBS Group Holdings Ltd.(D05)</t>
  </si>
  <si>
    <t>ABB Ltd.(ABBN)</t>
  </si>
  <si>
    <t>Roper Technologies Inc.(ROP)</t>
  </si>
  <si>
    <t>Nintendo Co. Ltd.(7974)</t>
  </si>
  <si>
    <t>Muenchener Rueckversicherungs-Gesellschaft AG in Muenchen(MUV2)</t>
  </si>
  <si>
    <t>Pernod Ricard SA(RI)</t>
  </si>
  <si>
    <t>TFI International Inc.(TFII)</t>
  </si>
  <si>
    <t>National Grid plc(NG.)</t>
  </si>
  <si>
    <t>Activision Blizzard Inc.(ATVI)</t>
  </si>
  <si>
    <t>Anadarko Petroleum Corp.(APC)</t>
  </si>
  <si>
    <t>Barclays plc(BARC)</t>
  </si>
  <si>
    <t>Edwards Lifesciences Corp.(EW)</t>
  </si>
  <si>
    <t>Kao Corp.(4452)</t>
  </si>
  <si>
    <t>FANUC Corp.(6954)</t>
  </si>
  <si>
    <t>Ross Stores Inc.(ROST)</t>
  </si>
  <si>
    <t>Element Fleet Management Corp.(EFN)</t>
  </si>
  <si>
    <t>Compass Group plc(CPG)</t>
  </si>
  <si>
    <t>FirstService Corp.(FSV)</t>
  </si>
  <si>
    <t>Travelers Cos. Inc.(TRV)</t>
  </si>
  <si>
    <t>Eaton Corp. plc(ETN)</t>
  </si>
  <si>
    <t>B2Gold Corp.(BTO)</t>
  </si>
  <si>
    <t>Delta Air Lines Inc.(DAL)</t>
  </si>
  <si>
    <t>Recruit Holdings Co. Ltd.(6098)</t>
  </si>
  <si>
    <t>Mitsubishi Corp.(8058)</t>
  </si>
  <si>
    <t>Worldpay Inc. Class A(WP)</t>
  </si>
  <si>
    <t>Pan American Silver Corp.(PAAS)</t>
  </si>
  <si>
    <t>EssilorLuxottica SA(EL)</t>
  </si>
  <si>
    <t>HCA Healthcare Inc.(HCA)</t>
  </si>
  <si>
    <t>Sempra Energy(SRE)</t>
  </si>
  <si>
    <t>Marriott International Inc./MD Class A(MAR)</t>
  </si>
  <si>
    <t>Humana Inc.(HUM)</t>
  </si>
  <si>
    <t>Atco Ltd./Canada(ACO.X)</t>
  </si>
  <si>
    <t>SK Hynix Inc.(000660)</t>
  </si>
  <si>
    <t>Fiserv Inc.(FISV)</t>
  </si>
  <si>
    <t>East Japan Railway Co.(9020)</t>
  </si>
  <si>
    <t>Credit Suisse Group AG(CSGN)</t>
  </si>
  <si>
    <t>Parex Resources Inc.(PXT)</t>
  </si>
  <si>
    <t>Williams Cos. Inc.(WMB)</t>
  </si>
  <si>
    <t>Sysco Corp.(SYY)</t>
  </si>
  <si>
    <t>Johnson Controls International plc(JCI)</t>
  </si>
  <si>
    <t>Daikin Industries Ltd.(6367)</t>
  </si>
  <si>
    <t>Bank of China Ltd.(3988)</t>
  </si>
  <si>
    <t>Deutsche Post AG(DPW)</t>
  </si>
  <si>
    <t>eBay Inc.(EBAY)</t>
  </si>
  <si>
    <t>Tokio Marine Holdings Inc.(8766)</t>
  </si>
  <si>
    <t>Nidec Corp.(6594)</t>
  </si>
  <si>
    <t>First Capital Realty Inc.(FCR)</t>
  </si>
  <si>
    <t>Dollar General Corp.(DG)</t>
  </si>
  <si>
    <t>MetLife Inc.(MET)</t>
  </si>
  <si>
    <t>Amadeus IT Group SA(AMS)</t>
  </si>
  <si>
    <t>Sberbank of Russia PJSC(SBER)</t>
  </si>
  <si>
    <t>Public Storage(PSA)</t>
  </si>
  <si>
    <t>TE Connectivity Ltd.(TEL)</t>
  </si>
  <si>
    <t>Yum! Brands Inc.(YUM)</t>
  </si>
  <si>
    <t>Moody's Corp.(MCO)</t>
  </si>
  <si>
    <t>Gibson Energy Inc.(GEI)</t>
  </si>
  <si>
    <t>Constellation Brands Inc. Class A(STZ)</t>
  </si>
  <si>
    <t>Tesco plc(TSCO)</t>
  </si>
  <si>
    <t>Lam Research Corp.(LRCX)</t>
  </si>
  <si>
    <t>Industria de Diseno Textil SA(ITX)</t>
  </si>
  <si>
    <t>Choice Properties REIT(CHP.UN)</t>
  </si>
  <si>
    <t>Chartwell Retirement Residences(CSH.UN)</t>
  </si>
  <si>
    <t>Capital Power Corp.(CPX)</t>
  </si>
  <si>
    <t>HP Inc.(HPQ)</t>
  </si>
  <si>
    <t>Volkswagen AG Preference Shares(VOW3)</t>
  </si>
  <si>
    <t>Allstate Corp.(ALL)</t>
  </si>
  <si>
    <t>IGM Financial Inc.(IGM)</t>
  </si>
  <si>
    <t>Workday Inc. Class A(WDAY)</t>
  </si>
  <si>
    <t>Daiichi Sankyo Co. Ltd.(4568)</t>
  </si>
  <si>
    <t>Tesla Inc.(TSLA)</t>
  </si>
  <si>
    <t>UniCredit SPA(UCG)</t>
  </si>
  <si>
    <t>Murata Manufacturing Co. Ltd.(6981)</t>
  </si>
  <si>
    <t>Hon Hai Precision Industry Co. Ltd.(2317)</t>
  </si>
  <si>
    <t>General Mills Inc.(GIS)</t>
  </si>
  <si>
    <t>Hitachi Ltd.(6501)</t>
  </si>
  <si>
    <t>Red Hat Inc.(RHT)</t>
  </si>
  <si>
    <t>Shiseido Co. Ltd.(4911)</t>
  </si>
  <si>
    <t>Xilinx Inc.(XLNX)</t>
  </si>
  <si>
    <t>ARC Resources Ltd.(ARX)</t>
  </si>
  <si>
    <t>Imperial Brands plc(IMB)</t>
  </si>
  <si>
    <t>Public Service Enterprise Group Inc.(PEG)</t>
  </si>
  <si>
    <t>Colliers International Group Inc.(CIGI)</t>
  </si>
  <si>
    <t>O'Reilly Automotive Inc.(ORLY)</t>
  </si>
  <si>
    <t>VF Corp.(VFC)</t>
  </si>
  <si>
    <t>Orange SA(ORA)</t>
  </si>
  <si>
    <t>Enerplus Corp.(ERF)</t>
  </si>
  <si>
    <t>Emera Inc.(EMA)</t>
  </si>
  <si>
    <t>Welltower Inc.(WELL)</t>
  </si>
  <si>
    <t>Amphenol Corp. Class A(APH)</t>
  </si>
  <si>
    <t>Ingersoll-Rand plc(IR)</t>
  </si>
  <si>
    <t>Woolworths Group Ltd.(WOW)</t>
  </si>
  <si>
    <t>Xcel Energy Inc.(XEL)</t>
  </si>
  <si>
    <t>Macquarie Group Ltd.(MQG)</t>
  </si>
  <si>
    <t>Boyd Group Income Fund(BYD.UN)</t>
  </si>
  <si>
    <t>Twitter Inc.(TWTR)</t>
  </si>
  <si>
    <t>Fast Retailing Co. Ltd.(9983)</t>
  </si>
  <si>
    <t>Oversea-Chinese Banking Corp. Ltd.(O39)</t>
  </si>
  <si>
    <t>Nokia Oyj(NOKIA)</t>
  </si>
  <si>
    <t>Swiss Re AG(SREN)</t>
  </si>
  <si>
    <t>SunTrust Banks Inc.(STI)</t>
  </si>
  <si>
    <t>Seven Generations Energy Ltd. Class A(VII)</t>
  </si>
  <si>
    <t>Alexion Pharmaceuticals Inc.(ALXN)</t>
  </si>
  <si>
    <t>Wesfarmers Ltd.(WES)</t>
  </si>
  <si>
    <t>Great Canadian Gaming Corp.(GC)</t>
  </si>
  <si>
    <t>Crescent Point Energy Corp.(CPG)</t>
  </si>
  <si>
    <t>Cott Corp.(BCB)</t>
  </si>
  <si>
    <t>Pioneer Natural Resources Co.(PXD)</t>
  </si>
  <si>
    <t>Electronic Arts Inc.(EA)</t>
  </si>
  <si>
    <t>Mitsubishi Electric Corp.(6503)</t>
  </si>
  <si>
    <t>Granite REIT(GRT.UN)</t>
  </si>
  <si>
    <t>CK Hutchison Holdings Ltd.(1)</t>
  </si>
  <si>
    <t>Equity Residential(EQR)</t>
  </si>
  <si>
    <t>Canon Inc.(7751)</t>
  </si>
  <si>
    <t>Yamana Gold Inc.(YRI)</t>
  </si>
  <si>
    <t>Vale SA(VALE3)</t>
  </si>
  <si>
    <t>Telefonaktiebolaget LM Ericsson Class B(ERIC B)</t>
  </si>
  <si>
    <t>Northland Power Inc.(NPI)</t>
  </si>
  <si>
    <t>Consolidated Edison Inc.(ED)</t>
  </si>
  <si>
    <t>ONEOK Inc.(OKE)</t>
  </si>
  <si>
    <t>Vivendi SA(VIV)</t>
  </si>
  <si>
    <t>AvalonBay Communities Inc.(AVB)</t>
  </si>
  <si>
    <t>Japan Tobacco Inc.(2914)</t>
  </si>
  <si>
    <t>PPG Industries Inc.(PPG)</t>
  </si>
  <si>
    <t>Regeneron Pharmaceuticals Inc.(REGN)</t>
  </si>
  <si>
    <t>RELX plc(REL)</t>
  </si>
  <si>
    <t>Paychex Inc.(PAYX)</t>
  </si>
  <si>
    <t>L'Oreal SA(OR)</t>
  </si>
  <si>
    <t>Southwest Airlines Co.(LUV)</t>
  </si>
  <si>
    <t>Mitsui &amp; Co. Ltd.(8031)</t>
  </si>
  <si>
    <t>Tata Consultancy Services Ltd.(TCS)</t>
  </si>
  <si>
    <t>Seven &amp; i Holdings Co. Ltd.(3382)</t>
  </si>
  <si>
    <t>Infineon Technologies AG(IFX)</t>
  </si>
  <si>
    <t>Discover Financial Services(DFS)</t>
  </si>
  <si>
    <t>Bayerische Motoren Werke AG(BMW)</t>
  </si>
  <si>
    <t>Canadian Western Bank(CWB)</t>
  </si>
  <si>
    <t>Experian plc(EXPN)</t>
  </si>
  <si>
    <t>Nippon Telegraph &amp; Telephone Corp.(9432)</t>
  </si>
  <si>
    <t>CNOOC Ltd.(883)</t>
  </si>
  <si>
    <t>TransAlta Corp.(TA)</t>
  </si>
  <si>
    <t>Las Vegas Sands Corp.(LVS)</t>
  </si>
  <si>
    <t>Astellas Pharma Inc.(4503)</t>
  </si>
  <si>
    <t>LyondellBasell Industries NV Class A(LYB)</t>
  </si>
  <si>
    <t>United Overseas Bank Ltd.(U11)</t>
  </si>
  <si>
    <t>Vonovia SE(VNA)</t>
  </si>
  <si>
    <t>CRH plc(CRH)</t>
  </si>
  <si>
    <t>Fortive Corp.(FTV)</t>
  </si>
  <si>
    <t>Koninklijke Ahold Delhaize NV(AD)</t>
  </si>
  <si>
    <t>Stella-Jones Inc.(SJ)</t>
  </si>
  <si>
    <t>AutoZone Inc.(AZO)</t>
  </si>
  <si>
    <t>Alcon Inc.(ALC)</t>
  </si>
  <si>
    <t>Hoya Corp.(7741)</t>
  </si>
  <si>
    <t>Nordea Bank Abp(NDA SE)</t>
  </si>
  <si>
    <t>Hilton Worldwide Holdings Inc.(HLT)</t>
  </si>
  <si>
    <t>Anglo American plc(AAL)</t>
  </si>
  <si>
    <t>ITOCHU Corp.(8001)</t>
  </si>
  <si>
    <t>Heineken NV(HEIA)</t>
  </si>
  <si>
    <t>Assicurazioni Generali SPA(G)</t>
  </si>
  <si>
    <t>NTT DOCOMO Inc.(9437)</t>
  </si>
  <si>
    <t>Transurban Group(TCL)</t>
  </si>
  <si>
    <t>Archer-Daniels-Midland Co.(ADM)</t>
  </si>
  <si>
    <t>Dollar Tree Inc.(DLTR)</t>
  </si>
  <si>
    <t>Rio Tinto Ltd.(RIO)</t>
  </si>
  <si>
    <t>Zimmer Biomet Holdings Inc.(ZBH)</t>
  </si>
  <si>
    <t>Corning Inc.(GLW)</t>
  </si>
  <si>
    <t>Advanced Micro Devices Inc.(AMD)</t>
  </si>
  <si>
    <t>Dream Global REIT(DRG.UN)</t>
  </si>
  <si>
    <t>BT Group plc(BT.A)</t>
  </si>
  <si>
    <t>Agilent Technologies Inc.(A)</t>
  </si>
  <si>
    <t>Tokyo Electron Ltd.(8035)</t>
  </si>
  <si>
    <t>PACCAR Inc.(PCAR)</t>
  </si>
  <si>
    <t>Cummins Inc.(CMI)</t>
  </si>
  <si>
    <t>WEC Energy Group Inc.(WEC)</t>
  </si>
  <si>
    <t>Monster Beverage Corp.(MNST)</t>
  </si>
  <si>
    <t>Align Technology Inc.(ALGN)</t>
  </si>
  <si>
    <t>Maple Leaf Foods Inc.(MFI)</t>
  </si>
  <si>
    <t>Sun Hung Kai Properties Ltd.(16)</t>
  </si>
  <si>
    <t>L OREAL COMMON STOCK(null)</t>
  </si>
  <si>
    <t>Bridgestone Corp.(5108)</t>
  </si>
  <si>
    <t>Alamos Gold Inc. Class A(AGI)</t>
  </si>
  <si>
    <t>Standard Chartered plc(STAN)</t>
  </si>
  <si>
    <t>State Street Corp.(STT)</t>
  </si>
  <si>
    <t>Digital Realty Trust Inc.(DLR)</t>
  </si>
  <si>
    <t>Link REIT(823)</t>
  </si>
  <si>
    <t>Deutsche Boerse AG(DB1)</t>
  </si>
  <si>
    <t>SMC Corp./Japan(6273)</t>
  </si>
  <si>
    <t>T. Rowe Price Group Inc.(TROW)</t>
  </si>
  <si>
    <t>LafargeHolcim Ltd.(LHN)</t>
  </si>
  <si>
    <t>Woodside Petroleum Ltd.(WPL)</t>
  </si>
  <si>
    <t>Volvo AB Class B(VOLV B)</t>
  </si>
  <si>
    <t>Willis Towers Watson plc(WLTW)</t>
  </si>
  <si>
    <t>Premium Brands Holdings Corp.(PBH)</t>
  </si>
  <si>
    <t>Halliburton Co.(HAL)</t>
  </si>
  <si>
    <t>Microchip Technology Inc.(MCHP)</t>
  </si>
  <si>
    <t>Osisko Gold Royalties Ltd.(OR)</t>
  </si>
  <si>
    <t>Linamar Corp.(LNR)</t>
  </si>
  <si>
    <t>Motorola Solutions Inc.(MSI)</t>
  </si>
  <si>
    <t>Givaudan SA(GIVN)</t>
  </si>
  <si>
    <t>E.ON SE(EOAN)</t>
  </si>
  <si>
    <t>Synchrony Financial(SYF)</t>
  </si>
  <si>
    <t>Parker-Hannifin Corp.(PH)</t>
  </si>
  <si>
    <t>Komatsu Ltd.(6301)</t>
  </si>
  <si>
    <t>OceanaGold Corp.(OGC)</t>
  </si>
  <si>
    <t>IQVIA Holdings Inc.(IQV)</t>
  </si>
  <si>
    <t>Concho Resources Inc.(CXO)</t>
  </si>
  <si>
    <t>SBA Communications Corp. Class A(SBAC)</t>
  </si>
  <si>
    <t>TransDigm Group Inc.(TDG)</t>
  </si>
  <si>
    <t>Repsol SA(REP)</t>
  </si>
  <si>
    <t>McKesson Corp.(MCK)</t>
  </si>
  <si>
    <t>Global Payments Inc.(GPN)</t>
  </si>
  <si>
    <t>Lonza Group AG(LONN)</t>
  </si>
  <si>
    <t>Fresenius SE &amp; Co. KGaA(FRE)</t>
  </si>
  <si>
    <t>DTE Energy Co.(DTE)</t>
  </si>
  <si>
    <t>Cie Generale des Etablissements Michelin SCA(ML)</t>
  </si>
  <si>
    <t>Air Liquide SA(AI)</t>
  </si>
  <si>
    <t>Eversource Energy(ES)</t>
  </si>
  <si>
    <t>Societe Generale SA(GLE)</t>
  </si>
  <si>
    <t>Square Inc.(SQ)</t>
  </si>
  <si>
    <t>Tyson Foods Inc. Class A(TSN)</t>
  </si>
  <si>
    <t>Whitecap Resources Inc.(WCP)</t>
  </si>
  <si>
    <t>PPL Corp.(PPL)</t>
  </si>
  <si>
    <t>Palo Alto Networks Inc.(PANW)</t>
  </si>
  <si>
    <t>M&amp;T Bank Corp.(MTB)</t>
  </si>
  <si>
    <t>Equinor ASA(EQNR)</t>
  </si>
  <si>
    <t>Aviva plc(AV.)</t>
  </si>
  <si>
    <t>FleetCor Technologies Inc.(FLT)</t>
  </si>
  <si>
    <t>Aptiv plc(APTV)</t>
  </si>
  <si>
    <t>Petroleo Brasileiro SA(PETR3)</t>
  </si>
  <si>
    <t>FirstEnergy Corp.(FE)</t>
  </si>
  <si>
    <t>Fifth Third Bancorp(FITB)</t>
  </si>
  <si>
    <t>Sampo Oyj Class A(SAMPO)</t>
  </si>
  <si>
    <t>Stanley Black &amp; Decker Inc.(SWK)</t>
  </si>
  <si>
    <t>JD.com Inc. ADR(JD)</t>
  </si>
  <si>
    <t>Qatar National Bank QPSC(QNBK)</t>
  </si>
  <si>
    <t>Hewlett Packard Enterprise Co.(HPE)</t>
  </si>
  <si>
    <t>Verisk Analytics Inc. Class A(VRSK)</t>
  </si>
  <si>
    <t>Mitsui Fudosan Co. Ltd.(8801)</t>
  </si>
  <si>
    <t>Ventas Inc.(VTR)</t>
  </si>
  <si>
    <t>CK Asset Holdings Ltd.(1113)</t>
  </si>
  <si>
    <t>Lukoil PJSC ADR(LKOD)</t>
  </si>
  <si>
    <t>T-Mobile US Inc.(TMUS)</t>
  </si>
  <si>
    <t>Carnival Corp.(CCL)</t>
  </si>
  <si>
    <t>Rockwell Automation Inc.(ROK)</t>
  </si>
  <si>
    <t>Hermes International(RMS)</t>
  </si>
  <si>
    <t>IHS Markit Ltd.(INFO)</t>
  </si>
  <si>
    <t>Legal &amp; General Group plc(LGEN)</t>
  </si>
  <si>
    <t>Sika AG(SIKA)</t>
  </si>
  <si>
    <t>Hudbay Minerals Inc.(HBM)</t>
  </si>
  <si>
    <t>VeriSign Inc.(VRSN)</t>
  </si>
  <si>
    <t>Kone Oyj Class B(KNEBV)</t>
  </si>
  <si>
    <t>Boston Properties Inc.(BXP)</t>
  </si>
  <si>
    <t>Realty Income Corp.(O)</t>
  </si>
  <si>
    <t>Hong Kong &amp; China Gas Co. Ltd.(3)</t>
  </si>
  <si>
    <t>Dassault Systemes SE(DSY)</t>
  </si>
  <si>
    <t>Detour Gold Corp.(DGC)</t>
  </si>
  <si>
    <t>Edison International(EIX)</t>
  </si>
  <si>
    <t>KLA-Tencor Corp.(KLAC)</t>
  </si>
  <si>
    <t>Aphria Inc.(APHA)</t>
  </si>
  <si>
    <t>Investor AB Class B(INVE B)</t>
  </si>
  <si>
    <t>Banco Bradesco SA Preference Shares(BBDC4)</t>
  </si>
  <si>
    <t>Northern Trust Corp.(NTRS)</t>
  </si>
  <si>
    <t>Cominar REIT(CUF.UN)</t>
  </si>
  <si>
    <t>BAE Systems plc(BA.)</t>
  </si>
  <si>
    <t>AIR LIQUIDE FINANCE COMMON STOCK(null)</t>
  </si>
  <si>
    <t>Kroger Co.(KR)</t>
  </si>
  <si>
    <t>United Continental Holdings Inc.(UAL)</t>
  </si>
  <si>
    <t>Splunk Inc.(SPLK)</t>
  </si>
  <si>
    <t>KBC Group NV(KBC)</t>
  </si>
  <si>
    <t>Oriental Land Co. Ltd./Japan(4661)</t>
  </si>
  <si>
    <t>Cerner Corp.(CERN)</t>
  </si>
  <si>
    <t>Clorox Co.(CLX)</t>
  </si>
  <si>
    <t>Centene Corp.(CNC)</t>
  </si>
  <si>
    <t>London Stock Exchange Group plc(LSE)</t>
  </si>
  <si>
    <t>Cie de Saint-Gobain(SGO)</t>
  </si>
  <si>
    <t>Ivanhoe Mines Ltd.(IVN)</t>
  </si>
  <si>
    <t>Weyerhaeuser Co.(WY)</t>
  </si>
  <si>
    <t>Ball Corp.(BLL)</t>
  </si>
  <si>
    <t>Denso Corp.(6902)</t>
  </si>
  <si>
    <t>Kyocera Corp.(6971)</t>
  </si>
  <si>
    <t>Legrand SA(LR)</t>
  </si>
  <si>
    <t>Sandvik AB(SAND)</t>
  </si>
  <si>
    <t>Royal Caribbean Cruises Ltd.(RCL)</t>
  </si>
  <si>
    <t>DNB ASA(DNB)</t>
  </si>
  <si>
    <t>Koninklijke DSM NV(DSM)</t>
  </si>
  <si>
    <t>Rolls-Royce Holdings plc(RR.)</t>
  </si>
  <si>
    <t>Panasonic Corp.(6752)</t>
  </si>
  <si>
    <t>Turquoise Hill Resources Ltd.(TRQ)</t>
  </si>
  <si>
    <t>Fastenal Co.(FAST)</t>
  </si>
  <si>
    <t>AMETEK Inc.(AME)</t>
  </si>
  <si>
    <t>Samsung Electronics Co. Ltd. Preference Shares(005935)</t>
  </si>
  <si>
    <t>Itau Unibanco Holding SA Preference Shares(ITUB4)</t>
  </si>
  <si>
    <t>Mitsubishi Estate Co. Ltd.(8802)</t>
  </si>
  <si>
    <t>Ameriprise Financial Inc.(AMP)</t>
  </si>
  <si>
    <t>IDEXX Laboratories Inc.(IDXX)</t>
  </si>
  <si>
    <t>PTT PCL (Foreign)(PTT-F)</t>
  </si>
  <si>
    <t>Harris Corp.(HRS)</t>
  </si>
  <si>
    <t>Suzuki Motor Corp.(7269)</t>
  </si>
  <si>
    <t>Akzo Nobel NV(AKZA)</t>
  </si>
  <si>
    <t>Ulta Beauty Inc.(ULTA)</t>
  </si>
  <si>
    <t>China Life Insurance Co. Ltd.(2628)</t>
  </si>
  <si>
    <t>Cadence Design Systems Inc.(CDNS)</t>
  </si>
  <si>
    <t>Assa Abloy AB Class B(ASSA B)</t>
  </si>
  <si>
    <t>Terumo Corp.(4543)</t>
  </si>
  <si>
    <t>American Water Works Co. Inc.(AWK)</t>
  </si>
  <si>
    <t>China Merchants Bank Co. Ltd.(3968)</t>
  </si>
  <si>
    <t>Atlas Copco AB Class A(ATCO A)</t>
  </si>
  <si>
    <t>Chipotle Mexican Grill Inc. Class A(CMG)</t>
  </si>
  <si>
    <t>Unibail-Rodamco-Westfield(null)</t>
  </si>
  <si>
    <t>Softbank Corp.(9434)</t>
  </si>
  <si>
    <t>IAMGOLD Corp.(IMG)</t>
  </si>
  <si>
    <t>SSR Mining Inc.(SSRM)</t>
  </si>
  <si>
    <t>Hang Seng Bank Ltd.(11)</t>
  </si>
  <si>
    <t>Fomento Economico Mexicano SAB de CV(FEMSAUBD)</t>
  </si>
  <si>
    <t>McCormick &amp; Co. Inc./MD(MKC)</t>
  </si>
  <si>
    <t>Capgemini SE(CAP)</t>
  </si>
  <si>
    <t>NFI Group Inc.(NFI)</t>
  </si>
  <si>
    <t>International Paper Co.(IP)</t>
  </si>
  <si>
    <t>Hartford Financial Services Group Inc.(HIG)</t>
  </si>
  <si>
    <t>America Movil SAB de CV(AMXL)</t>
  </si>
  <si>
    <t>Kinaxis Inc.(KXS)</t>
  </si>
  <si>
    <t>Wolters Kluwer NV(WKL)</t>
  </si>
  <si>
    <t>NetEase Inc. ADR(NTES)</t>
  </si>
  <si>
    <t>Essex Property Trust Inc.(ESS)</t>
  </si>
  <si>
    <t>CLP Holdings Ltd.(2)</t>
  </si>
  <si>
    <t>Mettler-Toledo International Inc.(MTD)</t>
  </si>
  <si>
    <t>China Petroleum &amp; Chemical Corp.(386)</t>
  </si>
  <si>
    <t>Continental AG(CON)</t>
  </si>
  <si>
    <t>Church &amp; Dwight Co. Inc.(CHD)</t>
  </si>
  <si>
    <t>Nucor Corp.(NUE)</t>
  </si>
  <si>
    <t>ORIX Corp.(8591)</t>
  </si>
  <si>
    <t>Daiwa House Industry Co. Ltd.(1925)</t>
  </si>
  <si>
    <t>Synopsys Inc.(SNPS)</t>
  </si>
  <si>
    <t>Lululemon Athletica Inc.(LULU)</t>
  </si>
  <si>
    <t>Axis Bank Ltd.(AXISBANK)</t>
  </si>
  <si>
    <t>Cintas Corp.(CTAS)</t>
  </si>
  <si>
    <t>Kirin Holdings Co. Ltd.(2503)</t>
  </si>
  <si>
    <t>CoStar Group Inc.(CSGP)</t>
  </si>
  <si>
    <t>Laurentian Bank of Canada(LB)</t>
  </si>
  <si>
    <t>NetApp Inc.(NTAP)</t>
  </si>
  <si>
    <t>Toshiba Corp.(6502)</t>
  </si>
  <si>
    <t>MSCI Inc. Class A(MSCI)</t>
  </si>
  <si>
    <t>Vestas Wind Systems A/S(VWS)</t>
  </si>
  <si>
    <t>KeyCorp(KEY)</t>
  </si>
  <si>
    <t>Essity AB Class B(ESSITY B)</t>
  </si>
  <si>
    <t>Omnicom Group Inc.(OMC)</t>
  </si>
  <si>
    <t>Bank Central Asia Tbk PT(BBCA)</t>
  </si>
  <si>
    <t>Ameren Corp.(AEE)</t>
  </si>
  <si>
    <t>Fresenius Medical Care AG &amp; Co. KGaA(FME)</t>
  </si>
  <si>
    <t>Hess Corp.(HES)</t>
  </si>
  <si>
    <t>Hershey Co.(HSY)</t>
  </si>
  <si>
    <t>DXC Technology Co.(DXC)</t>
  </si>
  <si>
    <t>Innergex Renewable Energy Inc.(INE)</t>
  </si>
  <si>
    <t>Pretium Resources Inc.(PVG)</t>
  </si>
  <si>
    <t>Veeva Systems Inc. Class A(VEEV)</t>
  </si>
  <si>
    <t>IAC/InterActiveCorp(IAC)</t>
  </si>
  <si>
    <t>Diamondback Energy Inc.(FANG)</t>
  </si>
  <si>
    <t>Entergy Corp.(ETR)</t>
  </si>
  <si>
    <t>Republic Services Inc. Class A(RSG)</t>
  </si>
  <si>
    <t>BRP Inc.(DOO)</t>
  </si>
  <si>
    <t>LUKOIL PJSC(LKOH)</t>
  </si>
  <si>
    <t>Wirecard AG(WDI)</t>
  </si>
  <si>
    <t>Deutsche Bank AG(DBK)</t>
  </si>
  <si>
    <t>Singapore Telecommunications Ltd.(Z74)</t>
  </si>
  <si>
    <t>L3 Technologies Inc.(LLL)</t>
  </si>
  <si>
    <t>Fiat Chrysler Automobiles NV(FCA)</t>
  </si>
  <si>
    <t>CBS Corp. Class B(CBS)</t>
  </si>
  <si>
    <t>Norbord Inc.(OSB)</t>
  </si>
  <si>
    <t>Ambev SA(ABEV3)</t>
  </si>
  <si>
    <t>Newmont Goldcorp Corp.(NEM)</t>
  </si>
  <si>
    <t>Best Buy Co. Inc.(BBY)</t>
  </si>
  <si>
    <t>National Bank of Kuwait SAKP(NBK)</t>
  </si>
  <si>
    <t>Ferrari NV(RACE)</t>
  </si>
  <si>
    <t>FUJIFILM Holdings Corp.(4901)</t>
  </si>
  <si>
    <t>Asahi Group Holdings Ltd.(2502)</t>
  </si>
  <si>
    <t>Sasol Ltd.(SOL)</t>
  </si>
  <si>
    <t>Smith &amp; Nephew plc(SN.)</t>
  </si>
  <si>
    <t>Superior Plus Corp.(SPB)</t>
  </si>
  <si>
    <t>Hyundai Motor Co.(005380)</t>
  </si>
  <si>
    <t>Citizens Financial Group Inc.(CFG)</t>
  </si>
  <si>
    <t>CBRE Group Inc. Class A(CBRE)</t>
  </si>
  <si>
    <t>Shionogi &amp; Co. Ltd.(4507)</t>
  </si>
  <si>
    <t>Vulcan Materials Co.(VMC)</t>
  </si>
  <si>
    <t>Kubota Corp.(6326)</t>
  </si>
  <si>
    <t>Enerflex Ltd.(EFX)</t>
  </si>
  <si>
    <t>Arista Networks Inc.(ANET)</t>
  </si>
  <si>
    <t>Henkel AG &amp; Co. KGaA Preference Shares(HEN3)</t>
  </si>
  <si>
    <t>Goodman Group(GMG)</t>
  </si>
  <si>
    <t>Secom Co. Ltd.(9735)</t>
  </si>
  <si>
    <t>Galaxy Entertainment Group Ltd.(27)</t>
  </si>
  <si>
    <t>ATS Automation Tooling Systems Inc.(ATA)</t>
  </si>
  <si>
    <t>Hindustan Unilever Ltd.(HINDUNILVR)</t>
  </si>
  <si>
    <t>DSV A/S(DSV)</t>
  </si>
  <si>
    <t>Cineplex Inc.(CGX)</t>
  </si>
  <si>
    <t>Maxim Integrated Products Inc.(MXIM)</t>
  </si>
  <si>
    <t>Itau Unibanco Holding SA ADR(ITUB)</t>
  </si>
  <si>
    <t>ANSYS Inc.(ANSS)</t>
  </si>
  <si>
    <t>Standard Bank Group Ltd.(SBK)</t>
  </si>
  <si>
    <t>Grupo Financiero Banorte SAB de CV(GFNORTEO)</t>
  </si>
  <si>
    <t>Total System Services Inc.(TSS)</t>
  </si>
  <si>
    <t>Swedbank AB Class A(SWED A)</t>
  </si>
  <si>
    <t>Kerry Group plc Class A(KRZ)</t>
  </si>
  <si>
    <t>Keysight Technologies Inc.(KEYS)</t>
  </si>
  <si>
    <t>Ferguson plc(FERG)</t>
  </si>
  <si>
    <t>Dai-ichi Life Holdings Inc.(8750)</t>
  </si>
  <si>
    <t>BOC Hong Kong Holdings Ltd.(2388)</t>
  </si>
  <si>
    <t>Formosa Plastics Corp.(1301)</t>
  </si>
  <si>
    <t>Kraft Heinz Co.(KHC)</t>
  </si>
  <si>
    <t>Laboratory Corp. of America Holdings(LH)</t>
  </si>
  <si>
    <t>Regions Financial Corp.(RF)</t>
  </si>
  <si>
    <t>Swiss Life Holding AG(SLHN)</t>
  </si>
  <si>
    <t>Alexandria Real Estate Equities Inc.(ARE)</t>
  </si>
  <si>
    <t>Deutsche Wohnen SE(DWNI)</t>
  </si>
  <si>
    <t>Principal Financial Group Inc.(PFG)</t>
  </si>
  <si>
    <t>B3 SA - Brasil Bolsa Balcao(B3SA3)</t>
  </si>
  <si>
    <t>RELX plc(RENa)</t>
  </si>
  <si>
    <t>CDW Corp./DE(CDW)</t>
  </si>
  <si>
    <t>JXTG Holdings Inc.(5020)</t>
  </si>
  <si>
    <t>Kellogg Co.(K)</t>
  </si>
  <si>
    <t>Shinhan Financial Group Co. Ltd.(055550)</t>
  </si>
  <si>
    <t>Marvell Technology Group Ltd.(MRVL)</t>
  </si>
  <si>
    <t>Genworth MI Canada Inc.(MIC)</t>
  </si>
  <si>
    <t>Liberty Broadband Corp.(LBRDK)</t>
  </si>
  <si>
    <t>VMware Inc. Class A(VMW)</t>
  </si>
  <si>
    <t>DR Horton Inc.(DHI)</t>
  </si>
  <si>
    <t>Nissan Motor Co. Ltd.(7201)</t>
  </si>
  <si>
    <t>CMS Energy Corp.(CMS)</t>
  </si>
  <si>
    <t>Brown-Forman Corp. Class B(BF.B)</t>
  </si>
  <si>
    <t>Sumitomo Corp.(8053)</t>
  </si>
  <si>
    <t>Conagra Brands Inc.(CAG)</t>
  </si>
  <si>
    <t>Hennes &amp; Mauritz AB Class B(HM B)</t>
  </si>
  <si>
    <t>POSCO(005490)</t>
  </si>
  <si>
    <t>Credit Agricole SA(ACA)</t>
  </si>
  <si>
    <t>Public Bank Bhd. (Local)(PBBANK)</t>
  </si>
  <si>
    <t>CenterPoint Energy Inc.(CNP)</t>
  </si>
  <si>
    <t>Otsuka Holdings Co. Ltd.(4578)</t>
  </si>
  <si>
    <t>Ctrip.com International Ltd. ADR(CTRP)</t>
  </si>
  <si>
    <t>UPM-Kymmene Oyj(UPM)</t>
  </si>
  <si>
    <t>SSE plc(SSE)</t>
  </si>
  <si>
    <t>Skyworks Solutions Inc.(SWKS)</t>
  </si>
  <si>
    <t>Arthur J Gallagher &amp; Co.(AJG)</t>
  </si>
  <si>
    <t>Waters Corp.(WAT)</t>
  </si>
  <si>
    <t>Teva Pharmaceutical Industries Ltd.(TEVA)</t>
  </si>
  <si>
    <t>Geberit AG(GEBN)</t>
  </si>
  <si>
    <t>Fox Corp. Class A(FOXA)</t>
  </si>
  <si>
    <t>BioMarin Pharmaceutical Inc.(BMRN)</t>
  </si>
  <si>
    <t>MS&amp;AD Insurance Group Holdings Inc.(8725)</t>
  </si>
  <si>
    <t>Subaru Corp.(7270)</t>
  </si>
  <si>
    <t>Evergy Inc.(EVRG)</t>
  </si>
  <si>
    <t>WPP plc(WPP)</t>
  </si>
  <si>
    <t>Equifax Inc.(EFX)</t>
  </si>
  <si>
    <t>Eisai Co. Ltd.(4523)</t>
  </si>
  <si>
    <t>Pason Systems Inc.(PSI)</t>
  </si>
  <si>
    <t>Xylem Inc./NY(XYL)</t>
  </si>
  <si>
    <t>Boardwalk REIT(BEI.UN)</t>
  </si>
  <si>
    <t>ResMed Inc.(RMD)</t>
  </si>
  <si>
    <t>Bank Rakyat Indonesia Persero Tbk PT(BBRI)</t>
  </si>
  <si>
    <t>MEG Energy Corp.(MEG)</t>
  </si>
  <si>
    <t>Lennar Corp. Class A(LEN)</t>
  </si>
  <si>
    <t>NN Group NV(NN)</t>
  </si>
  <si>
    <t>Japan Post Holdings Co. Ltd.(6178)</t>
  </si>
  <si>
    <t>Cincinnati Financial Corp.(CINF)</t>
  </si>
  <si>
    <t>Cardinal Health Inc.(CAH)</t>
  </si>
  <si>
    <t>Cheniere Energy Inc.(LNG)</t>
  </si>
  <si>
    <t>Expedia Group Inc.(EXPE)</t>
  </si>
  <si>
    <t>Centerra Gold Inc.(CG)</t>
  </si>
  <si>
    <t>TD Ameritrade Holding Corp.(AMTD)</t>
  </si>
  <si>
    <t>Symantec Corp.(SYMC)</t>
  </si>
  <si>
    <t>Huntington Bancshares Inc./OH(HBAN)</t>
  </si>
  <si>
    <t>Russel Metals Inc.(RUS)</t>
  </si>
  <si>
    <t>International Flavors &amp; Fragrances Inc.(IFF)</t>
  </si>
  <si>
    <t>Peugeot SA(UG)</t>
  </si>
  <si>
    <t>Freeport-McMoRan Inc.(FCX)</t>
  </si>
  <si>
    <t>Celltrion Inc.(068270)</t>
  </si>
  <si>
    <t>Darden Restaurants Inc.(DRI)</t>
  </si>
  <si>
    <t>Nippon Steel Corp.(5401)</t>
  </si>
  <si>
    <t>Baytex Energy Corp.(BTE)</t>
  </si>
  <si>
    <t>SS&amp;C Technologies Holdings Inc.(SSNC)</t>
  </si>
  <si>
    <t>Western Digital Corp.(WDC)</t>
  </si>
  <si>
    <t>Coloplast A/S Class B(COLO B)</t>
  </si>
  <si>
    <t>American Airlines Group Inc.(AAL)</t>
  </si>
  <si>
    <t>Annaly Capital Management Inc.(NLY)</t>
  </si>
  <si>
    <t>Host Hotels &amp; Resorts Inc.(HST)</t>
  </si>
  <si>
    <t>Marathon Oil Corp.(MRO)</t>
  </si>
  <si>
    <t>Endeavour Mining Corp.(EDV)</t>
  </si>
  <si>
    <t>KB Financial Group Inc.(105560)</t>
  </si>
  <si>
    <t>Artis REIT(AX.UN)</t>
  </si>
  <si>
    <t>Sumitomo Realty &amp; Development Co. Ltd.(8830)</t>
  </si>
  <si>
    <t>Atlantia SPA(ATL)</t>
  </si>
  <si>
    <t>Cooper Cos. Inc.(COO)</t>
  </si>
  <si>
    <t>Genuine Parts Co.(GPC)</t>
  </si>
  <si>
    <t>GoDaddy Inc. Class A(GDDY)</t>
  </si>
  <si>
    <t>Dover Corp.(DOV)</t>
  </si>
  <si>
    <t>Copart Inc.(CPRT)</t>
  </si>
  <si>
    <t>HCP Inc.(HCP)</t>
  </si>
  <si>
    <t>SGS SA(SGSN)</t>
  </si>
  <si>
    <t>Fujitsu Ltd.(6702)</t>
  </si>
  <si>
    <t>Markel Corp.(MKL)</t>
  </si>
  <si>
    <t>Royal Bank of Scotland Group plc(RBS)</t>
  </si>
  <si>
    <t>ShawCor Ltd.(SCL)</t>
  </si>
  <si>
    <t>Chugai Pharmaceutical Co. Ltd.(4519)</t>
  </si>
  <si>
    <t>Carlsberg A/S Class B(CARL B)</t>
  </si>
  <si>
    <t>Scentre Group(SCG)</t>
  </si>
  <si>
    <t>Largan Precision Co. Ltd.(3008)</t>
  </si>
  <si>
    <t>Hexagon AB Class B(HEXA B)</t>
  </si>
  <si>
    <t>Incyte Corp.(INCY)</t>
  </si>
  <si>
    <t>Mylan NV(MYL)</t>
  </si>
  <si>
    <t>Martin Marietta Materials Inc.(MLM)</t>
  </si>
  <si>
    <t>First Data Corp. Class A(FDC)</t>
  </si>
  <si>
    <t>Wal-Mart de Mexico SAB de CV(WALMEX*)</t>
  </si>
  <si>
    <t>Neste Oyj(NESTE)</t>
  </si>
  <si>
    <t>Sands China Ltd.(1928)</t>
  </si>
  <si>
    <t>FirstRand Ltd.(FSR)</t>
  </si>
  <si>
    <t>Winpak Ltd.(WPK)</t>
  </si>
  <si>
    <t>Celanese Corp. Class A(CE)</t>
  </si>
  <si>
    <t>North West Co. Inc.(NWC)</t>
  </si>
  <si>
    <t>Gartner Inc.(IT)</t>
  </si>
  <si>
    <t>Devon Energy Corp.(DVN)</t>
  </si>
  <si>
    <t>Broadridge Financial Solutions Inc.(BR)</t>
  </si>
  <si>
    <t>Jardine Matheson Holdings Ltd.(J36)</t>
  </si>
  <si>
    <t>JM Smucker Co.(SJM)</t>
  </si>
  <si>
    <t>West Japan Railway Co.(9021)</t>
  </si>
  <si>
    <t>Lincoln National Corp.(LNC)</t>
  </si>
  <si>
    <t>Expeditors International of Washington Inc.(EXPD)</t>
  </si>
  <si>
    <t>Merck KGaA(MRK)</t>
  </si>
  <si>
    <t>Loews Corp.(L)</t>
  </si>
  <si>
    <t>Fortinet Inc.(FTNT)</t>
  </si>
  <si>
    <t>Hologic Inc.(HOLX)</t>
  </si>
  <si>
    <t>Agricultural Bank of China Ltd.(1288)</t>
  </si>
  <si>
    <t>Northview Apartment REIT(NVU.UN)</t>
  </si>
  <si>
    <t>NAVER Corp.(035420)</t>
  </si>
  <si>
    <t>ArcelorMittal(MT)</t>
  </si>
  <si>
    <t>WW Grainger Inc.(GWW)</t>
  </si>
  <si>
    <t>Aeon Co. Ltd.(8267)</t>
  </si>
  <si>
    <t>3i Group plc(III)</t>
  </si>
  <si>
    <t>Telenor ASA(TEL)</t>
  </si>
  <si>
    <t>Vale SA Class B ADR(VALE)</t>
  </si>
  <si>
    <t>Brambles Ltd.(BXB)</t>
  </si>
  <si>
    <t>First Majestic Silver Corp.(FR)</t>
  </si>
  <si>
    <t>Sompo Holdings Inc.(8630)</t>
  </si>
  <si>
    <t>Wynn Resorts Ltd.(WYNN)</t>
  </si>
  <si>
    <t>Amcor Ltd./Australia(AMC)</t>
  </si>
  <si>
    <t>Newcrest Mining Ltd.(NCM)</t>
  </si>
  <si>
    <t>Noble Energy Inc.(NBL)</t>
  </si>
  <si>
    <t>TransAlta Renewables Inc.(RNW)</t>
  </si>
  <si>
    <t>LG Chem Ltd.(051910)</t>
  </si>
  <si>
    <t>CarMax Inc.(KMX)</t>
  </si>
  <si>
    <t>SVB Financial Group(SIVB)</t>
  </si>
  <si>
    <t>Teleflex Inc.(TFX)</t>
  </si>
  <si>
    <t>First Republic Bank/CA(FRC)</t>
  </si>
  <si>
    <t>China Overseas Land &amp; Investment Ltd.(688)</t>
  </si>
  <si>
    <t>Asahi Kasei Corp.(3407)</t>
  </si>
  <si>
    <t>Nan Ya Plastics Corp.(1303)</t>
  </si>
  <si>
    <t>Ashtead Group plc(AHT)</t>
  </si>
  <si>
    <t>Unicharm Corp.(8113)</t>
  </si>
  <si>
    <t>Quest Diagnostics Inc.(DGX)</t>
  </si>
  <si>
    <t>WellCare Health Plans Inc.(WCG)</t>
  </si>
  <si>
    <t>Sumitomo Mitsui Trust Holdings Inc.(8309)</t>
  </si>
  <si>
    <t>Arch Capital Group Ltd.(ACGL)</t>
  </si>
  <si>
    <t>Banco Bradesco SA ADR(BBD)</t>
  </si>
  <si>
    <t>TransUnion(TRU)</t>
  </si>
  <si>
    <t>QBE Insurance Group Ltd.(QBE)</t>
  </si>
  <si>
    <t>Twilio Inc. Class A(TWLO)</t>
  </si>
  <si>
    <t>MGM Resorts International(MGM)</t>
  </si>
  <si>
    <t>Petroleo Brasileiro SA Preference Shares(PETR4)</t>
  </si>
  <si>
    <t>Xiaomi Corp. Class B(1810)</t>
  </si>
  <si>
    <t>Renault SA(RNO)</t>
  </si>
  <si>
    <t>Insurance Australia Group Ltd.(IAG)</t>
  </si>
  <si>
    <t>Publicis Groupe SA(PUB)</t>
  </si>
  <si>
    <t>Gazprom PJSC(GAZP)</t>
  </si>
  <si>
    <t>NovaGold Resources Inc.(NG)</t>
  </si>
  <si>
    <t>Enghouse Systems Ltd.(ENGH)</t>
  </si>
  <si>
    <t>MediaTek Inc.(2454)</t>
  </si>
  <si>
    <t>Hyundai Mobis Co. Ltd.(012330)</t>
  </si>
  <si>
    <t>WP Carey Inc.(WPC)</t>
  </si>
  <si>
    <t>Apache Corp.(APA)</t>
  </si>
  <si>
    <t>Skandinaviska Enskilda Banken AB Class A(SEB A)</t>
  </si>
  <si>
    <t>Suncorp Group Ltd.(SUN)</t>
  </si>
  <si>
    <t>Gran Tierra Energy Inc.(GTE)</t>
  </si>
  <si>
    <t>Tractor Supply Co.(TSCO)</t>
  </si>
  <si>
    <t>Melrose Industries plc(MRO)</t>
  </si>
  <si>
    <t>Comerica Inc.(CMA)</t>
  </si>
  <si>
    <t>Svenska Handelsbanken AB Class A(SHB A)</t>
  </si>
  <si>
    <t>InterContinental Hotels Group plc(IHG)</t>
  </si>
  <si>
    <t>Symrise AG Class A(SY1)</t>
  </si>
  <si>
    <t>Extra Space Storage Inc.(EXR)</t>
  </si>
  <si>
    <t>Tiffany &amp; Co.(TIF)</t>
  </si>
  <si>
    <t>E*TRADE Financial Corp.(ETFC)</t>
  </si>
  <si>
    <t>Mid-America Apartment Communities Inc.(MAA)</t>
  </si>
  <si>
    <t>Informa plc(INF)</t>
  </si>
  <si>
    <t>KKR &amp; Co. Inc. Class A(KKR)</t>
  </si>
  <si>
    <t>Textron Inc.(TXT)</t>
  </si>
  <si>
    <t>Secure Energy Services Inc.(SES)</t>
  </si>
  <si>
    <t>Thales SA(HO)</t>
  </si>
  <si>
    <t>Exact Sciences Corp.(EXAS)</t>
  </si>
  <si>
    <t>Kansas City Southern(KSU)</t>
  </si>
  <si>
    <t>Baker Hughes a GE Co. Class A(BHGE)</t>
  </si>
  <si>
    <t>Norwegian Cruise Line Holdings Ltd.(NCLH)</t>
  </si>
  <si>
    <t>Akamai Technologies Inc.(AKAM)</t>
  </si>
  <si>
    <t>Varian Medical Systems Inc.(VAR)</t>
  </si>
  <si>
    <t>Olympus Corp.(7733)</t>
  </si>
  <si>
    <t>UDR Inc.(UDR)</t>
  </si>
  <si>
    <t>Berkshire Hathaway Inc. Class A(BRK.A)</t>
  </si>
  <si>
    <t>Swisscom AG(SCMN)</t>
  </si>
  <si>
    <t>Seagate Technology plc(STX)</t>
  </si>
  <si>
    <t>Nomura Holdings Inc.(8604)</t>
  </si>
  <si>
    <t>Itausa - Investimentos Itau SA Preference Shares(ITSA4)</t>
  </si>
  <si>
    <t>TechnipFMC plc(FTI)</t>
  </si>
  <si>
    <t>Transcontinental Inc. Class A(TCL.A)</t>
  </si>
  <si>
    <t>Malayan Banking Bhd.(MAYBANK)</t>
  </si>
  <si>
    <t>IDEX Corp.(IEX)</t>
  </si>
  <si>
    <t>Shimano Inc.(7309)</t>
  </si>
  <si>
    <t>Banco do Brasil SA(BBAS3)</t>
  </si>
  <si>
    <t>New Oriental Education &amp; Technology Group Inc. ADR(EDU)</t>
  </si>
  <si>
    <t>Ally Financial Inc.(ALLY)</t>
  </si>
  <si>
    <t>Aena SME SA(AENA)</t>
  </si>
  <si>
    <t>Atmos Energy Corp.(ATO)</t>
  </si>
  <si>
    <t>Citrix Systems Inc.(CTXS)</t>
  </si>
  <si>
    <t>MTN Group Ltd.(MTN)</t>
  </si>
  <si>
    <t>Marubeni Corp.(8002)</t>
  </si>
  <si>
    <t>Snam SPA(SRG)</t>
  </si>
  <si>
    <t>MTU Aero Engines AG(MTX)</t>
  </si>
  <si>
    <t>STMicroelectronics NV(STM)</t>
  </si>
  <si>
    <t>Mitsubishi Heavy Industries Ltd.(7011)</t>
  </si>
  <si>
    <t>Veolia Environnement SA(VIE)</t>
  </si>
  <si>
    <t>Home Capital Group Inc. Class B(HCG)</t>
  </si>
  <si>
    <t>ABIOMED Inc.(ABMD)</t>
  </si>
  <si>
    <t>AmerisourceBergen Corp. Class A(ABC)</t>
  </si>
  <si>
    <t>Vornado Realty Trust(VNO)</t>
  </si>
  <si>
    <t>Partners Group Holding AG(PGHN)</t>
  </si>
  <si>
    <t>HeidelbergCement AG(HEI)</t>
  </si>
  <si>
    <t>Ferrovial SA(FER)</t>
  </si>
  <si>
    <t>Kohl's Corp.(KSS)</t>
  </si>
  <si>
    <t>Martinrea International Inc.(MRE)</t>
  </si>
  <si>
    <t>Hasbro Inc.(HAS)</t>
  </si>
  <si>
    <t>CaixaBank SA(CABK)</t>
  </si>
  <si>
    <t>Gazprom PJSC ADR(OGZD)</t>
  </si>
  <si>
    <t>ITC Ltd.(ITC)</t>
  </si>
  <si>
    <t>SEMAFO Inc.(SMF)</t>
  </si>
  <si>
    <t>Raymond James Financial Inc.(RJF)</t>
  </si>
  <si>
    <t>Petroleo Brasileiro SA ADR(PBR.A)</t>
  </si>
  <si>
    <t>South32 Ltd.(S32)</t>
  </si>
  <si>
    <t>Dream Office REIT(D.UN)</t>
  </si>
  <si>
    <t>Orsted A/S(ORSTED)</t>
  </si>
  <si>
    <t>Telia Co. AB(TELIA)</t>
  </si>
  <si>
    <t>CP ALL PCL (Foreign)(CPALL-F)</t>
  </si>
  <si>
    <t>Teleperformance(TEP)</t>
  </si>
  <si>
    <t>Masco Corp.(MAS)</t>
  </si>
  <si>
    <t>United Rentals Inc.(URI)</t>
  </si>
  <si>
    <t>Jack Henry &amp; Associates Inc.(JKHY)</t>
  </si>
  <si>
    <t>Alliant Energy Corp.(LNT)</t>
  </si>
  <si>
    <t>Erste Group Bank AG(EBS)</t>
  </si>
  <si>
    <t>Aristocrat Leisure Ltd.(ALL)</t>
  </si>
  <si>
    <t>NRG Energy Inc.(NRG)</t>
  </si>
  <si>
    <t>Danske Bank A/S(DANSKE)</t>
  </si>
  <si>
    <t>CTBC Financial Holding Co. Ltd.(2891)</t>
  </si>
  <si>
    <t>Associated British Foods plc(ABF)</t>
  </si>
  <si>
    <t>PetroChina Co. Ltd.(857)</t>
  </si>
  <si>
    <t>Cboe Global Markets Inc.(CBOE)</t>
  </si>
  <si>
    <t>Dentsply Sirona Inc.(XRAY)</t>
  </si>
  <si>
    <t>Burlington Stores Inc.(BURL)</t>
  </si>
  <si>
    <t>Telekomunikasi Indonesia Persero Tbk PT(TLKM)</t>
  </si>
  <si>
    <t>Zebra Technologies Corp.(ZBRA)</t>
  </si>
  <si>
    <t>Celestica Inc.(CLS)</t>
  </si>
  <si>
    <t>Garmin Ltd.(GRMN)</t>
  </si>
  <si>
    <t>Molson Coors Brewing Co. Class B(TAP)</t>
  </si>
  <si>
    <t>AES Corp./VA(AES)</t>
  </si>
  <si>
    <t>Advance Auto Parts Inc.(AAP)</t>
  </si>
  <si>
    <t>Carrefour SA(CA)</t>
  </si>
  <si>
    <t>Domino's Pizza Inc.(DPZ)</t>
  </si>
  <si>
    <t>Aecon Group Inc.(ARE)</t>
  </si>
  <si>
    <t>Formosa Chemicals &amp; Fibre Corp.(1326)</t>
  </si>
  <si>
    <t>TAL Education Group ADR(TAL)</t>
  </si>
  <si>
    <t>ACS Actividades de Construccion y Servicios SA(ACS)</t>
  </si>
  <si>
    <t>Burberry Group plc(BRBY)</t>
  </si>
  <si>
    <t>Tokyo Gas Co. Ltd.(9531)</t>
  </si>
  <si>
    <t>Cabot Oil &amp; Gas Corp.(COG)</t>
  </si>
  <si>
    <t>Duke Realty Corp.(DRE)</t>
  </si>
  <si>
    <t>CH Robinson Worldwide Inc.(CHRW)</t>
  </si>
  <si>
    <t>STERIS plc(STE)</t>
  </si>
  <si>
    <t>Edenred(EDEN)</t>
  </si>
  <si>
    <t>Intertek Group plc(ITRK)</t>
  </si>
  <si>
    <t>Tatneft PJSC ADR(ATAD)</t>
  </si>
  <si>
    <t>Old Dominion Freight Line Inc.(ODFL)</t>
  </si>
  <si>
    <t>Atlas Copco AB Class B(ATCO B)</t>
  </si>
  <si>
    <t>Viacom Inc. Class B(VIAB)</t>
  </si>
  <si>
    <t>Torex Gold Resources Inc.(TXG)</t>
  </si>
  <si>
    <t>Take-Two Interactive Software Inc.(TTWO)</t>
  </si>
  <si>
    <t>Vistra Energy Corp.(VST)</t>
  </si>
  <si>
    <t>Heineken Holding NV(HEIO)</t>
  </si>
  <si>
    <t>Country Garden Holdings Co. Ltd.(2007)</t>
  </si>
  <si>
    <t>Sage Group plc(SGE)</t>
  </si>
  <si>
    <t>Whitbread plc(WTB)</t>
  </si>
  <si>
    <t>TDK Corp.(6762)</t>
  </si>
  <si>
    <t>NVR Inc.(NVR)</t>
  </si>
  <si>
    <t>First Abu Dhabi Bank PJSC(FAB)</t>
  </si>
  <si>
    <t>Jacobs Engineering Group Inc.(JEC)</t>
  </si>
  <si>
    <t>Tenaga Nasional Bhd.(TENAGA)</t>
  </si>
  <si>
    <t>Regency Centers Corp.(REG)</t>
  </si>
  <si>
    <t>Universal Health Services Inc. Class B(UHS)</t>
  </si>
  <si>
    <t>Sysmex Corp.(6869)</t>
  </si>
  <si>
    <t>DexCom Inc.(DXCM)</t>
  </si>
  <si>
    <t>MarketAxess Holdings Inc.(MKTX)</t>
  </si>
  <si>
    <t>WestJet Airlines Ltd.(WJA)</t>
  </si>
  <si>
    <t>Leidos Holdings Inc.(LDOS)</t>
  </si>
  <si>
    <t>China Resources Land Ltd.(1109)</t>
  </si>
  <si>
    <t>Maruti Suzuki India Ltd.(MARUTI)</t>
  </si>
  <si>
    <t>Hormel Foods Corp.(HRL)</t>
  </si>
  <si>
    <t>PerkinElmer Inc.(PKI)</t>
  </si>
  <si>
    <t>Omron Corp.(6645)</t>
  </si>
  <si>
    <t>Beiersdorf AG(BEI)</t>
  </si>
  <si>
    <t>Porsche Automobil Holding SE Preference Shares(PAH3)</t>
  </si>
  <si>
    <t>Pinnacle West Capital Corp.(PNW)</t>
  </si>
  <si>
    <t>China Pacific Insurance Group Co. Ltd.(2601)</t>
  </si>
  <si>
    <t>CNH Industrial NV(CNHI)</t>
  </si>
  <si>
    <t>Henkel AG &amp; Co. KGaA(HEN)</t>
  </si>
  <si>
    <t>Nasdaq Inc.(NDAQ)</t>
  </si>
  <si>
    <t>Lamb Weston Holdings Inc.(LW)</t>
  </si>
  <si>
    <t>Cathay Financial Holding Co. Ltd.(2882)</t>
  </si>
  <si>
    <t>Uni-President Enterprises Corp.(1216)</t>
  </si>
  <si>
    <t>Fidelity National Financial Inc.(FNF)</t>
  </si>
  <si>
    <t>Alacer Gold Corp.(ASR)</t>
  </si>
  <si>
    <t>MEIJI Holdings Co. Ltd.(2269)</t>
  </si>
  <si>
    <t>FactSet Research Systems Inc.(FDS)</t>
  </si>
  <si>
    <t>Sunac China Holdings Ltd.(1918)</t>
  </si>
  <si>
    <t>Elanco Animal Health Inc.(ELAN)</t>
  </si>
  <si>
    <t>Dell Technologies Inc.(DELL)</t>
  </si>
  <si>
    <t>FMC Corp.(FMC)</t>
  </si>
  <si>
    <t>Delta Electronics Inc.(2308)</t>
  </si>
  <si>
    <t>CF Industries Holdings Inc.(CF)</t>
  </si>
  <si>
    <t>Julius Baer Group Ltd.(BAER)</t>
  </si>
  <si>
    <t>Bank Leumi Le-Israel BM(LUMI)</t>
  </si>
  <si>
    <t>NiSource Inc.(NI)</t>
  </si>
  <si>
    <t>Samsung SDI Co. Ltd.(006400)</t>
  </si>
  <si>
    <t>Lennox International Inc.(LII)</t>
  </si>
  <si>
    <t>Trimble Inc.(TRMB)</t>
  </si>
  <si>
    <t>Toray Industries Inc.(3402)</t>
  </si>
  <si>
    <t>ABN AMRO Group NV(ABN)</t>
  </si>
  <si>
    <t>Cogeco Communications Inc.(CCA)</t>
  </si>
  <si>
    <t>WH Group Ltd.(288)</t>
  </si>
  <si>
    <t>National Oilwell Varco Inc.(NOV)</t>
  </si>
  <si>
    <t>PG&amp;E Corp.(PCG)</t>
  </si>
  <si>
    <t>Next plc(NXT)</t>
  </si>
  <si>
    <t>Sun Communities Inc.(SUI)</t>
  </si>
  <si>
    <t>Westrock Co.(WRK)</t>
  </si>
  <si>
    <t>KT&amp;G Corp.(033780)</t>
  </si>
  <si>
    <t>Chubu Electric Power Co. Inc.(9502)</t>
  </si>
  <si>
    <t>Mullen Group Ltd.(MTL)</t>
  </si>
  <si>
    <t>AGL Energy Ltd.(AGL)</t>
  </si>
  <si>
    <t>ASX Ltd.(ASX)</t>
  </si>
  <si>
    <t>Bunzl plc(BNZL)</t>
  </si>
  <si>
    <t>Fubon Financial Holding Co. Ltd.(2881)</t>
  </si>
  <si>
    <t>Federal Realty Investment Trust(FRT)</t>
  </si>
  <si>
    <t>Sekisui House Ltd.(1928)</t>
  </si>
  <si>
    <t>Astra International Tbk PT(ASII)</t>
  </si>
  <si>
    <t>Ageas(AGS)</t>
  </si>
  <si>
    <t>Sonova Holding AG(SOON)</t>
  </si>
  <si>
    <t>Eastman Chemical Co.(EMN)</t>
  </si>
  <si>
    <t>Grifols SA(GRF)</t>
  </si>
  <si>
    <t>Koninklijke KPN NV(KPN)</t>
  </si>
  <si>
    <t>PVH Corp.(PVH)</t>
  </si>
  <si>
    <t>Coles Group Ltd.(COL)</t>
  </si>
  <si>
    <t>Okta Inc.(OKTA)</t>
  </si>
  <si>
    <t>Rentokil Initial plc(RTO)</t>
  </si>
  <si>
    <t>Peyto Exploration &amp; Development Corp.(PEY)</t>
  </si>
  <si>
    <t>Westshore Terminals Investment Corp.(WTE)</t>
  </si>
  <si>
    <t>Engie SA(ENGI)</t>
  </si>
  <si>
    <t>Ultimate Software Group Inc.(ULTI)</t>
  </si>
  <si>
    <t>Wharf Real Estate Investment Co. Ltd.(1997)</t>
  </si>
  <si>
    <t>Precision Drilling Corp.(PD)</t>
  </si>
  <si>
    <t>Commerzbank AG(CBK)</t>
  </si>
  <si>
    <t>Origin Energy Ltd.(ORG)</t>
  </si>
  <si>
    <t>Kia Motors Corp.(000270)</t>
  </si>
  <si>
    <t>Bandai Namco Holdings Inc.(7832)</t>
  </si>
  <si>
    <t>Wabtec Corp.(WAB)</t>
  </si>
  <si>
    <t>Adecco Group AG(ADEN)</t>
  </si>
  <si>
    <t>China Mengniu Dairy Co. Ltd.(2319)</t>
  </si>
  <si>
    <t>Henry Schein Inc.(HSIC)</t>
  </si>
  <si>
    <t>Franklin Resources Inc.(BEN)</t>
  </si>
  <si>
    <t>RWE AG(RWE)</t>
  </si>
  <si>
    <t>LG Household &amp; Health Care Ltd.(051900)</t>
  </si>
  <si>
    <t>Credicorp Ltd.(BAP)</t>
  </si>
  <si>
    <t>Camden Property Trust(CPT)</t>
  </si>
  <si>
    <t>Chr Hansen Holding A/S(CHR)</t>
  </si>
  <si>
    <t>Mega Financial Holding Co. Ltd.(2886)</t>
  </si>
  <si>
    <t>Grupo Mexico SAB de CV Class B(GMEXICOB)</t>
  </si>
  <si>
    <t>PTC Inc.(PTC)</t>
  </si>
  <si>
    <t>Telstra Corp. Ltd.(TLS)</t>
  </si>
  <si>
    <t>Sumitomo Electric Industries Ltd.(5802)</t>
  </si>
  <si>
    <t>AGNC Investment Corp.(AGNC)</t>
  </si>
  <si>
    <t>Hana Financial Group Inc.(086790)</t>
  </si>
  <si>
    <t>Targa Resources Corp.(TRGP)</t>
  </si>
  <si>
    <t>Daito Trust Construction Co. Ltd.(1878)</t>
  </si>
  <si>
    <t>ECN Capital Corp.(ECN)</t>
  </si>
  <si>
    <t>Resona Holdings Inc.(8308)</t>
  </si>
  <si>
    <t>Zendesk Inc.(ZEN)</t>
  </si>
  <si>
    <t>Avery Dennison Corp.(AVY)</t>
  </si>
  <si>
    <t>Everest Re Group Ltd.(RE)</t>
  </si>
  <si>
    <t>Tapestry Inc.(TPR)</t>
  </si>
  <si>
    <t>Juniper Networks Inc.(JNPR)</t>
  </si>
  <si>
    <t>Standard Life Aberdeen plc(SLA)</t>
  </si>
  <si>
    <t>Dentsu Inc.(4324)</t>
  </si>
  <si>
    <t>Equity LifeStyle Properties Inc.(ELS)</t>
  </si>
  <si>
    <t>Novatek PJSC(NVTK)</t>
  </si>
  <si>
    <t>ON Semiconductor Corp.(ON)</t>
  </si>
  <si>
    <t>Reinsurance Group of America Inc. Class A(RGA)</t>
  </si>
  <si>
    <t>Novozymes A/S(NZYM B)</t>
  </si>
  <si>
    <t>Nitori Holdings Co. Ltd.(9843)</t>
  </si>
  <si>
    <t>UGI Corp.(UGI)</t>
  </si>
  <si>
    <t>Paycom Software Inc.(PAYC)</t>
  </si>
  <si>
    <t>Arconic Inc.(ARNC)</t>
  </si>
  <si>
    <t>Mowi ASA(MOWI)</t>
  </si>
  <si>
    <t>Atos SE(ATO)</t>
  </si>
  <si>
    <t>Temenos AG(TEMN)</t>
  </si>
  <si>
    <t>Zions Bancorp NA(ZION)</t>
  </si>
  <si>
    <t>SK Innovation Co. Ltd.(096770)</t>
  </si>
  <si>
    <t>Power Assets Holdings Ltd.(6)</t>
  </si>
  <si>
    <t>Packaging Corp. of America(PKG)</t>
  </si>
  <si>
    <t>Allegion plc(ALLE)</t>
  </si>
  <si>
    <t>OTP Bank Nyrt(OTP)</t>
  </si>
  <si>
    <t>Mitsubishi Chemical Holdings Corp.(4188)</t>
  </si>
  <si>
    <t>Dexus(DXS)</t>
  </si>
  <si>
    <t>Iron Mountain Inc.(IRM)</t>
  </si>
  <si>
    <t>F5 Networks Inc.(FFIV)</t>
  </si>
  <si>
    <t>Snap-on Inc.(SNA)</t>
  </si>
  <si>
    <t>Genmab A/S(GEN)</t>
  </si>
  <si>
    <t>Inpex Corp.(1605)</t>
  </si>
  <si>
    <t>Yaskawa Electric Corp.(6506)</t>
  </si>
  <si>
    <t>UCB SA(UCB)</t>
  </si>
  <si>
    <t>Qorvo Inc.(QRVO)</t>
  </si>
  <si>
    <t>JFE Holdings Inc.(5411)</t>
  </si>
  <si>
    <t>Bank Mandiri Persero Tbk PT(BMRI)</t>
  </si>
  <si>
    <t>Birchcliff Energy Ltd.(BIR)</t>
  </si>
  <si>
    <t>Segro plc(SGRO)</t>
  </si>
  <si>
    <t>Vail Resorts Inc.(MTN)</t>
  </si>
  <si>
    <t>New World Development Co. Ltd.(17)</t>
  </si>
  <si>
    <t>Huntington Ingalls Industries Inc.(HII)</t>
  </si>
  <si>
    <t>EPAM Systems Inc.(EPAM)</t>
  </si>
  <si>
    <t>Ionis Pharmaceuticals Inc.(IONS)</t>
  </si>
  <si>
    <t>Makita Corp.(6586)</t>
  </si>
  <si>
    <t>Spirit AeroSystems Holdings Inc. Class A(SPR)</t>
  </si>
  <si>
    <t>West Pharmaceutical Services Inc.(WST)</t>
  </si>
  <si>
    <t>Altice USA Inc. Class A(ATUS)</t>
  </si>
  <si>
    <t>Invesco Ltd.(IVZ)</t>
  </si>
  <si>
    <t>China Steel Corp.(2002)</t>
  </si>
  <si>
    <t>Nice Ltd.(NICE)</t>
  </si>
  <si>
    <t>Nielsen Holdings plc(NLSN)</t>
  </si>
  <si>
    <t>Alleghany Corp.(Y)</t>
  </si>
  <si>
    <t>Japan Exchange Group Inc.(8697)</t>
  </si>
  <si>
    <t>Solvay SA Class A(SOLB)</t>
  </si>
  <si>
    <t>Techtronic Industries Co. Ltd.(669)</t>
  </si>
  <si>
    <t>DCC plc(DCC)</t>
  </si>
  <si>
    <t>LKQ Corp.(LKQ)</t>
  </si>
  <si>
    <t>ENGIE PRIME DE FIDELITE COMMON STOCK(null)</t>
  </si>
  <si>
    <t>WEX Inc.(WEX)</t>
  </si>
  <si>
    <t>Samsung Fire &amp; Marine Insurance Co. Ltd.(000810)</t>
  </si>
  <si>
    <t>Wayfair Inc.(W)</t>
  </si>
  <si>
    <t>Tokyo Electric Power Co. Holdings Inc.(9501)</t>
  </si>
  <si>
    <t>Naturgy Energy Group SA(NTGY)</t>
  </si>
  <si>
    <t>Canfor Corp.(CFP)</t>
  </si>
  <si>
    <t>Whirlpool Corp.(WHR)</t>
  </si>
  <si>
    <t>Persimmon plc(PSN)</t>
  </si>
  <si>
    <t>Interpublic Group of Cos. Inc.(IPG)</t>
  </si>
  <si>
    <t>Eldorado Gold Corp.(ELD)</t>
  </si>
  <si>
    <t>Taisei Corp.(1801)</t>
  </si>
  <si>
    <t>Geely Automobile Holdings Ltd.(175)</t>
  </si>
  <si>
    <t>Lear Corp.(LEA)</t>
  </si>
  <si>
    <t>Live Nation Entertainment Inc.(LYV)</t>
  </si>
  <si>
    <t>Novatek PJSC GDR(NVTK)</t>
  </si>
  <si>
    <t>Toyota Industries Corp.(6201)</t>
  </si>
  <si>
    <t>Kikkoman Corp.(2801)</t>
  </si>
  <si>
    <t>Shenzhou International Group Holdings Ltd.(2313)</t>
  </si>
  <si>
    <t>Corus Entertainment Inc. Class B(CJR.B)</t>
  </si>
  <si>
    <t>Pearson plc(PSON)</t>
  </si>
  <si>
    <t>Aegon NV(AGN)</t>
  </si>
  <si>
    <t>Fortum Oyj(FORTUM)</t>
  </si>
  <si>
    <t>Halma plc(HLMA)</t>
  </si>
  <si>
    <t>Discovery Communications Inc.(DISCK)</t>
  </si>
  <si>
    <t>Yakult Honsha Co. Ltd.(2267)</t>
  </si>
  <si>
    <t>Hannover Rueck SE(HNR1)</t>
  </si>
  <si>
    <t>Torchmark Corp.(TMK)</t>
  </si>
  <si>
    <t>Teradyne Inc.(TER)</t>
  </si>
  <si>
    <t>AP Moller - Maersk A/S Class B(MAERSK B)</t>
  </si>
  <si>
    <t>Tableau Software Inc. Class A(DATA)</t>
  </si>
  <si>
    <t>Nitto Denko Corp.(6988)</t>
  </si>
  <si>
    <t>Sirius XM Holdings Inc.(SIRI)</t>
  </si>
  <si>
    <t>Johnson Matthey plc(JMAT)</t>
  </si>
  <si>
    <t>Hankyu Hanshin Holdings Inc.(9042)</t>
  </si>
  <si>
    <t>Kansai Electric Power Co. Inc.(9503)</t>
  </si>
  <si>
    <t>Carnival plc(CCL)</t>
  </si>
  <si>
    <t>Red Electrica Corp. SA(REE)</t>
  </si>
  <si>
    <t>China Tower Corp. Ltd.(788)</t>
  </si>
  <si>
    <t>Valeo SA(FR)</t>
  </si>
  <si>
    <t>Sonic Healthcare Ltd.(SHL)</t>
  </si>
  <si>
    <t>BorgWarner Inc.(BWA)</t>
  </si>
  <si>
    <t>Yamaha Corp.(7951)</t>
  </si>
  <si>
    <t>Santos Ltd.(STO)</t>
  </si>
  <si>
    <t>MTR Corp. Ltd.(66)</t>
  </si>
  <si>
    <t>HEICO Corp. Class A(HEI.A)</t>
  </si>
  <si>
    <t>L'Oreal SA(null)</t>
  </si>
  <si>
    <t>Guidewire Software Inc.(GWRE)</t>
  </si>
  <si>
    <t>Oil Search Ltd.(OSH)</t>
  </si>
  <si>
    <t>Straumann Holding AG(STMN)</t>
  </si>
  <si>
    <t>Sanlam Ltd.(SLM)</t>
  </si>
  <si>
    <t>Alnylam Pharmaceuticals Inc.(ALNY)</t>
  </si>
  <si>
    <t>QIAGEN NV(QIA)</t>
  </si>
  <si>
    <t>Western Union Co.(WU)</t>
  </si>
  <si>
    <t>Aspen Technology Inc.(AZPN)</t>
  </si>
  <si>
    <t>Sage Therapeutics Inc.(SAGE)</t>
  </si>
  <si>
    <t>Teledyne Technologies Inc.(TDY)</t>
  </si>
  <si>
    <t>Graco Inc.(GGG)</t>
  </si>
  <si>
    <t>Powszechna Kasa Oszczednosci Bank Polski SA(PKO)</t>
  </si>
  <si>
    <t>Hongkong Land Holdings Ltd.(H78)</t>
  </si>
  <si>
    <t>Mondi plc(MNDI)</t>
  </si>
  <si>
    <t>HCL Technologies Ltd.(HCLTECH)</t>
  </si>
  <si>
    <t>Ubisoft Entertainment SA(UBI)</t>
  </si>
  <si>
    <t>National Retail Properties Inc.(NNN)</t>
  </si>
  <si>
    <t>Kelt Exploration Ltd.(KEL)</t>
  </si>
  <si>
    <t>WR Berkley Corp.(WRB)</t>
  </si>
  <si>
    <t>Tyler Technologies Inc.(TYL)</t>
  </si>
  <si>
    <t>Treasury Wine Estates Ltd.(TWE)</t>
  </si>
  <si>
    <t>Covestro AG(1COV)</t>
  </si>
  <si>
    <t>OGE Energy Corp.(OGE)</t>
  </si>
  <si>
    <t>Rakuten Inc.(4755)</t>
  </si>
  <si>
    <t>Airports of Thailand PCL (Foreign)(AOT-F)</t>
  </si>
  <si>
    <t>Pan Pacific International Holdings Corp.(7532)</t>
  </si>
  <si>
    <t>Invitation Homes Inc.(INVH)</t>
  </si>
  <si>
    <t>Galp Energia SGPS SA(GALP)</t>
  </si>
  <si>
    <t>a2 Milk Co. Ltd.(ATM)</t>
  </si>
  <si>
    <t>Land Securities Group plc(LAND)</t>
  </si>
  <si>
    <t>NuVista Energy Ltd.(NVA)</t>
  </si>
  <si>
    <t>Ono Pharmaceutical Co. Ltd.(4528)</t>
  </si>
  <si>
    <t>Umicore SA(UMI)</t>
  </si>
  <si>
    <t>EDP - Energias de Portugal SA(EDP)</t>
  </si>
  <si>
    <t>Voya Financial Inc.(VOYA)</t>
  </si>
  <si>
    <t>Gecina SA(GFC)</t>
  </si>
  <si>
    <t>Smiths Group plc(SMIN)</t>
  </si>
  <si>
    <t>Ocado Group plc(OCDO)</t>
  </si>
  <si>
    <t>JB Hunt Transport Services Inc.(JBHT)</t>
  </si>
  <si>
    <t>Aqua America Inc.(WTR)</t>
  </si>
  <si>
    <t>NEC Corp.(6701)</t>
  </si>
  <si>
    <t>Bouygues SA(EN)</t>
  </si>
  <si>
    <t>Sensata Technologies Holding plc(ST)</t>
  </si>
  <si>
    <t>Terna Rete Elettrica Nazionale SPA(TRN)</t>
  </si>
  <si>
    <t>Cognex Corp.(CGNX)</t>
  </si>
  <si>
    <t>Mohawk Industries Inc.(MHK)</t>
  </si>
  <si>
    <t>Gaming and Leisure Properties Inc.(GLPI)</t>
  </si>
  <si>
    <t>Five Below Inc.(FIVE)</t>
  </si>
  <si>
    <t>Spirax-Sarco Engineering plc(SPX)</t>
  </si>
  <si>
    <t>Swedish Match AB(SWMA)</t>
  </si>
  <si>
    <t>Yara International ASA(YAR)</t>
  </si>
  <si>
    <t>Centrica plc(CNA)</t>
  </si>
  <si>
    <t>Carlisle Cos. Inc.(CSL)</t>
  </si>
  <si>
    <t>Accor SA(AC)</t>
  </si>
  <si>
    <t>Croda International plc(CRDA)</t>
  </si>
  <si>
    <t>SM Investments Corp.(SM)</t>
  </si>
  <si>
    <t>HD Supply Holdings Inc.(HDS)</t>
  </si>
  <si>
    <t>CenturyLink Inc.(CTL)</t>
  </si>
  <si>
    <t>Brenntag AG(BNR)</t>
  </si>
  <si>
    <t>Boliden AB(BOL)</t>
  </si>
  <si>
    <t>Swatch Group AG (Bearer)(UHR)</t>
  </si>
  <si>
    <t>Campbell Soup Co.(CPB)</t>
  </si>
  <si>
    <t>Taylor Wimpey plc(TW.)</t>
  </si>
  <si>
    <t>RPM International Inc.(RPM)</t>
  </si>
  <si>
    <t>VEREIT Inc.(VER)</t>
  </si>
  <si>
    <t>Black Knight Inc.(BKI)</t>
  </si>
  <si>
    <t>Obic Co. Ltd.(4684)</t>
  </si>
  <si>
    <t>Albemarle Corp.(ALB)</t>
  </si>
  <si>
    <t>CIMB Group Holdings Bhd.(CIMB)</t>
  </si>
  <si>
    <t>Booz Allen Hamilton Holding Corp. Class A(BAH)</t>
  </si>
  <si>
    <t>US Foods Holding Corp.(USFD)</t>
  </si>
  <si>
    <t>Sarepta Therapeutics Inc.(SRPT)</t>
  </si>
  <si>
    <t>Bunge Ltd.(BG)</t>
  </si>
  <si>
    <t>APA Group(APA)</t>
  </si>
  <si>
    <t>E.Sun Financial Holding Co. Ltd.(2884)</t>
  </si>
  <si>
    <t>Polski Koncern Naftowy ORLEN SA(PKN)</t>
  </si>
  <si>
    <t>Isuzu Motors Ltd.(7202)</t>
  </si>
  <si>
    <t>Cochlear Ltd.(COH)</t>
  </si>
  <si>
    <t>Bluebird Bio Inc.(BLUE)</t>
  </si>
  <si>
    <t>Fortescue Metals Group Ltd.(FMG)</t>
  </si>
  <si>
    <t>Crown Holdings Inc.(CCK)</t>
  </si>
  <si>
    <t>PulteGroup Inc.(PHM)</t>
  </si>
  <si>
    <t>Moncler SPA(MONC)</t>
  </si>
  <si>
    <t>Kilroy Realty Corp.(KRC)</t>
  </si>
  <si>
    <t>Lojas Renner SA(LREN3)</t>
  </si>
  <si>
    <t>Chocoladefabriken Lindt &amp; Spruengli AG(LISP)</t>
  </si>
  <si>
    <t>Bank Hapoalim BM(POLI)</t>
  </si>
  <si>
    <t>Kingspan Group plc(KRX)</t>
  </si>
  <si>
    <t>CSPC Pharmaceutical Group Ltd.(1093)</t>
  </si>
  <si>
    <t>Kingfisher plc(KGF)</t>
  </si>
  <si>
    <t>Baloise Holding AG(BALN)</t>
  </si>
  <si>
    <t>ANTA Sports Products Ltd.(2020)</t>
  </si>
  <si>
    <t>Tokyu Corp.(9005)</t>
  </si>
  <si>
    <t>Bio-Techne Corp.(TECH)</t>
  </si>
  <si>
    <t>Micro Focus International plc(MCRO)</t>
  </si>
  <si>
    <t>Etsy Inc.(ETSY)</t>
  </si>
  <si>
    <t>NTT Data Corp.(9613)</t>
  </si>
  <si>
    <t>Yamato Holdings Co. Ltd.(9064)</t>
  </si>
  <si>
    <t>Barratt Developments plc(BDEV)</t>
  </si>
  <si>
    <t>Endesa SA(ELE)</t>
  </si>
  <si>
    <t>Ajinomoto Co. Inc.(2802)</t>
  </si>
  <si>
    <t>Molina Healthcare Inc.(MOH)</t>
  </si>
  <si>
    <t>Siam Commercial Bank PCL (Foreign)(SCB-F)</t>
  </si>
  <si>
    <t>Fair Isaac Corp.(FICO)</t>
  </si>
  <si>
    <t>Kintetsu Group Holdings Co. Ltd.(9041)</t>
  </si>
  <si>
    <t>LEG Immobilien AG(LEG)</t>
  </si>
  <si>
    <t>Aramark(ARMK)</t>
  </si>
  <si>
    <t>Roche Holding AG (Bearer)(RO)</t>
  </si>
  <si>
    <t>SK Holdings Co. Ltd.(034730)</t>
  </si>
  <si>
    <t>Schindler Holding AG(SCHP)</t>
  </si>
  <si>
    <t>Berry Global Group Inc.(BERY)</t>
  </si>
  <si>
    <t>St. James's Place plc(STJ)</t>
  </si>
  <si>
    <t>Alaska Air Group Inc.(ALK)</t>
  </si>
  <si>
    <t>Odakyu Electric Railway Co. Ltd.(9007)</t>
  </si>
  <si>
    <t>Trade Desk Inc. Class A(TTD)</t>
  </si>
  <si>
    <t>Osaka Gas Co. Ltd.(9532)</t>
  </si>
  <si>
    <t>XPO Logistics Inc.(XPO)</t>
  </si>
  <si>
    <t>SEI Investments Co.(SEIC)</t>
  </si>
  <si>
    <t>Nordson Corp.(NDSN)</t>
  </si>
  <si>
    <t>RingCentral Inc. Class A(RNG)</t>
  </si>
  <si>
    <t>Samsung C&amp;T Corp.(028260)</t>
  </si>
  <si>
    <t>Hudson's Bay Co.(HBC)</t>
  </si>
  <si>
    <t>SL Green Realty Corp.(SLG)</t>
  </si>
  <si>
    <t>Eiffage SA(FGR)</t>
  </si>
  <si>
    <t>Brown &amp; Brown Inc.(BRO)</t>
  </si>
  <si>
    <t>CDK Global Inc.(CDK)</t>
  </si>
  <si>
    <t>East West Bancorp Inc.(EWBC)</t>
  </si>
  <si>
    <t>Banco Bradesco SA(BBDC3)</t>
  </si>
  <si>
    <t>NCSoft Corp.(036570)</t>
  </si>
  <si>
    <t>Alfa Laval AB(ALFA)</t>
  </si>
  <si>
    <t>Macy's Inc.(M)</t>
  </si>
  <si>
    <t>Gap Inc.(GPS)</t>
  </si>
  <si>
    <t>KAR Auction Services Inc.(KAR)</t>
  </si>
  <si>
    <t>Absa Group Ltd.(ABG)</t>
  </si>
  <si>
    <t>Alliance Data Systems Corp.(ADS)</t>
  </si>
  <si>
    <t>Fortune Brands Home &amp; Security Inc.(FBHS)</t>
  </si>
  <si>
    <t>AO Smith Corp.(AOS)</t>
  </si>
  <si>
    <t>Bright Horizons Family Solutions Inc.(BFAM)</t>
  </si>
  <si>
    <t>Ricoh Co. Ltd.(7752)</t>
  </si>
  <si>
    <t>OMV AG(OMV)</t>
  </si>
  <si>
    <t>Arkema SA(AKE)</t>
  </si>
  <si>
    <t>Jazz Pharmaceuticals plc(JAZZ)</t>
  </si>
  <si>
    <t>MINEBEA MITSUMI Inc.(6479)</t>
  </si>
  <si>
    <t>Hargreaves Lansdown plc(HL.)</t>
  </si>
  <si>
    <t>Steel Dynamics Inc.(STLD)</t>
  </si>
  <si>
    <t>Aisin Seiki Co. Ltd.(7259)</t>
  </si>
  <si>
    <t>Mediobanca Banca di Credito Finanziario SPA(MB)</t>
  </si>
  <si>
    <t>Stora Enso Oyj(STERV)</t>
  </si>
  <si>
    <t>Toro Co.(TTC)</t>
  </si>
  <si>
    <t>Middleby Corp.(MIDD)</t>
  </si>
  <si>
    <t>HollyFrontier Corp.(HFC)</t>
  </si>
  <si>
    <t>HubSpot Inc.(HUBS)</t>
  </si>
  <si>
    <t>Ensign Energy Services Inc.(ESI)</t>
  </si>
  <si>
    <t>Auto Trader Group plc(AUTO)</t>
  </si>
  <si>
    <t>Apartment Investment &amp; Management Co.(AIV)</t>
  </si>
  <si>
    <t>Sunny Optical Technology Group Co. Ltd.(2382)</t>
  </si>
  <si>
    <t>Euronet Worldwide Inc.(EEFT)</t>
  </si>
  <si>
    <t>Liberty Property Trust(LPT)</t>
  </si>
  <si>
    <t>Sumitomo Chemical Co. Ltd.(4005)</t>
  </si>
  <si>
    <t>FLIR Systems Inc.(FLIR)</t>
  </si>
  <si>
    <t>United Utilities Group plc(UU.)</t>
  </si>
  <si>
    <t>AIR LIQUIDE SA COMMON STOCK(null)</t>
  </si>
  <si>
    <t>Liberty Media Corp-Liberty Formula One(FWONK)</t>
  </si>
  <si>
    <t>Emirates Telecommunications Group Co. PJSC(ETISALAT)</t>
  </si>
  <si>
    <t>Sealed Air Corp.(SEE)</t>
  </si>
  <si>
    <t>Wartsila OYJ Abp(WRT1V)</t>
  </si>
  <si>
    <t>British Land Co. plc(BLND)</t>
  </si>
  <si>
    <t>Sumitomo Metal Mining Co. Ltd.(5713)</t>
  </si>
  <si>
    <t>Omega Healthcare Investors Inc.(OHI)</t>
  </si>
  <si>
    <t>Toyota Tsusho Corp.(8015)</t>
  </si>
  <si>
    <t>Arrow Electronics Inc.(ARW)</t>
  </si>
  <si>
    <t>China Shenhua Energy Co. Ltd.(1088)</t>
  </si>
  <si>
    <t>Mazda Motor Corp.(7261)</t>
  </si>
  <si>
    <t>Qurate Retail Group Inc. QVC Group Class A(QRTEA)</t>
  </si>
  <si>
    <t>Bajaj Finance Ltd.(BAJFINANCE)</t>
  </si>
  <si>
    <t>Service Corp. International/US(SCI)</t>
  </si>
  <si>
    <t>Old Mutual Ltd.(OMU)</t>
  </si>
  <si>
    <t>Unum Group(UNM)</t>
  </si>
  <si>
    <t>New Residential Investment Corp.(NRZ)</t>
  </si>
  <si>
    <t>GN Store Nord A/S(GN)</t>
  </si>
  <si>
    <t>Kuwait Finance House KSCP(KFH)</t>
  </si>
  <si>
    <t>Daiwa Securities Group Inc.(8601)</t>
  </si>
  <si>
    <t>Kuehne + Nagel International AG(KNIN)</t>
  </si>
  <si>
    <t>Post Holdings Inc.(POST)</t>
  </si>
  <si>
    <t>Seattle Genetics Inc.(SGEN)</t>
  </si>
  <si>
    <t>Lamar Advertising Co. Class A(LAMR)</t>
  </si>
  <si>
    <t>Swire Pacific Ltd. Class A(19)</t>
  </si>
  <si>
    <t>Alstom SA(ALO)</t>
  </si>
  <si>
    <t>Getlink SE(GET)</t>
  </si>
  <si>
    <t>Snap Inc.(SNAP)</t>
  </si>
  <si>
    <t>Athene Holding Ltd. Class A(ATH)</t>
  </si>
  <si>
    <t>GPT Group(GPT)</t>
  </si>
  <si>
    <t>Jones Lang LaSalle Inc.(JLL)</t>
  </si>
  <si>
    <t>thyssenkrupp AG(TKA)</t>
  </si>
  <si>
    <t>Robert Half International Inc.(RHI)</t>
  </si>
  <si>
    <t>AptarGroup Inc.(ATR)</t>
  </si>
  <si>
    <t>SKF AB(SKF B)</t>
  </si>
  <si>
    <t>Pool Corp.(POOL)</t>
  </si>
  <si>
    <t>DaVita Inc.(DVA)</t>
  </si>
  <si>
    <t>Kimco Realty Corp.(KIM)</t>
  </si>
  <si>
    <t>Henderson Land Development Co. Ltd.(12)</t>
  </si>
  <si>
    <t>Mirvac Group(MGR)</t>
  </si>
  <si>
    <t>American Financial Group Inc./OH(AFG)</t>
  </si>
  <si>
    <t>Oil &amp; Natural Gas Corp. Ltd.(ONGC)</t>
  </si>
  <si>
    <t>Kinnevik AB(KINV B)</t>
  </si>
  <si>
    <t>Tele2 AB(TEL2 B)</t>
  </si>
  <si>
    <t>Hubbell Inc. Class B(HUBB)</t>
  </si>
  <si>
    <t>Proofpoint Inc.(PFPT)</t>
  </si>
  <si>
    <t>Shimadzu Corp.(7701)</t>
  </si>
  <si>
    <t>PICC Property &amp; Casualty Co. Ltd.(2328)</t>
  </si>
  <si>
    <t>Groupe Bruxelles Lambert SA(GBLB)</t>
  </si>
  <si>
    <t>ASE Technology Holding Co. Ltd.(3711)</t>
  </si>
  <si>
    <t>People's United Financial Inc.(PBCT)</t>
  </si>
  <si>
    <t>MISUMI Group Inc.(9962)</t>
  </si>
  <si>
    <t>Bureau Veritas SA(BVI)</t>
  </si>
  <si>
    <t>Chunghwa Telecom Co. Ltd.(2412)</t>
  </si>
  <si>
    <t>TORC Oil &amp; Gas Ltd.(TOG)</t>
  </si>
  <si>
    <t>RSA Insurance Group plc(RSA)</t>
  </si>
  <si>
    <t>EXOR NV(EXO)</t>
  </si>
  <si>
    <t>Zayo Group Holdings Inc.(ZAYO)</t>
  </si>
  <si>
    <t>Donaldson Co. Inc.(DCI)</t>
  </si>
  <si>
    <t>M3 Inc.(2413)</t>
  </si>
  <si>
    <t>Anhui Conch Cement Co. Ltd.(914)</t>
  </si>
  <si>
    <t>Klepierre SA(LI)</t>
  </si>
  <si>
    <t>Smurfit Kappa Group plc(SK3)</t>
  </si>
  <si>
    <t>Cellnex Telecom SA(CLNX)</t>
  </si>
  <si>
    <t>Cree Inc.(CREE)</t>
  </si>
  <si>
    <t>WABCO Holdings Inc.(WBC)</t>
  </si>
  <si>
    <t>Keppel Corp. Ltd.(BN4)</t>
  </si>
  <si>
    <t>Coca-Cola HBC AG(CCH)</t>
  </si>
  <si>
    <t>Ingredion Inc.(INGR)</t>
  </si>
  <si>
    <t>Universal Display Corp.(OLED)</t>
  </si>
  <si>
    <t>Hill-Rom Holdings Inc.(HRC)</t>
  </si>
  <si>
    <t>Charles River Laboratories International Inc.(CRL)</t>
  </si>
  <si>
    <t>Jardine Strategic Holdings Ltd.(J37)</t>
  </si>
  <si>
    <t>Cimarex Energy Co.(XEC)</t>
  </si>
  <si>
    <t>Adyen NV(ADYEN)</t>
  </si>
  <si>
    <t>Idemitsu Kosan Co. Ltd.(5019)</t>
  </si>
  <si>
    <t>Keio Corp.(9008)</t>
  </si>
  <si>
    <t>Signature Bank/New York NY(SBNY)</t>
  </si>
  <si>
    <t>Nissan Chemical Corp.(4021)</t>
  </si>
  <si>
    <t>Nedbank Group Ltd.(NED)</t>
  </si>
  <si>
    <t>Bank of Communications Co. Ltd.(3328)</t>
  </si>
  <si>
    <t>Pentair plc(PNR)</t>
  </si>
  <si>
    <t>T&amp;D Holdings Inc.(8795)</t>
  </si>
  <si>
    <t>Tenaris SA(TEN)</t>
  </si>
  <si>
    <t>Dai Nippon Printing Co. Ltd.(7912)</t>
  </si>
  <si>
    <t>Wm Morrison Supermarkets plc(MRW)</t>
  </si>
  <si>
    <t>Planet Fitness Inc. Class A(PLNT)</t>
  </si>
  <si>
    <t>Douglas Emmett Inc.(DEI)</t>
  </si>
  <si>
    <t>Lenovo Group Ltd.(992)</t>
  </si>
  <si>
    <t>Sun Pharmaceutical Industries Ltd.(SUNPHARMA)</t>
  </si>
  <si>
    <t>ServiceMaster Global Holdings Inc.(SERV)</t>
  </si>
  <si>
    <t>SM Prime Holdings Inc.(SMPH)</t>
  </si>
  <si>
    <t>Koito Manufacturing Co. Ltd.(7276)</t>
  </si>
  <si>
    <t>SCOR SE(SCR)</t>
  </si>
  <si>
    <t>Ralph Lauren Corp. Class A(RL)</t>
  </si>
  <si>
    <t>Fox Corp. Class B(FOX)</t>
  </si>
  <si>
    <t>China Resources Beer Holdings Co. Ltd.(291)</t>
  </si>
  <si>
    <t>CES Energy Solutions Corp.(CEU)</t>
  </si>
  <si>
    <t>Xerox Corp.(XRX)</t>
  </si>
  <si>
    <t>China Telecom Corp. Ltd.(728)</t>
  </si>
  <si>
    <t>Park Hotels &amp; Resorts Inc.(PK)</t>
  </si>
  <si>
    <t>Neurocrine Biosciences Inc.(NBIX)</t>
  </si>
  <si>
    <t>Paddy Power Betfair plc(PPB)</t>
  </si>
  <si>
    <t>ENN Energy Holdings Ltd.(2688)</t>
  </si>
  <si>
    <t>RenaissanceRe Holdings Ltd.(RNR)</t>
  </si>
  <si>
    <t>VICI Properties Inc.(VICI)</t>
  </si>
  <si>
    <t>Catalent Inc.(CTLT)</t>
  </si>
  <si>
    <t>Bid Corp. Ltd.(BID)</t>
  </si>
  <si>
    <t>Kajima Corp.(1812)</t>
  </si>
  <si>
    <t>LG Electronics Inc.(066570)</t>
  </si>
  <si>
    <t>Hanesbrands Inc.(HBI)</t>
  </si>
  <si>
    <t>First Financial Holding Co. Ltd.(2892)</t>
  </si>
  <si>
    <t>Mosaic Co.(MOS)</t>
  </si>
  <si>
    <t>CITIC Ltd.(267)</t>
  </si>
  <si>
    <t>Abu Dhabi Commercial Bank PJSC(ADCB)</t>
  </si>
  <si>
    <t>Skanska AB Class B(SKA B)</t>
  </si>
  <si>
    <t>Obayashi Corp.(1802)</t>
  </si>
  <si>
    <t>Remgro Ltd.(REM)</t>
  </si>
  <si>
    <t>Woori Financial Group Inc.(316140)</t>
  </si>
  <si>
    <t>Powszechny Zaklad Ubezpieczen SA(PZU)</t>
  </si>
  <si>
    <t>Bangkok Dusit Medical Services PCL(BDMS-F)</t>
  </si>
  <si>
    <t>Foot Locker Inc.(FL)</t>
  </si>
  <si>
    <t>Old Republic International Corp.(ORI)</t>
  </si>
  <si>
    <t>American Campus Communities Inc.(ACC)</t>
  </si>
  <si>
    <t>Flowserve Corp.(FLS)</t>
  </si>
  <si>
    <t>Sodexo SA(SW)</t>
  </si>
  <si>
    <t>China Unicom Hong Kong Ltd.(762)</t>
  </si>
  <si>
    <t>ASR Nederland NV(ASRNL)</t>
  </si>
  <si>
    <t>ITV plc(ITV)</t>
  </si>
  <si>
    <t>Medical Properties Trust Inc.(MPW)</t>
  </si>
  <si>
    <t>Cemex SAB de CV(CEMEXCPO)</t>
  </si>
  <si>
    <t>Hiscox Ltd.(HSX)</t>
  </si>
  <si>
    <t>FamilyMart UNY Holdings Co. Ltd.(8028)</t>
  </si>
  <si>
    <t>58.com Inc. ADR(WUBA)</t>
  </si>
  <si>
    <t>Rollins Inc.(ROL)</t>
  </si>
  <si>
    <t>Epiroc AB Class A(EPI A)</t>
  </si>
  <si>
    <t>Capri Holdings Ltd.(CPRI)</t>
  </si>
  <si>
    <t>China Evergrande Group(3333)</t>
  </si>
  <si>
    <t>Paramount Resources Ltd. Class A(POU)</t>
  </si>
  <si>
    <t>Bio-Rad Laboratories Inc. Class A(BIO)</t>
  </si>
  <si>
    <t>Helmerich &amp; Payne Inc.(HP)</t>
  </si>
  <si>
    <t>Severn Trent plc(SVT)</t>
  </si>
  <si>
    <t>STORE Capital Corp.(STOR)</t>
  </si>
  <si>
    <t>Sierra Wireless Inc.(SW)</t>
  </si>
  <si>
    <t>Banco de Sabadell SA(SAB)</t>
  </si>
  <si>
    <t>Sonoco Products Co.(SON)</t>
  </si>
  <si>
    <t>Investor AB Class A(INVE A)</t>
  </si>
  <si>
    <t>Sekisui Chemical Co. Ltd.(4204)</t>
  </si>
  <si>
    <t>Commerce Bancshares Inc./MO(CBSH)</t>
  </si>
  <si>
    <t>UltraTech Cement Ltd.(ULTRACEMCO)</t>
  </si>
  <si>
    <t>AGC Inc./Japan(5201)</t>
  </si>
  <si>
    <t>Enagas SA(ENG)</t>
  </si>
  <si>
    <t>Rohm Co. Ltd.(6963)</t>
  </si>
  <si>
    <t>WPX Energy Inc.(WPX)</t>
  </si>
  <si>
    <t>Masimo Corp.(MASI)</t>
  </si>
  <si>
    <t>Zalando SE(ZAL)</t>
  </si>
  <si>
    <t>Cypress Semiconductor Corp.(CY)</t>
  </si>
  <si>
    <t>Aurizon Holdings Ltd.(AZJ)</t>
  </si>
  <si>
    <t>Randstad NV(RAND)</t>
  </si>
  <si>
    <t>Tabcorp Holdings Ltd.(TAH)</t>
  </si>
  <si>
    <t>Volkswagen AG(VOW)</t>
  </si>
  <si>
    <t>Coupa Software Inc.(COUP)</t>
  </si>
  <si>
    <t>Uniper SE(UN01)</t>
  </si>
  <si>
    <t>News Corp. Class A(NWSA)</t>
  </si>
  <si>
    <t>Dunkin' Brands Group Inc.(DNKN)</t>
  </si>
  <si>
    <t>CyrusOne Inc.(CONE)</t>
  </si>
  <si>
    <t>Nexon Co. Ltd.(3659)</t>
  </si>
  <si>
    <t>Harley-Davidson Inc.(HOG)</t>
  </si>
  <si>
    <t>Stockland(SGP)</t>
  </si>
  <si>
    <t>Siam Cement PCL NVDR(SCC-R)</t>
  </si>
  <si>
    <t>Electrolux AB Class B(ELUX B)</t>
  </si>
  <si>
    <t>Keurig Dr Pepper Inc.(KDP)</t>
  </si>
  <si>
    <t>Liberty Media Corp-Liberty SiriusXM Class C(LSXMK)</t>
  </si>
  <si>
    <t>CapitaLand Ltd.(C31)</t>
  </si>
  <si>
    <t>Nutanix Inc.(NTNX)</t>
  </si>
  <si>
    <t>James Hardie Industries plc(JHX)</t>
  </si>
  <si>
    <t>Advanced Info Service PCL (Foreign)(ADVANC-F)</t>
  </si>
  <si>
    <t>Credit Acceptance Corp.(CACC)</t>
  </si>
  <si>
    <t>GrubHub Inc.(GRUB)</t>
  </si>
  <si>
    <t>Woodward Inc.(WWD)</t>
  </si>
  <si>
    <t>Amorepacific Corp.(090430)</t>
  </si>
  <si>
    <t>Larsen &amp; Toubro Ltd.(LT)</t>
  </si>
  <si>
    <t>Chunghwa Telecom Co. Ltd. ADR(CHT)</t>
  </si>
  <si>
    <t>Ayala Land Inc.(ALI)</t>
  </si>
  <si>
    <t>Yuanta Financial Holding Co. Ltd.(2885)</t>
  </si>
  <si>
    <t>Tatneft PJSC(TATN)</t>
  </si>
  <si>
    <t>LANXESS AG(LXS)</t>
  </si>
  <si>
    <t>Chocoladefabriken Lindt &amp; Spruengli AG(LISN)</t>
  </si>
  <si>
    <t>First American Financial Corp.(FAF)</t>
  </si>
  <si>
    <t>Gentex Corp.(GNTX)</t>
  </si>
  <si>
    <t>Encompass Health Corp.(EHC)</t>
  </si>
  <si>
    <t>Reliance Steel &amp; Aluminum Co.(RS)</t>
  </si>
  <si>
    <t>IPG Photonics Corp.(IPGP)</t>
  </si>
  <si>
    <t>China Vanke Co. Ltd.(2202)</t>
  </si>
  <si>
    <t>LPL Financial Holdings Inc.(LPLA)</t>
  </si>
  <si>
    <t>Meggitt plc(MGGT)</t>
  </si>
  <si>
    <t>Industries Qatar QSC(IQCD)</t>
  </si>
  <si>
    <t>Sartorius AG Preference Shares(SRT3)</t>
  </si>
  <si>
    <t>GCI Liberty Inc. Class A(GLIBA)</t>
  </si>
  <si>
    <t>Chemours Co.(CC)</t>
  </si>
  <si>
    <t>Rightmove plc(RMV)</t>
  </si>
  <si>
    <t>Elisa Oyj(ELISA)</t>
  </si>
  <si>
    <t>ZTO Express Cayman Inc. ADR(ZTO)</t>
  </si>
  <si>
    <t>Davide Campari-Milano SPA(CPR)</t>
  </si>
  <si>
    <t>Yahoo Japan Corp.(4689)</t>
  </si>
  <si>
    <t>Hexcel Corp.(HXL)</t>
  </si>
  <si>
    <t>Monolithic Power Systems Inc.(MPWR)</t>
  </si>
  <si>
    <t>Polaris Industries Inc.(PII)</t>
  </si>
  <si>
    <t>American Homes 4 Rent Class A(AMH)</t>
  </si>
  <si>
    <t>Axalta Coating Systems Ltd.(AXTA)</t>
  </si>
  <si>
    <t>Bank of Ireland Group plc(BIRG)</t>
  </si>
  <si>
    <t>Starwood Property Trust Inc.(STWD)</t>
  </si>
  <si>
    <t>Affiliated Managers Group Inc.(AMG)</t>
  </si>
  <si>
    <t>Ciena Corp.(CIEN)</t>
  </si>
  <si>
    <t>National Instruments Corp.(NATI)</t>
  </si>
  <si>
    <t>Macerich Co.(MAC)</t>
  </si>
  <si>
    <t>Lundin Petroleum AB(LUPE)</t>
  </si>
  <si>
    <t>ManpowerGroup Inc.(MAN)</t>
  </si>
  <si>
    <t>Cullen/Frost Bankers Inc.(CFR)</t>
  </si>
  <si>
    <t>CubeSmart(CUBE)</t>
  </si>
  <si>
    <t>Computershare Ltd.(CPU)</t>
  </si>
  <si>
    <t>Quanta Services Inc.(PWR)</t>
  </si>
  <si>
    <t>Exelixis Inc.(EXEL)</t>
  </si>
  <si>
    <t>Americold Realty Trust(COLD)</t>
  </si>
  <si>
    <t>Autohome Inc. ADR(ATHM)</t>
  </si>
  <si>
    <t>Royal Gold Inc.(RGLD)</t>
  </si>
  <si>
    <t>Orkla ASA(ORK)</t>
  </si>
  <si>
    <t>Samsung SDS Co. Ltd.(018260)</t>
  </si>
  <si>
    <t>Securitas AB Class B(SECU B)</t>
  </si>
  <si>
    <t>NSK Ltd.(6471)</t>
  </si>
  <si>
    <t>Suntory Beverage &amp; Food Ltd.(2587)</t>
  </si>
  <si>
    <t>EPR Properties(EPR)</t>
  </si>
  <si>
    <t>Marks &amp; Spencer Group plc(MKS)</t>
  </si>
  <si>
    <t>Assurant Inc.(AIZ)</t>
  </si>
  <si>
    <t>TOTO Ltd.(5332)</t>
  </si>
  <si>
    <t>Acuity Brands Inc.(AYI)</t>
  </si>
  <si>
    <t>L OREAL PRIME DE FIDELITE COMMON STOCK(null)</t>
  </si>
  <si>
    <t>DS Smith plc(SMDS)</t>
  </si>
  <si>
    <t>Popular Inc.(BPOP)</t>
  </si>
  <si>
    <t>Fisher &amp; Paykel Healthcare Corp. Ltd.(FPH)</t>
  </si>
  <si>
    <t>H&amp;R Block Inc.(HRB)</t>
  </si>
  <si>
    <t>Synovus Financial Corp.(SNV)</t>
  </si>
  <si>
    <t>Aeroports de Paris(ADP)</t>
  </si>
  <si>
    <t>International Consolidated Airlines Group SA (London Shares)(IAG)</t>
  </si>
  <si>
    <t>Owens Corning(OC)</t>
  </si>
  <si>
    <t>Oshkosh Corp.(OSK)</t>
  </si>
  <si>
    <t>Berkeley Group Holdings plc(BKG)</t>
  </si>
  <si>
    <t>SES SA Class A(SESG)</t>
  </si>
  <si>
    <t>Hengan International Group Co. Ltd.(1044)</t>
  </si>
  <si>
    <t>Saudi Basic Industries Corp.(2010)</t>
  </si>
  <si>
    <t>Petronas Chemicals Group Bhd.(PCHEM)</t>
  </si>
  <si>
    <t>Madison Square Garden Co. Class A(MSG)</t>
  </si>
  <si>
    <t>Sabre Corp.(SABR)</t>
  </si>
  <si>
    <t>Admiral Group plc(ADM)</t>
  </si>
  <si>
    <t>Tobu Railway Co. Ltd.(9001)</t>
  </si>
  <si>
    <t>Aroundtown SA(AT1)</t>
  </si>
  <si>
    <t>Vicinity Centres(VCX)</t>
  </si>
  <si>
    <t>Industrivarden AB Class A(INDU A)</t>
  </si>
  <si>
    <t>Discovery Communications Inc. Class A(DISCA)</t>
  </si>
  <si>
    <t>Versum Materials Inc.(VSM)</t>
  </si>
  <si>
    <t>Orica Ltd.(ORI)</t>
  </si>
  <si>
    <t>Taiwan Cement Corp.(1101)</t>
  </si>
  <si>
    <t>Taiwan Cooperative Financial Holding Co. Ltd.(5880)</t>
  </si>
  <si>
    <t>Wheelock &amp; Co. Ltd.(20)</t>
  </si>
  <si>
    <t>Nisshin Seifun Group Inc.(2002)</t>
  </si>
  <si>
    <t>Asian Paints Ltd.(ASIANPAINT)</t>
  </si>
  <si>
    <t>Daifuku Co. Ltd.(6383)</t>
  </si>
  <si>
    <t>Sino Biopharmaceutical Ltd.(1177)</t>
  </si>
  <si>
    <t>MMC Norilsk Nickel PJSC ADR(MNOD)</t>
  </si>
  <si>
    <t>Fluor Corp.(FLR)</t>
  </si>
  <si>
    <t>TripAdvisor Inc.(TRIP)</t>
  </si>
  <si>
    <t>Sydney Airport(SYD)</t>
  </si>
  <si>
    <t>PRA Health Sciences Inc.(PRAH)</t>
  </si>
  <si>
    <t>JetBlue Airways Corp.(JBLU)</t>
  </si>
  <si>
    <t>Nippon Paint Holdings Co. Ltd.(4612)</t>
  </si>
  <si>
    <t>Healthcare Trust of America Inc. Class A(HTA)</t>
  </si>
  <si>
    <t>Bancolombia SA ADR(CIB)</t>
  </si>
  <si>
    <t>DocuSign Inc. Class A(DOCU)</t>
  </si>
  <si>
    <t>Sino Land Co. Ltd.(83)</t>
  </si>
  <si>
    <t>Primerica Inc.(PRI)</t>
  </si>
  <si>
    <t>Nektar Therapeutics Class A(NKTR)</t>
  </si>
  <si>
    <t>Parsley Energy Inc. Class A(PE)</t>
  </si>
  <si>
    <t>Vifor Pharma AG(VIFN)</t>
  </si>
  <si>
    <t>Grand Canyon Education Inc.(LOPE)</t>
  </si>
  <si>
    <t>Al Rajhi Bank(1120)</t>
  </si>
  <si>
    <t>Yamaha Motor Co. Ltd.(7272)</t>
  </si>
  <si>
    <t>Trend Micro Inc./Japan(4704)</t>
  </si>
  <si>
    <t>Empresas COPEC SA(COPEC)</t>
  </si>
  <si>
    <t>ISS A/S(ISS)</t>
  </si>
  <si>
    <t>Medibank Pvt Ltd.(MPL)</t>
  </si>
  <si>
    <t>Ramsay Health Care Ltd.(RHC)</t>
  </si>
  <si>
    <t>Suez(SEV)</t>
  </si>
  <si>
    <t>Direct Line Insurance Group plc(DLG)</t>
  </si>
  <si>
    <t>SG Holdings Co. Ltd.(9143)</t>
  </si>
  <si>
    <t>Genpact Ltd.(G)</t>
  </si>
  <si>
    <t>Norsk Hydro ASA(NHY)</t>
  </si>
  <si>
    <t>LG Corp.(003550)</t>
  </si>
  <si>
    <t>Phoenix Group Holdings plc(PHNX)</t>
  </si>
  <si>
    <t>Alcoa Corp.(AA)</t>
  </si>
  <si>
    <t>Entegris Inc.(ENTG)</t>
  </si>
  <si>
    <t>AP Moller - Maersk A/S Class A(MAERSK A)</t>
  </si>
  <si>
    <t>Longfor Group Holdings Ltd.(960)</t>
  </si>
  <si>
    <t>Knorr-Bremse AG(KBX)</t>
  </si>
  <si>
    <t>Caesars Entertainment Corp.(CZR)</t>
  </si>
  <si>
    <t>Commercial International Bank Egypt SAE(COMI)</t>
  </si>
  <si>
    <t>Kose Corp.(4922)</t>
  </si>
  <si>
    <t>Wyndham Hotels &amp; Resorts Inc.(WH)</t>
  </si>
  <si>
    <t>Logitech International SA(LOGN)</t>
  </si>
  <si>
    <t>Suzano SA(SUZB3)</t>
  </si>
  <si>
    <t>Allison Transmission Holdings Inc.(ALSN)</t>
  </si>
  <si>
    <t>Bellway plc(BWY)</t>
  </si>
  <si>
    <t>Santen Pharmaceutical Co. Ltd.(4536)</t>
  </si>
  <si>
    <t>Korea Electric Power Corp.(015760)</t>
  </si>
  <si>
    <t>Deutsche Lufthansa AG(LHA)</t>
  </si>
  <si>
    <t>Bharti Airtel Ltd.(BHARTIARTL)</t>
  </si>
  <si>
    <t>China Minsheng Banking Corp. Ltd.(1988)</t>
  </si>
  <si>
    <t>Swiss Prime Site AG(SPSN)</t>
  </si>
  <si>
    <t>Nomura Research Institute Ltd.(4307)</t>
  </si>
  <si>
    <t>Cable One Inc.(CABO)</t>
  </si>
  <si>
    <t>Brixmor Property Group Inc.(BRX)</t>
  </si>
  <si>
    <t>Schindler Holding AG (Registered)(SCHN)</t>
  </si>
  <si>
    <t>Hudson Pacific Properties Inc.(HPP)</t>
  </si>
  <si>
    <t>CIT Group Inc.(CIT)</t>
  </si>
  <si>
    <t>CITIC Securities Co. Ltd.(6030)</t>
  </si>
  <si>
    <t>Advantest Corp.(6857)</t>
  </si>
  <si>
    <t>Nagoya Railroad Co. Ltd.(9048)</t>
  </si>
  <si>
    <t>Catcher Technology Co. Ltd.(2474)</t>
  </si>
  <si>
    <t>Weir Group plc(WEIR)</t>
  </si>
  <si>
    <t>Taiwan Mobile Co. Ltd.(3045)</t>
  </si>
  <si>
    <t>Lincoln Electric Holdings Inc.(LECO)</t>
  </si>
  <si>
    <t>DISH Network Corp. Class A(DISH)</t>
  </si>
  <si>
    <t>Teradata Corp.(TDC)</t>
  </si>
  <si>
    <t>EQT Corp.(EQT)</t>
  </si>
  <si>
    <t>MGIC Investment Corp.(MTG)</t>
  </si>
  <si>
    <t>Cascades Inc.(CAS)</t>
  </si>
  <si>
    <t>Hua Nan Financial Holdings Co. Ltd.(2880)</t>
  </si>
  <si>
    <t>Scout24 AG(G24)</t>
  </si>
  <si>
    <t>ITT Inc.(ITT)</t>
  </si>
  <si>
    <t>New York Community Bancorp Inc.(NYCB)</t>
  </si>
  <si>
    <t>Siemens Healthineers AG(SHL)</t>
  </si>
  <si>
    <t>AECOM(ACM)</t>
  </si>
  <si>
    <t>Nikon Corp.(7731)</t>
  </si>
  <si>
    <t>Bankinter SA(BKT)</t>
  </si>
  <si>
    <t>Avnet Inc.(AVT)</t>
  </si>
  <si>
    <t>Herbalife Nutrition Ltd.(HLF)</t>
  </si>
  <si>
    <t>Hamamatsu Photonics KK(6965)</t>
  </si>
  <si>
    <t>FinecoBank Banca Fineco SPA(FBK)</t>
  </si>
  <si>
    <t>Medidata Solutions Inc.(MDSO)</t>
  </si>
  <si>
    <t>Kyushu Railway Co.(9142)</t>
  </si>
  <si>
    <t>Central Pattana PCL(CPN)</t>
  </si>
  <si>
    <t>Kyowa Hakko Kirin Co. Ltd.(4151)</t>
  </si>
  <si>
    <t>ViaSat Inc.(VSAT)</t>
  </si>
  <si>
    <t>PTT Exploration &amp; Production PCL (Foreign)(PTTEP-F)</t>
  </si>
  <si>
    <t>Chemed Corp.(CHE)</t>
  </si>
  <si>
    <t>RealPage Inc.(RP)</t>
  </si>
  <si>
    <t>Bemis Co. Inc.(BMS)</t>
  </si>
  <si>
    <t>First National Financial Corp.(FN)</t>
  </si>
  <si>
    <t>Orpea(ORP)</t>
  </si>
  <si>
    <t>Shoprite Holdings Ltd.(SHP)</t>
  </si>
  <si>
    <t>Tohoku Electric Power Co. Inc.(9506)</t>
  </si>
  <si>
    <t>MDU Resources Group Inc.(MDU)</t>
  </si>
  <si>
    <t>New Relic Inc.(NEWR)</t>
  </si>
  <si>
    <t>Nordstrom Inc.(JWN)</t>
  </si>
  <si>
    <t>Yokogawa Electric Corp.(6841)</t>
  </si>
  <si>
    <t>Genesee &amp; Wyoming Inc. Class A(GWR)</t>
  </si>
  <si>
    <t>Lion Corp.(4912)</t>
  </si>
  <si>
    <t>Postal Savings Bank of China Co. Ltd.(1658)</t>
  </si>
  <si>
    <t>Ascendas REIT(A17U)</t>
  </si>
  <si>
    <t>Tech Mahindra Ltd.(TECHM)</t>
  </si>
  <si>
    <t>Lendlease Group(LLC)</t>
  </si>
  <si>
    <t>Leggett &amp; Platt Inc.(LEG)</t>
  </si>
  <si>
    <t>KION Group AG(KGX)</t>
  </si>
  <si>
    <t>Bank Polska Kasa Opieki SA(PEO)</t>
  </si>
  <si>
    <t>JBG SMITH Properties(JBGS)</t>
  </si>
  <si>
    <t>Insulet Corp.(PODD)</t>
  </si>
  <si>
    <t>Hanover Insurance Group Inc.(THG)</t>
  </si>
  <si>
    <t>Pure Storage Inc. Class A(PSTG)</t>
  </si>
  <si>
    <t>Ollie's Bargain Outlet Holdings Inc.(OLLI)</t>
  </si>
  <si>
    <t>Just Eat plc(JE.)</t>
  </si>
  <si>
    <t>Watsco Inc.(WSO)</t>
  </si>
  <si>
    <t>Ingenico Group SA(ING)</t>
  </si>
  <si>
    <t>China Conch Venture Holdings Ltd.(586)</t>
  </si>
  <si>
    <t>BWX Technologies Inc.(BWXT)</t>
  </si>
  <si>
    <t>Lazard Ltd. Class A(LAZ)</t>
  </si>
  <si>
    <t>Wuxi Biologics Cayman Inc.(2269)</t>
  </si>
  <si>
    <t>Nexstar Media Group Inc. Class A(NXST)</t>
  </si>
  <si>
    <t>IDACORP Inc.(IDA)</t>
  </si>
  <si>
    <t>Bharat Petroleum Corp. Ltd.(BPCL)</t>
  </si>
  <si>
    <t>Oji Holdings Corp.(3861)</t>
  </si>
  <si>
    <t>Auckland International Airport Ltd.(AIA)</t>
  </si>
  <si>
    <t>SEEK Ltd.(SEK)</t>
  </si>
  <si>
    <t>WR Grace &amp; Co.(GRA)</t>
  </si>
  <si>
    <t>Eurofins Scientific SE(ERF)</t>
  </si>
  <si>
    <t>Guangdong Investment Ltd.(270)</t>
  </si>
  <si>
    <t>Radian Group Inc.(RDN)</t>
  </si>
  <si>
    <t>Mahindra &amp; Mahindra Ltd.(M&amp;M)</t>
  </si>
  <si>
    <t>Air Liquide SA(null)</t>
  </si>
  <si>
    <t>Toll Brothers Inc.(TOL)</t>
  </si>
  <si>
    <t>Prosperity Bancshares Inc.(PB)</t>
  </si>
  <si>
    <t>Transocean Ltd.(RIG)</t>
  </si>
  <si>
    <t>Ashland Global Holdings Inc.(ASH)</t>
  </si>
  <si>
    <t>AXA Equitable Holdings Inc.(EQH)</t>
  </si>
  <si>
    <t>Webster Financial Corp.(WBS)</t>
  </si>
  <si>
    <t>Grupo Bimbo SAB de CV Class A(BIMBOA)</t>
  </si>
  <si>
    <t>CK Infrastructure Holdings Ltd.(1038)</t>
  </si>
  <si>
    <t>Brighthouse Financial Inc.(BHF)</t>
  </si>
  <si>
    <t>Coal India Ltd.(COALINDIA)</t>
  </si>
  <si>
    <t>Natixis SA(KN)</t>
  </si>
  <si>
    <t>Wilmar International Ltd.(F34)</t>
  </si>
  <si>
    <t>Array BioPharma Inc.(ARRY)</t>
  </si>
  <si>
    <t>Telecom Italia SPA (Registered)(TIT)</t>
  </si>
  <si>
    <t>Asustek Computer Inc.(2357)</t>
  </si>
  <si>
    <t>SACI Falabella(FALABELLA)</t>
  </si>
  <si>
    <t>Kakao Corp.(035720)</t>
  </si>
  <si>
    <t>JSW Steel Ltd.(JSWSTEEL)</t>
  </si>
  <si>
    <t>BB Biotech AG(null)</t>
  </si>
  <si>
    <t>PacWest Bancorp(PACW)</t>
  </si>
  <si>
    <t>MKS Instruments Inc.(MKSI)</t>
  </si>
  <si>
    <t>Bayerische Motoren Werke AG Preference Shares(BMW3)</t>
  </si>
  <si>
    <t>First Horizon National Corp.(FHN)</t>
  </si>
  <si>
    <t>BlueScope Steel Ltd.(BSL)</t>
  </si>
  <si>
    <t>Prysmian SPA(PRY)</t>
  </si>
  <si>
    <t>New York Times Co. Class A(NYT)</t>
  </si>
  <si>
    <t>Caltex Australia Ltd.(CTX)</t>
  </si>
  <si>
    <t>Just Energy Group Inc.(JE)</t>
  </si>
  <si>
    <t>Kobayashi Pharmaceutical Co. Ltd.(4967)</t>
  </si>
  <si>
    <t>Rubis SCA(RUI)</t>
  </si>
  <si>
    <t>CommScope Holding Co. Inc.(COMM)</t>
  </si>
  <si>
    <t>Delivery Hero SE(DHER)</t>
  </si>
  <si>
    <t>Samsung Electro-Mechanics Co. Ltd.(009150)</t>
  </si>
  <si>
    <t>Titan Co. Ltd.(TITAN)</t>
  </si>
  <si>
    <t>President Chain Store Corp.(2912)</t>
  </si>
  <si>
    <t>Casey's General Stores Inc.(CASY)</t>
  </si>
  <si>
    <t>CACI International Inc. Class A(CACI)</t>
  </si>
  <si>
    <t>Ingevity Corp.(NGVT)</t>
  </si>
  <si>
    <t>Asahi Intecc Co. Ltd.(7747)</t>
  </si>
  <si>
    <t>Puma SE(PUM)</t>
  </si>
  <si>
    <t>RWE AG Preference Shares(RWE3)</t>
  </si>
  <si>
    <t>Nuance Communications Inc.(NUAN)</t>
  </si>
  <si>
    <t>Evonik Industries AG(EVK)</t>
  </si>
  <si>
    <t>Littelfuse Inc.(LFUS)</t>
  </si>
  <si>
    <t>TUI AG(TUI)</t>
  </si>
  <si>
    <t>Erie Indemnity Co. Class A(ERIE)</t>
  </si>
  <si>
    <t>China Gas Holdings Ltd.(384)</t>
  </si>
  <si>
    <t>Sterling Bancorp/DE(STL)</t>
  </si>
  <si>
    <t>Lumentum Holdings Inc.(LITE)</t>
  </si>
  <si>
    <t>Showa Denko KK(4004)</t>
  </si>
  <si>
    <t>Kirby Corp.(KEX)</t>
  </si>
  <si>
    <t>ONE Gas Inc.(OGS)</t>
  </si>
  <si>
    <t>Assured Guaranty Ltd.(AGO)</t>
  </si>
  <si>
    <t>Poste Italiane SPA(PST)</t>
  </si>
  <si>
    <t>Eurazeo SE(RF)</t>
  </si>
  <si>
    <t>Alkermes plc(ALKS)</t>
  </si>
  <si>
    <t>China CITIC Bank Corp. Ltd.(998)</t>
  </si>
  <si>
    <t>Hang Lung Properties Ltd.(101)</t>
  </si>
  <si>
    <t>Covivio(COV)</t>
  </si>
  <si>
    <t>Rheinmetall AG(RHM)</t>
  </si>
  <si>
    <t>Tate &amp; Lyle plc(TATE)</t>
  </si>
  <si>
    <t>Alfresa Holdings Corp.(2784)</t>
  </si>
  <si>
    <t>State Bank of India(SBIN)</t>
  </si>
  <si>
    <t>Marriott Vacations Worldwide Corp.(VAC)</t>
  </si>
  <si>
    <t>UPL Ltd.(UPL)</t>
  </si>
  <si>
    <t>Bidvest Group Ltd.(BVT)</t>
  </si>
  <si>
    <t>MAXIMUS Inc.(MMS)</t>
  </si>
  <si>
    <t>GVC Holdings plc(GVC)</t>
  </si>
  <si>
    <t>Rumo SA(RAIL3)</t>
  </si>
  <si>
    <t>Zynga Inc. Class A(ZNGA)</t>
  </si>
  <si>
    <t>Qatar Islamic Bank SAQ(QIBK)</t>
  </si>
  <si>
    <t>Growthpoint Properties Ltd.(GRT)</t>
  </si>
  <si>
    <t>Kemper Corp.(KMPR)</t>
  </si>
  <si>
    <t>Chailease Holding Co. Ltd.(5871)</t>
  </si>
  <si>
    <t>Quanta Computer Inc.(2382)</t>
  </si>
  <si>
    <t>Toho Co. Ltd./Tokyo(9602)</t>
  </si>
  <si>
    <t>Portland General Electric Co.(POR)</t>
  </si>
  <si>
    <t>National Fuel Gas Co.(NFG)</t>
  </si>
  <si>
    <t>Capitec Bank Holdings Ltd.(CPI)</t>
  </si>
  <si>
    <t>Jefferies Financial Group Inc.(JEF)</t>
  </si>
  <si>
    <t>Svenska Cellulosa AB SCA Class B(SCA B)</t>
  </si>
  <si>
    <t>Insperity Inc.(NSP)</t>
  </si>
  <si>
    <t>Horizon Pharma plc(HZNP)</t>
  </si>
  <si>
    <t>BDO Unibank Inc.(BDO)</t>
  </si>
  <si>
    <t>Silicon Laboratories Inc.(SLAB)</t>
  </si>
  <si>
    <t>Shimizu Corp.(1803)</t>
  </si>
  <si>
    <t>Brunswick Corp./DE(BC)</t>
  </si>
  <si>
    <t>Grupo Televisa SAB(TLEVISACPO)</t>
  </si>
  <si>
    <t>Kweichow Moutai Co. Ltd. Class A(600519)</t>
  </si>
  <si>
    <t>Kyushu Electric Power Co. Inc.(9508)</t>
  </si>
  <si>
    <t>Keikyu Corp.(9006)</t>
  </si>
  <si>
    <t>Vodacom Group Ltd.(VOD)</t>
  </si>
  <si>
    <t>Formosa Petrochemical Corp.(6505)</t>
  </si>
  <si>
    <t>Newell Brands Inc.(NWL)</t>
  </si>
  <si>
    <t>Argenx SE(ARGX)</t>
  </si>
  <si>
    <t>SK Telecom Co. Ltd.(017670)</t>
  </si>
  <si>
    <t>Bank Negara Indonesia Persero Tbk PT(BBNI)</t>
  </si>
  <si>
    <t>Haitong Securities Co. Ltd.(6837)</t>
  </si>
  <si>
    <t>Carter's Inc.(CRI)</t>
  </si>
  <si>
    <t>Deckers Outdoor Corp.(DECK)</t>
  </si>
  <si>
    <t>Hawaiian Electric Industries Inc.(HE)</t>
  </si>
  <si>
    <t>Samsung Life Insurance Co. Ltd.(032830)</t>
  </si>
  <si>
    <t>Castellum AB(CAST)</t>
  </si>
  <si>
    <t>Eaton Vance Corp.(EV)</t>
  </si>
  <si>
    <t>Kuraray Co. Ltd.(3405)</t>
  </si>
  <si>
    <t>Ambu A/S Class B(AMBU B)</t>
  </si>
  <si>
    <t>PeptiDream Inc.(4587)</t>
  </si>
  <si>
    <t>Williams-Sonoma Inc.(WSM)</t>
  </si>
  <si>
    <t>Murphy Oil Corp.(MUR)</t>
  </si>
  <si>
    <t>GEA Group AG(G1A)</t>
  </si>
  <si>
    <t>Highwoods Properties Inc.(HIW)</t>
  </si>
  <si>
    <t>Schroders plc(SDR)</t>
  </si>
  <si>
    <t>Euronext NV(ENX)</t>
  </si>
  <si>
    <t>JBS SA(JBSS3)</t>
  </si>
  <si>
    <t>Localiza Rent a Car SA(RENT3)</t>
  </si>
  <si>
    <t>Western Alliance Bancorp(WAL)</t>
  </si>
  <si>
    <t>New China Life Insurance Co. Ltd.(1336)</t>
  </si>
  <si>
    <t>Indian Oil Corp. Ltd.(IOC)</t>
  </si>
  <si>
    <t>Boral Ltd.(BLD)</t>
  </si>
  <si>
    <t>Disco Corp.(6146)</t>
  </si>
  <si>
    <t>BYD Co. Ltd.(1211)</t>
  </si>
  <si>
    <t>Keisei Electric Railway Co. Ltd.(9009)</t>
  </si>
  <si>
    <t>First Solar Inc.(FSLR)</t>
  </si>
  <si>
    <t>Hyundai Heavy Industries Co. Ltd.(009540)</t>
  </si>
  <si>
    <t>Ryohin Keikaku Co. Ltd.(7453)</t>
  </si>
  <si>
    <t>New Jersey Resources Corp.(NJR)</t>
  </si>
  <si>
    <t>Tosoh Corp.(4042)</t>
  </si>
  <si>
    <t>EMCOR Group Inc.(EME)</t>
  </si>
  <si>
    <t>Travis Perkins plc(TPK)</t>
  </si>
  <si>
    <t>J Sainsbury plc(SBRY)</t>
  </si>
  <si>
    <t>Axis Capital Holdings Ltd.(AXS)</t>
  </si>
  <si>
    <t>Cinemark Holdings Inc.(CNK)</t>
  </si>
  <si>
    <t>Howard Hughes Corp.(HHC)</t>
  </si>
  <si>
    <t>Konica Minolta Inc.(4902)</t>
  </si>
  <si>
    <t>Singapore Technologies Engineering Ltd.(S63)</t>
  </si>
  <si>
    <t>Curtiss-Wright Corp.(CW)</t>
  </si>
  <si>
    <t>Bollore SA(BOL)</t>
  </si>
  <si>
    <t>Telecom Italia SPA (Bearer)(TITR)</t>
  </si>
  <si>
    <t>Spark New Zealand Ltd.(SPK)</t>
  </si>
  <si>
    <t>AMP Ltd.(AMP)</t>
  </si>
  <si>
    <t>SBI Holdings Inc./Japan(8473)</t>
  </si>
  <si>
    <t>Brother Industries Ltd.(6448)</t>
  </si>
  <si>
    <t>nVent Electric plc(NVT)</t>
  </si>
  <si>
    <t>Landstar System Inc.(LSTR)</t>
  </si>
  <si>
    <t>Essent Group Ltd.(ESNT)</t>
  </si>
  <si>
    <t>EMS-Chemie Holding AG(EMSN)</t>
  </si>
  <si>
    <t>First Industrial Realty Trust Inc.(FR)</t>
  </si>
  <si>
    <t>Goodyear Tire &amp; Rubber Co.(GT)</t>
  </si>
  <si>
    <t>Haemonetics Corp.(HAE)</t>
  </si>
  <si>
    <t>Rosneft Oil Co. PJSC GDR(ROSN)</t>
  </si>
  <si>
    <t>Grifols SA Preference Shares(GRF.P)</t>
  </si>
  <si>
    <t>United Internet AG(UTDI)</t>
  </si>
  <si>
    <t>MOL Hungarian Oil &amp; Gas plc(MOL)</t>
  </si>
  <si>
    <t>Huntsman Corp.(HUN)</t>
  </si>
  <si>
    <t>ICU Medical Inc.(ICUI)</t>
  </si>
  <si>
    <t>BB Seguridade Participacoes SA(BBSE3)</t>
  </si>
  <si>
    <t>SYNNEX Corp.(SNX)</t>
  </si>
  <si>
    <t>AngloGold Ashanti Ltd.(ANG)</t>
  </si>
  <si>
    <t>RPC Group plc(RPC)</t>
  </si>
  <si>
    <t>AGCO Corp.(AGCO)</t>
  </si>
  <si>
    <t>Sojitz Corp.(2768)</t>
  </si>
  <si>
    <t>Life Storage Inc.(LSI)</t>
  </si>
  <si>
    <t>Concordia Financial Group Ltd.(7186)</t>
  </si>
  <si>
    <t>Manhattan Associates Inc.(MANH)</t>
  </si>
  <si>
    <t>Pigeon Corp.(7956)</t>
  </si>
  <si>
    <t>Proximus SADP(PROX)</t>
  </si>
  <si>
    <t>Continental Resources Inc./OK(CLR)</t>
  </si>
  <si>
    <t>Gardner Denver Holdings Inc.(GDI)</t>
  </si>
  <si>
    <t>Nissin Foods Holdings Co. Ltd.(2897)</t>
  </si>
  <si>
    <t>Pennon Group plc(PNN)</t>
  </si>
  <si>
    <t>Black Hills Corp.(BKH)</t>
  </si>
  <si>
    <t>IMCD NV(IMCD)</t>
  </si>
  <si>
    <t>Wynn Macau Ltd.(1128)</t>
  </si>
  <si>
    <t>Wintrust Financial Corp.(WTFC)</t>
  </si>
  <si>
    <t>Pinnacle Financial Partners Inc.(PNFP)</t>
  </si>
  <si>
    <t>Metso Oyj(METSO)</t>
  </si>
  <si>
    <t>SSP Group plc(SSPG)</t>
  </si>
  <si>
    <t>Merlin Properties Socimi SA(MRL)</t>
  </si>
  <si>
    <t>TIS Inc.(3626)</t>
  </si>
  <si>
    <t>Want Want China Holdings Ltd.(151)</t>
  </si>
  <si>
    <t>CapitaLand Commercial Trust(C61U)</t>
  </si>
  <si>
    <t>NGK Insulators Ltd.(5333)</t>
  </si>
  <si>
    <t>Kasikornbank PCL(KBANK)</t>
  </si>
  <si>
    <t>HUGO BOSS AG(BOSS)</t>
  </si>
  <si>
    <t>L Brands Inc.(LB)</t>
  </si>
  <si>
    <t>NTPC Ltd.(NTPC)</t>
  </si>
  <si>
    <t>IBERIABANK Corp.(IBKC)</t>
  </si>
  <si>
    <t>Leonardo SPA(LDO)</t>
  </si>
  <si>
    <t>Crane Co.(CR)</t>
  </si>
  <si>
    <t>Israel Discount Bank Ltd. Class A(DSCT)</t>
  </si>
  <si>
    <t>Pebblebrook Hotel Trust(PEB)</t>
  </si>
  <si>
    <t>ALLETE Inc.(ALE)</t>
  </si>
  <si>
    <t>MongoDB Inc.(MDB)</t>
  </si>
  <si>
    <t>Nibe Industrier AB Class B(NIBE B)</t>
  </si>
  <si>
    <t>Nokian Renkaat Oyj(NRE1V)</t>
  </si>
  <si>
    <t>Suzuken Co. Ltd./Aichi Japan(9987)</t>
  </si>
  <si>
    <t>Hotai Motor Co. Ltd.(2207)</t>
  </si>
  <si>
    <t>Alps Alpine Co. Ltd.(6770)</t>
  </si>
  <si>
    <t>Taishin Financial Holding Co. Ltd.(2887)</t>
  </si>
  <si>
    <t>Investec plc(INVP)</t>
  </si>
  <si>
    <t>Equitrans Midstream Corp.(ETRN)</t>
  </si>
  <si>
    <t>China Gold International Resources Corp. Ltd.(CGG)</t>
  </si>
  <si>
    <t>United Therapeutics Corp.(UTHR)</t>
  </si>
  <si>
    <t>Cineworld Group plc(CINE)</t>
  </si>
  <si>
    <t>Unibail-Rodamco-Westfield(URW)</t>
  </si>
  <si>
    <t>Seiko Epson Corp.(6724)</t>
  </si>
  <si>
    <t>Southwest Gas Holdings Inc.(SWX)</t>
  </si>
  <si>
    <t>Japan Post Bank Co. Ltd.(7182)</t>
  </si>
  <si>
    <t>Emaar Properties PJSC(EMAAR)</t>
  </si>
  <si>
    <t>Janus Henderson Group plc(JHG)</t>
  </si>
  <si>
    <t>Surgutneftegas OAO Preference Shares(SNGSP)</t>
  </si>
  <si>
    <t>Jabil Inc.(JBL)</t>
  </si>
  <si>
    <t>G4S plc(GFS)</t>
  </si>
  <si>
    <t>Konami Holdings Corp.(9766)</t>
  </si>
  <si>
    <t>China Development Financial Holding Corp.(2883)</t>
  </si>
  <si>
    <t>AAC Technologies Holdings Inc.(2018)</t>
  </si>
  <si>
    <t>Toppan Printing Co. Ltd.(7911)</t>
  </si>
  <si>
    <t>Under Armour Inc. Class A(UAA)</t>
  </si>
  <si>
    <t>B&amp;M European Value Retail SA(BME)</t>
  </si>
  <si>
    <t>Nihon M&amp;A Center Inc.(2127)</t>
  </si>
  <si>
    <t>voestalpine AG(VOE)</t>
  </si>
  <si>
    <t>Genting Singapore Ltd.(G13)</t>
  </si>
  <si>
    <t>Korea Zinc Co. Ltd.(010130)</t>
  </si>
  <si>
    <t>China Communications Construction Co. Ltd.(1800)</t>
  </si>
  <si>
    <t>Penumbra Inc.(PEN)</t>
  </si>
  <si>
    <t>Fibra Uno Administracion SA de CV(FUNO11)</t>
  </si>
  <si>
    <t>Swatch Group AG (Registered)(UHRN)</t>
  </si>
  <si>
    <t>Keihan Holdings Co. Ltd.(9045)</t>
  </si>
  <si>
    <t>EastGroup Properties Inc.(EGP)</t>
  </si>
  <si>
    <t>Fuji Electric Co. Ltd.(6504)</t>
  </si>
  <si>
    <t>USS Co. Ltd.(4732)</t>
  </si>
  <si>
    <t>ComfortDelGro Corp. Ltd.(C52)</t>
  </si>
  <si>
    <t>LogMeIn Inc.(LOGM)</t>
  </si>
  <si>
    <t>Ultrapar Participacoes SA(UGPA3)</t>
  </si>
  <si>
    <t>Mitsui Chemicals Inc.(4183)</t>
  </si>
  <si>
    <t>Sime Darby Plantation Bhd.(SIMEPLT)</t>
  </si>
  <si>
    <t>Rayonier Inc.(RYN)</t>
  </si>
  <si>
    <t>Two Harbors Investment Corp.(TWO)</t>
  </si>
  <si>
    <t>Graphic Packaging Holding Co.(GPK)</t>
  </si>
  <si>
    <t>Flowers Foods Inc.(FLO)</t>
  </si>
  <si>
    <t>EDF COMMON STOCK(null)</t>
  </si>
  <si>
    <t>IRB Brasil Resseguros S/A(IRBR3)</t>
  </si>
  <si>
    <t>Hospitality Properties Trust(HPT)</t>
  </si>
  <si>
    <t>Sumitomo Heavy Industries Ltd.(6302)</t>
  </si>
  <si>
    <t>Wharf Holdings Ltd.(4)</t>
  </si>
  <si>
    <t>Eagle Materials Inc.(EXP)</t>
  </si>
  <si>
    <t>Intermediate Capital Group plc(ICP)</t>
  </si>
  <si>
    <t>Samsonite International SA(1910)</t>
  </si>
  <si>
    <t>Performance Food Group Co.(PFGC)</t>
  </si>
  <si>
    <t>Marui Group Co. Ltd.(8252)</t>
  </si>
  <si>
    <t>Alibaba Health Information Technology Ltd.(241)</t>
  </si>
  <si>
    <t>Siam Cement PCL (Foreign)(SCC-F)</t>
  </si>
  <si>
    <t>Knight-Swift Transportation Holdings Inc.(KNX)</t>
  </si>
  <si>
    <t>Pandora A/S(PNDORA)</t>
  </si>
  <si>
    <t>China Taiping Insurance Holdings Co. Ltd.(966)</t>
  </si>
  <si>
    <t>FirstCash Inc.(FCFS)</t>
  </si>
  <si>
    <t>Wendel SA(MF)</t>
  </si>
  <si>
    <t>j2 Global Inc.(JCOM)</t>
  </si>
  <si>
    <t>ANA Holdings Inc.(9202)</t>
  </si>
  <si>
    <t>Innogy SE(IGY)</t>
  </si>
  <si>
    <t>Magellan Financial Group Ltd.(MFG)</t>
  </si>
  <si>
    <t>Amundi SA(AMUN)</t>
  </si>
  <si>
    <t>Amedisys Inc.(AMED)</t>
  </si>
  <si>
    <t>Huazhu Group Ltd. ADR(HTHT)</t>
  </si>
  <si>
    <t>Spire Inc.(SR)</t>
  </si>
  <si>
    <t>Selective Insurance Group Inc.(SIGI)</t>
  </si>
  <si>
    <t>Blackstone Mortgage Trust Inc. Class A(BXMT)</t>
  </si>
  <si>
    <t>Armstrong World Industries Inc.(AWI)</t>
  </si>
  <si>
    <t>Swire Properties Ltd.(1972)</t>
  </si>
  <si>
    <t>Singapore Exchange Ltd.(S68)</t>
  </si>
  <si>
    <t>Stifel Financial Corp.(SF)</t>
  </si>
  <si>
    <t>Trex Co. Inc.(TREX)</t>
  </si>
  <si>
    <t>Rexel SA(RXL)</t>
  </si>
  <si>
    <t>Clariant AG(CLN)</t>
  </si>
  <si>
    <t>HealthEquity Inc.(HQY)</t>
  </si>
  <si>
    <t>Elekta AB Class B(EKTA B)</t>
  </si>
  <si>
    <t>Woongjin Coway Co. Ltd.(021240)</t>
  </si>
  <si>
    <t>Wyndham Destinations Inc.(WYND)</t>
  </si>
  <si>
    <t>Cracker Barrel Old Country Store Inc.(CBRL)</t>
  </si>
  <si>
    <t>Nippon Yusen KK(9101)</t>
  </si>
  <si>
    <t>Air Lease Corp. Class A(AL)</t>
  </si>
  <si>
    <t>Skechers U.S.A. Inc. Class A(SKX)</t>
  </si>
  <si>
    <t>Galapagos NV(null)</t>
  </si>
  <si>
    <t>BTG plc(BTG)</t>
  </si>
  <si>
    <t>Bank OZK(OZK)</t>
  </si>
  <si>
    <t>FNB Corp./PA(FNB)</t>
  </si>
  <si>
    <t>PTT Global Chemical PCL(PTTGC-F)</t>
  </si>
  <si>
    <t>American Eagle Outfitters Inc.(AEO)</t>
  </si>
  <si>
    <t>First Financial Bankshares Inc.(FFIN)</t>
  </si>
  <si>
    <t>CoreSite Realty Corp.(COR)</t>
  </si>
  <si>
    <t>Ayala Corp.(AC)</t>
  </si>
  <si>
    <t>Trelleborg AB Class B(TREL B)</t>
  </si>
  <si>
    <t>Tech Data Corp.(TECD)</t>
  </si>
  <si>
    <t>Evraz plc(EVR)</t>
  </si>
  <si>
    <t>Spectris plc(SXS)</t>
  </si>
  <si>
    <t>Far Eastern New Century Corp.(1402)</t>
  </si>
  <si>
    <t>Dolby Laboratories Inc. Class A(DLB)</t>
  </si>
  <si>
    <t>Telefonica Brasil SA Preference Shares(VIVT4)</t>
  </si>
  <si>
    <t>Chiba Bank Ltd.(8331)</t>
  </si>
  <si>
    <t>Science Applications International Corp.(SAIC)</t>
  </si>
  <si>
    <t>Cousins Properties Inc.(CUZ)</t>
  </si>
  <si>
    <t>Otsuka Corp.(4768)</t>
  </si>
  <si>
    <t>Antofagasta plc(ANTO)</t>
  </si>
  <si>
    <t>NH Foods Ltd.(2282)</t>
  </si>
  <si>
    <t>Verint Systems Inc.(VRNT)</t>
  </si>
  <si>
    <t>Axiata Group Bhd.(AXIATA)</t>
  </si>
  <si>
    <t>Storebrand ASA(STB)</t>
  </si>
  <si>
    <t>Bajaj Finserv Ltd.(BAJAJFINSV)</t>
  </si>
  <si>
    <t>Nippon Express Co. Ltd.(9062)</t>
  </si>
  <si>
    <t>Under Armour Inc. Class C(UA)</t>
  </si>
  <si>
    <t>Beazley plc(BEZ)</t>
  </si>
  <si>
    <t>Aalberts NV(AALB)</t>
  </si>
  <si>
    <t>Bruker Corp.(BRKR)</t>
  </si>
  <si>
    <t>Chegg Inc.(CHGG)</t>
  </si>
  <si>
    <t>Roku Inc.(ROKU)</t>
  </si>
  <si>
    <t>Hikari Tsushin Inc.(9435)</t>
  </si>
  <si>
    <t>CapitaLand Mall Trust(C38U)</t>
  </si>
  <si>
    <t>Healthcare Realty Trust Inc.(HR)</t>
  </si>
  <si>
    <t>ACI Worldwide Inc.(ACIW)</t>
  </si>
  <si>
    <t>Banco de Chile(CHILE)</t>
  </si>
  <si>
    <t>John Wood Group plc(WG.)</t>
  </si>
  <si>
    <t>Howden Joinery Group plc(HWDN)</t>
  </si>
  <si>
    <t>Japan Post Insurance Co. Ltd.(7181)</t>
  </si>
  <si>
    <t>Derwent London plc(DLN)</t>
  </si>
  <si>
    <t>Siemens Gamesa Renewable Energy SA(SGRE)</t>
  </si>
  <si>
    <t>Close Brothers Group plc(CBG)</t>
  </si>
  <si>
    <t>Interactive Brokers Group Inc.(IBKR)</t>
  </si>
  <si>
    <t>ASM Pacific Technology Ltd.(522)</t>
  </si>
  <si>
    <t>Sinopharm Group Co. Ltd.(1099)</t>
  </si>
  <si>
    <t>Electric Power Development Co. Ltd.(9513)</t>
  </si>
  <si>
    <t>SinoPac Financial Holdings Co. Ltd.(2890)</t>
  </si>
  <si>
    <t>Grasim Industries Ltd.(GRASIM)</t>
  </si>
  <si>
    <t>MSA Safety Inc.(MSA)</t>
  </si>
  <si>
    <t>Teladoc Health Inc.(TDOC)</t>
  </si>
  <si>
    <t>Syneos Health Inc.(SYNH)</t>
  </si>
  <si>
    <t>Ipsen SA(IPN)</t>
  </si>
  <si>
    <t>Six Flags Entertainment Corp.(SIX)</t>
  </si>
  <si>
    <t>United Bankshares Inc./WV(UBSI)</t>
  </si>
  <si>
    <t>Blackbaud Inc.(BLKB)</t>
  </si>
  <si>
    <t>Brink's Co.(BCO)</t>
  </si>
  <si>
    <t>Bank of East Asia Ltd.(23)</t>
  </si>
  <si>
    <t>Umpqua Holdings Corp.(UMPQ)</t>
  </si>
  <si>
    <t>MMC Norilsk Nickel PJSC(GMKN)</t>
  </si>
  <si>
    <t>DiGi.Com Bhd.(DIGI)</t>
  </si>
  <si>
    <t>Shizuoka Bank Ltd.(8355)</t>
  </si>
  <si>
    <t>Hancock Whitney Corp.(HWC)</t>
  </si>
  <si>
    <t>Clean Harbors Inc.(CLH)</t>
  </si>
  <si>
    <t>Helvetia Holding AG(HELN)</t>
  </si>
  <si>
    <t>SimCorp A/S(SIM)</t>
  </si>
  <si>
    <t>Alumina Ltd.(AWC)</t>
  </si>
  <si>
    <t>Atlas Arteria Ltd.(ALX)</t>
  </si>
  <si>
    <t>Stanley Electric Co. Ltd.(6923)</t>
  </si>
  <si>
    <t>Recordati SPA(REC)</t>
  </si>
  <si>
    <t>Associated Banc-Corp(ASB)</t>
  </si>
  <si>
    <t>K+S AG(SDF)</t>
  </si>
  <si>
    <t>HomeServe plc(HSV)</t>
  </si>
  <si>
    <t>Hirose Electric Co. Ltd.(6806)</t>
  </si>
  <si>
    <t>Kurita Water Industries Ltd.(6370)</t>
  </si>
  <si>
    <t>Coty Inc. Class A(COTY)</t>
  </si>
  <si>
    <t>Yes Bank Ltd.(YESBANK)</t>
  </si>
  <si>
    <t>RMB Holdings Ltd.(RMH)</t>
  </si>
  <si>
    <t>Tullow Oil plc(TLW)</t>
  </si>
  <si>
    <t>ANDRITZ AG(ANDR)</t>
  </si>
  <si>
    <t>LiveRamp Holdings Inc.(RAMP)</t>
  </si>
  <si>
    <t>NewMarket Corp.(NEU)</t>
  </si>
  <si>
    <t>BeiGene Ltd. ADR(BGNE)</t>
  </si>
  <si>
    <t>Jeronimo Martins SGPS SA(JMT)</t>
  </si>
  <si>
    <t>Minor International PCL (Foreign)(MINT-F)</t>
  </si>
  <si>
    <t>Raiffeisen Bank International AG(RBI)</t>
  </si>
  <si>
    <t>BankUnited Inc.(BKU)</t>
  </si>
  <si>
    <t>Chesapeake Energy Corp.(CHK)</t>
  </si>
  <si>
    <t>MSC Industrial Direct Co. Inc. Class A(MSM)</t>
  </si>
  <si>
    <t>NGK Spark Plug Co. Ltd.(5334)</t>
  </si>
  <si>
    <t>Samsung Biologics Co. Ltd.(207940)</t>
  </si>
  <si>
    <t>Hakuhodo DY Holdings Inc.(2433)</t>
  </si>
  <si>
    <t>PNM Resources Inc.(PNM)</t>
  </si>
  <si>
    <t>Axon Enterprise Inc.(AAXN)</t>
  </si>
  <si>
    <t>IMI plc(IMI)</t>
  </si>
  <si>
    <t>Vitasoy International Holdings Ltd.(345)</t>
  </si>
  <si>
    <t>TreeHouse Foods Inc.(THS)</t>
  </si>
  <si>
    <t>Aaron's Inc.(AAN)</t>
  </si>
  <si>
    <t>Toyo Suisan Kaisha Ltd.(2875)</t>
  </si>
  <si>
    <t>Electrocomponents plc(ECM)</t>
  </si>
  <si>
    <t>World Wrestling Entertainment Inc. Class A(WWE)</t>
  </si>
  <si>
    <t>PBF Energy Inc. Class A(PBF)</t>
  </si>
  <si>
    <t>First Hawaiian Inc.(FHB)</t>
  </si>
  <si>
    <t>Vedanta Ltd.(VEDL)</t>
  </si>
  <si>
    <t>Perrigo Co. plc(PRGO)</t>
  </si>
  <si>
    <t>Colruyt SA(COLR)</t>
  </si>
  <si>
    <t>Fukuoka Financial Group Inc.(8354)</t>
  </si>
  <si>
    <t>Ryman Hospitality Properties Inc.(RHP)</t>
  </si>
  <si>
    <t>AK Transneft OAO Preference Shares(TRNFP)</t>
  </si>
  <si>
    <t>Spirit Airlines Inc.(SAVE)</t>
  </si>
  <si>
    <t>Kasikornbank PCL(KBANK-R)</t>
  </si>
  <si>
    <t>AIB Group plc(A5G)</t>
  </si>
  <si>
    <t>Quilter plc(QLT)</t>
  </si>
  <si>
    <t>COMSYS Holdings Corp.(1721)</t>
  </si>
  <si>
    <t>Raia Drogasil SA(RADL3)</t>
  </si>
  <si>
    <t>Equity Commonwealth(EQC)</t>
  </si>
  <si>
    <t>Regal Beloit Corp.(RBC)</t>
  </si>
  <si>
    <t>Helen of Troy Ltd.(HELE)</t>
  </si>
  <si>
    <t>Wright Medical Group NV(WMGI)</t>
  </si>
  <si>
    <t>Taisho Pharmaceutical Holdings Co. Ltd.(4581)</t>
  </si>
  <si>
    <t>Texas Roadhouse Inc. Class A(TXRH)</t>
  </si>
  <si>
    <t>Svenska Handelsbanken AB Class B(SHB B)</t>
  </si>
  <si>
    <t>Adani Ports &amp; Special Economic Zone Ltd.(ADANIPORTS)</t>
  </si>
  <si>
    <t>CNP Assurances(CNP)</t>
  </si>
  <si>
    <t>Taiheiyo Cement Corp.(5233)</t>
  </si>
  <si>
    <t>Georg Fischer AG(FI-N)</t>
  </si>
  <si>
    <t>Far EasTone Telecommunications Co. Ltd.(4904)</t>
  </si>
  <si>
    <t>PSP Swiss Property AG(PSPN)</t>
  </si>
  <si>
    <t>Cabot Microelectronics Corp.(CCMP)</t>
  </si>
  <si>
    <t>Liberty Media Corp-Liberty SiriusXM Class A(LSXMA)</t>
  </si>
  <si>
    <t>Japan Airlines Co. Ltd.(9201)</t>
  </si>
  <si>
    <t>MediPal Holdings Corp.(7459)</t>
  </si>
  <si>
    <t>Navient Corp.(NAVI)</t>
  </si>
  <si>
    <t>Genting Bhd.(GENTING)</t>
  </si>
  <si>
    <t>Masraf Al Rayan QSC(MARK)</t>
  </si>
  <si>
    <t>Eicher Motors Ltd.(EICHERMOT)</t>
  </si>
  <si>
    <t>Tribune Media Co. Class A(TRCO)</t>
  </si>
  <si>
    <t>Wipro Ltd.(WIPRO)</t>
  </si>
  <si>
    <t>Coherent Inc.(COHR)</t>
  </si>
  <si>
    <t>Rexford Industrial Realty Inc.(REXR)</t>
  </si>
  <si>
    <t>Olin Corp.(OLN)</t>
  </si>
  <si>
    <t>BRF SA(BRFS3)</t>
  </si>
  <si>
    <t>CyberAgent Inc.(4751)</t>
  </si>
  <si>
    <t>Tetra Tech Inc.(TTEK)</t>
  </si>
  <si>
    <t>Darling Ingredients Inc.(DAR)</t>
  </si>
  <si>
    <t>FibroGen Inc.(FGEN)</t>
  </si>
  <si>
    <t>Banco BPM SPA(BAMI)</t>
  </si>
  <si>
    <t>STAG Industrial Inc.(STAG)</t>
  </si>
  <si>
    <t>Kansai Paint Co. Ltd.(4613)</t>
  </si>
  <si>
    <t>Yageo Corp.(2327)</t>
  </si>
  <si>
    <t>Kawasaki Heavy Industries Ltd.(7012)</t>
  </si>
  <si>
    <t>CRRC Corp. Ltd.(1766)</t>
  </si>
  <si>
    <t>LG Display Co. Ltd.(034220)</t>
  </si>
  <si>
    <t>Incitec Pivot Ltd.(IPL)</t>
  </si>
  <si>
    <t>Rotork plc(ROR)</t>
  </si>
  <si>
    <t>Thor Industries Inc.(THO)</t>
  </si>
  <si>
    <t>Integra LifeSciences Holdings Corp.(IART)</t>
  </si>
  <si>
    <t>Singapore Airlines Ltd.(C6L)</t>
  </si>
  <si>
    <t>National Commercial Bank(1180)</t>
  </si>
  <si>
    <t>Hysan Development Co. Ltd.(14)</t>
  </si>
  <si>
    <t>Apple Hospitality REIT Inc.(APLE)</t>
  </si>
  <si>
    <t>Epiroc AB Class B(EPI B)</t>
  </si>
  <si>
    <t>BBA Aviation plc(BBA)</t>
  </si>
  <si>
    <t>IHH Healthcare Bhd.(IHH)</t>
  </si>
  <si>
    <t>Fila Korea Ltd.(081660)</t>
  </si>
  <si>
    <t>Bank of Hawaii Corp.(BOH)</t>
  </si>
  <si>
    <t>Sabra Health Care REIT Inc.(SBRA)</t>
  </si>
  <si>
    <t>SINA Corp./China(SINA)</t>
  </si>
  <si>
    <t>Weingarten Realty Investors(WRI)</t>
  </si>
  <si>
    <t>Semtech Corp.(SMTC)</t>
  </si>
  <si>
    <t>Ultragenyx Pharmaceutical Inc.(RARE)</t>
  </si>
  <si>
    <t>Spirit Realty Capital Inc.(SRC)</t>
  </si>
  <si>
    <t>Renesas Electronics Corp.(6723)</t>
  </si>
  <si>
    <t>Lotte Chemical Corp.(011170)</t>
  </si>
  <si>
    <t>Huhtamaki Oyj(HUH1V)</t>
  </si>
  <si>
    <t>KGHM Polska Miedz SA(KGH)</t>
  </si>
  <si>
    <t>NorthWestern Corp.(NWE)</t>
  </si>
  <si>
    <t>Chimera Investment Corp.(CIM)</t>
  </si>
  <si>
    <t>Samsung Electronics Co. Ltd. GDR(null)</t>
  </si>
  <si>
    <t>Valvoline Inc.(VVV)</t>
  </si>
  <si>
    <t>Barry Callebaut AG(BARN)</t>
  </si>
  <si>
    <t>Husqvarna AB(HUSQ B)</t>
  </si>
  <si>
    <t>Dechra Pharmaceuticals plc(DPH)</t>
  </si>
  <si>
    <t>Blueprint Medicines Corp.(BPMC)</t>
  </si>
  <si>
    <t>Churchill Downs Inc.(CHDN)</t>
  </si>
  <si>
    <t>Avangrid Inc.(AGR)</t>
  </si>
  <si>
    <t>Chang Hwa Commercial Bank Ltd.(2801)</t>
  </si>
  <si>
    <t>Allegheny Technologies Inc.(ATI)</t>
  </si>
  <si>
    <t>Dassault Aviation SA(AM)</t>
  </si>
  <si>
    <t>Rohto Pharmaceutical Co. Ltd.(4527)</t>
  </si>
  <si>
    <t>Eutelsat Communications SA(ETL)</t>
  </si>
  <si>
    <t>Toho Gas Co. Ltd.(9533)</t>
  </si>
  <si>
    <t>Xero Ltd.(XRO)</t>
  </si>
  <si>
    <t>Dropbox Inc. Class A(DBX)</t>
  </si>
  <si>
    <t>John Bean Technologies Corp.(JBT)</t>
  </si>
  <si>
    <t>Spark Therapeutics Inc.(ONCE)</t>
  </si>
  <si>
    <t>Chugoku Electric Power Co. Inc.(9504)</t>
  </si>
  <si>
    <t>Bankia SA(BKIA)</t>
  </si>
  <si>
    <t>Fabege AB(FABG)</t>
  </si>
  <si>
    <t>Empresas CMPC SA(CMPC)</t>
  </si>
  <si>
    <t>Nippon Shinyaku Co. Ltd.(4516)</t>
  </si>
  <si>
    <t>Magnit PJSC GDR(MGNT)</t>
  </si>
  <si>
    <t>Mr Price Group Ltd.(MRP)</t>
  </si>
  <si>
    <t>MultiChoice Group Ltd.(MCG)</t>
  </si>
  <si>
    <t>Wendy's Co.(WEN)</t>
  </si>
  <si>
    <t>Glacier Bancorp Inc.(GBCI)</t>
  </si>
  <si>
    <t>Northern Star Resources Ltd.(NST)</t>
  </si>
  <si>
    <t>Hyundai Engineering &amp; Construction Co. Ltd.(000720)</t>
  </si>
  <si>
    <t>Faurecia SA(EO)</t>
  </si>
  <si>
    <t>Remy Cointreau SA(RCO)</t>
  </si>
  <si>
    <t>CEZ AS(CEZ)</t>
  </si>
  <si>
    <t>TCF Financial Corp.(TCF)</t>
  </si>
  <si>
    <t>Redefine Properties Ltd.(RDF)</t>
  </si>
  <si>
    <t>Pegatron Corp.(4938)</t>
  </si>
  <si>
    <t>Israel Chemicals Ltd.(ICL)</t>
  </si>
  <si>
    <t>Valmet Oyj(VALMT)</t>
  </si>
  <si>
    <t>NCR Corp.(NCR)</t>
  </si>
  <si>
    <t>RBC Bearings Inc.(ROLL)</t>
  </si>
  <si>
    <t>Glanbia plc(GL9)</t>
  </si>
  <si>
    <t>Sumitomo Dainippon Pharma Co. Ltd.(4506)</t>
  </si>
  <si>
    <t>Cembra Money Bank AG(CMBN)</t>
  </si>
  <si>
    <t>Globus Medical Inc.(GMED)</t>
  </si>
  <si>
    <t>China Resources Gas Group Ltd.(1193)</t>
  </si>
  <si>
    <t>Tryg A/S(TRYG)</t>
  </si>
  <si>
    <t>Tritax Big Box REIT plc(BBOX)</t>
  </si>
  <si>
    <t>Yamada Denki Co. Ltd.(9831)</t>
  </si>
  <si>
    <t>China Jinmao Holdings Group Ltd.(817)</t>
  </si>
  <si>
    <t>Nestle India Ltd.(NESTLEIND)</t>
  </si>
  <si>
    <t>Bendigo &amp; Adelaide Bank Ltd.(BEN)</t>
  </si>
  <si>
    <t>UOL Group Ltd.(U14)</t>
  </si>
  <si>
    <t>Aker BP ASA(AKERBP)</t>
  </si>
  <si>
    <t>Generac Holdings Inc.(GNRC)</t>
  </si>
  <si>
    <t>Cobham plc(COB)</t>
  </si>
  <si>
    <t>Ackermans &amp; van Haaren NV(ACKB)</t>
  </si>
  <si>
    <t>ams AG(AMS)</t>
  </si>
  <si>
    <t>Industrial Bank of Korea(024110)</t>
  </si>
  <si>
    <t>Air Water Inc.(4088)</t>
  </si>
  <si>
    <t>Louisiana-Pacific Corp.(LPX)</t>
  </si>
  <si>
    <t>Nabtesco Corp.(6268)</t>
  </si>
  <si>
    <t>Pargesa Holding SA(PARG)</t>
  </si>
  <si>
    <t>Bechtle AG(BC8)</t>
  </si>
  <si>
    <t>LIXIL Group Corp.(5938)</t>
  </si>
  <si>
    <t>Bajaj Auto Ltd.(BAJAJ-AUTO)</t>
  </si>
  <si>
    <t>Orion Oyj Class B(ORNBV)</t>
  </si>
  <si>
    <t>Kroton Educacional SA(KROT3)</t>
  </si>
  <si>
    <t>Nemetschek SE(NEM)</t>
  </si>
  <si>
    <t>Mercury Systems Inc.(MRCY)</t>
  </si>
  <si>
    <t>Venture Corp. Ltd.(V03)</t>
  </si>
  <si>
    <t>Ryder System Inc.(R)</t>
  </si>
  <si>
    <t>CD Projekt SA(CDR)</t>
  </si>
  <si>
    <t>Carl Zeiss Meditec AG(AFX)</t>
  </si>
  <si>
    <t>Community Bank System Inc.(CBU)</t>
  </si>
  <si>
    <t>CIMIC Group Ltd.(CIM)</t>
  </si>
  <si>
    <t>Kennametal Inc.(KMT)</t>
  </si>
  <si>
    <t>Amada Holdings Co. Ltd.(6113)</t>
  </si>
  <si>
    <t>Royal Unibrew A/S(RBREW)</t>
  </si>
  <si>
    <t>Coca-Cola Bottlers Japan Holdings Inc.(2579)</t>
  </si>
  <si>
    <t>Grupo Aeroportuario del Pacifico SAB de CV Class B(GAPB)</t>
  </si>
  <si>
    <t>Mitsubishi Motors Corp.(7211)</t>
  </si>
  <si>
    <t>Vipshop Holdings Ltd. ADR(VIPS)</t>
  </si>
  <si>
    <t>ProSiebenSat.1 Media SE(PSM)</t>
  </si>
  <si>
    <t>Extended Stay America Inc.(STAY)</t>
  </si>
  <si>
    <t>Merlin Entertainments plc(MERL)</t>
  </si>
  <si>
    <t>RLI Corp.(RLI)</t>
  </si>
  <si>
    <t>Sony Financial Holdings Inc.(8729)</t>
  </si>
  <si>
    <t>Novatek Microelectronics Corp.(3034)</t>
  </si>
  <si>
    <t>Demant A/S(DEMANT)</t>
  </si>
  <si>
    <t>Valley National Bancorp(VLY)</t>
  </si>
  <si>
    <t>Banco Santander Brasil SA ADR(BSBR)</t>
  </si>
  <si>
    <t>Outfront Media Inc.(OUT)</t>
  </si>
  <si>
    <t>MFA Financial Inc.(MFA)</t>
  </si>
  <si>
    <t>Dialog Group Bhd.(DIALOG)</t>
  </si>
  <si>
    <t>Mobile TeleSystems PJSC ADR(MBT)</t>
  </si>
  <si>
    <t>Maxis Bhd.(MAXIS)</t>
  </si>
  <si>
    <t>Meridian Energy Ltd.(MEL)</t>
  </si>
  <si>
    <t>2U Inc.(TWOU)</t>
  </si>
  <si>
    <t>China National Building Material Co. Ltd.(3323)</t>
  </si>
  <si>
    <t>Haseko Corp.(1808)</t>
  </si>
  <si>
    <t>ENGIE SA COMMON STOCK(null)</t>
  </si>
  <si>
    <t>Ahli United Bank BSC(AUB)</t>
  </si>
  <si>
    <t>Relo Group Inc.(8876)</t>
  </si>
  <si>
    <t>Zscaler Inc.(ZS)</t>
  </si>
  <si>
    <t>Balchem Corp.(BCPC)</t>
  </si>
  <si>
    <t>Kesko Oyj Class B(KESKOB)</t>
  </si>
  <si>
    <t>Crown Resorts Ltd.(CWN)</t>
  </si>
  <si>
    <t>Inmobiliaria Colonial Socimi SA(COL)</t>
  </si>
  <si>
    <t>RLJ Lodging Trust(RLJ)</t>
  </si>
  <si>
    <t>Evercore Inc. Class A(EVR)</t>
  </si>
  <si>
    <t>Hero MotoCorp Ltd.(HEROMOTOCO)</t>
  </si>
  <si>
    <t>Wolverine World Wide Inc.(WWW)</t>
  </si>
  <si>
    <t>Unilever Indonesia Tbk PT(UNVR)</t>
  </si>
  <si>
    <t>Isetan Mitsukoshi Holdings Ltd.(3099)</t>
  </si>
  <si>
    <t>UNITE Group plc(UTG)</t>
  </si>
  <si>
    <t>Scotts Miracle-Gro Co.(SMG)</t>
  </si>
  <si>
    <t>LHC Group Inc.(LHCG)</t>
  </si>
  <si>
    <t>China Everbright International Ltd.(257)</t>
  </si>
  <si>
    <t>Floor &amp; Decor Holdings Inc. Class A(FND)</t>
  </si>
  <si>
    <t>Aozora Bank Ltd.(8304)</t>
  </si>
  <si>
    <t>Sunstone Hotel Investors Inc.(SHO)</t>
  </si>
  <si>
    <t>Seibu Holdings Inc.(9024)</t>
  </si>
  <si>
    <t>Shimao Property Holdings Ltd.(813)</t>
  </si>
  <si>
    <t>Tokyu Fudosan Holdings Corp.(3289)</t>
  </si>
  <si>
    <t>FTI Consulting Inc.(FCN)</t>
  </si>
  <si>
    <t>Novocure Ltd.(NVCR)</t>
  </si>
  <si>
    <t>Zillow Group Inc.(Z)</t>
  </si>
  <si>
    <t>Physicians Realty Trust(DOC)</t>
  </si>
  <si>
    <t>Alrosa PJSC(ALRS)</t>
  </si>
  <si>
    <t>Hoshizaki Corp.(6465)</t>
  </si>
  <si>
    <t>CoreLogic Inc./United States(CLGX)</t>
  </si>
  <si>
    <t>Stericycle Inc.(SRCL)</t>
  </si>
  <si>
    <t>IOI Corp. Bhd.(IOICORP)</t>
  </si>
  <si>
    <t>Celltrion Healthcare Co. Ltd.(091990)</t>
  </si>
  <si>
    <t>Magazine Luiza SA(MGLU3)</t>
  </si>
  <si>
    <t>Equatorial Energia SA(EQTL3)</t>
  </si>
  <si>
    <t>Daicel Corp.(4202)</t>
  </si>
  <si>
    <t>Downer EDI Ltd.(DOW)</t>
  </si>
  <si>
    <t>Timken Co.(TKR)</t>
  </si>
  <si>
    <t>Meituan Dianping Class B(3690)</t>
  </si>
  <si>
    <t>Telephone &amp; Data Systems Inc.(TDS)</t>
  </si>
  <si>
    <t>Texas Capital Bancshares Inc.(TCBI)</t>
  </si>
  <si>
    <t>Discovery Ltd.(DSY)</t>
  </si>
  <si>
    <t>Indutrade AB(INDT)</t>
  </si>
  <si>
    <t>Guangzhou Automobile Group Co. Ltd.(2238)</t>
  </si>
  <si>
    <t>Inmarsat plc(ISAT)</t>
  </si>
  <si>
    <t>Subsea 7 SA(SUBC)</t>
  </si>
  <si>
    <t>Mitsubishi Materials Corp.(5711)</t>
  </si>
  <si>
    <t>JG Summit Holdings Inc.(JGS)</t>
  </si>
  <si>
    <t>Ryman Healthcare Ltd.(RYM)</t>
  </si>
  <si>
    <t>SBM Offshore NV(SBMO)</t>
  </si>
  <si>
    <t>Haier Electronics Group Co. Ltd.(1169)</t>
  </si>
  <si>
    <t>UMB Financial Corp.(UMBF)</t>
  </si>
  <si>
    <t>Ping An Insurance Group Co. of China Ltd. Class A(601318)</t>
  </si>
  <si>
    <t>Perspecta Inc.(PRSP)</t>
  </si>
  <si>
    <t>Weibo Corp. ADR(WB)</t>
  </si>
  <si>
    <t>Fosun International Ltd.(656)</t>
  </si>
  <si>
    <t>Godrej Consumer Products Ltd.(GODREJCP)</t>
  </si>
  <si>
    <t>Grupo Financiero Inbursa SAB de CV(GFINBURO)</t>
  </si>
  <si>
    <t>WorleyParsons Ltd.(WOR)</t>
  </si>
  <si>
    <t>Pirelli &amp; C SPA(PIRC)</t>
  </si>
  <si>
    <t>Britvic plc(BVIC)</t>
  </si>
  <si>
    <t>Clicks Group Ltd.(CLS)</t>
  </si>
  <si>
    <t>AutoNation Inc.(AN)</t>
  </si>
  <si>
    <t>Yelp Inc. Class A(YELP)</t>
  </si>
  <si>
    <t>easyJet plc(EZJ)</t>
  </si>
  <si>
    <t>Italgas SPA(IG)</t>
  </si>
  <si>
    <t>YY Inc. ADR(YY)</t>
  </si>
  <si>
    <t>Nagase &amp; Co. Ltd.(8012)</t>
  </si>
  <si>
    <t>WEG SA(WEGE3)</t>
  </si>
  <si>
    <t>Tomra Systems ASA(TOM)</t>
  </si>
  <si>
    <t>Tandem Diabetes Care Inc.(TNDM)</t>
  </si>
  <si>
    <t>MasTec Inc.(MTZ)</t>
  </si>
  <si>
    <t>Grupo Elektra SAB DE CV(ELEKTRA*)</t>
  </si>
  <si>
    <t>Ebara Corp.(6361)</t>
  </si>
  <si>
    <t>Kagome Co. Ltd.(2811)</t>
  </si>
  <si>
    <t>Evotec SE(EVT)</t>
  </si>
  <si>
    <t>Momo Inc. ADR(MOMO)</t>
  </si>
  <si>
    <t>Semiconductor Manufacturing International Corp.(981)</t>
  </si>
  <si>
    <t>Elbit Systems Ltd.(ESLT)</t>
  </si>
  <si>
    <t>Tsuruha Holdings Inc.(3391)</t>
  </si>
  <si>
    <t>Hellenic Telecommunications Organization SA(HTO)</t>
  </si>
  <si>
    <t>Verbund AG(VER)</t>
  </si>
  <si>
    <t>Alteryx Inc. Class A(AYX)</t>
  </si>
  <si>
    <t>VAT Group AG(VACN)</t>
  </si>
  <si>
    <t>ASGN Inc.(ASGN)</t>
  </si>
  <si>
    <t>CYBG plc(CYBG)</t>
  </si>
  <si>
    <t>Gjensidige Forsikring ASA(GJF)</t>
  </si>
  <si>
    <t>Hulic Co. Ltd.(3003)</t>
  </si>
  <si>
    <t>Fraport AG Frankfurt Airport Services Worldwide(FRA)</t>
  </si>
  <si>
    <t>LG Household &amp; Health Care Ltd. Preference Shares(051905)</t>
  </si>
  <si>
    <t>Petronas Gas Bhd.(PETGAS)</t>
  </si>
  <si>
    <t>KBR Inc.(KBR)</t>
  </si>
  <si>
    <t>NuVasive Inc.(NUVA)</t>
  </si>
  <si>
    <t>Sinclair Broadcast Group Inc. Class A(SBGI)</t>
  </si>
  <si>
    <t>Lagardere SCA(MMB)</t>
  </si>
  <si>
    <t>Chemical Financial Corp.(CHFC)</t>
  </si>
  <si>
    <t>Flughafen Zurich AG(FHZN)</t>
  </si>
  <si>
    <t>Fulton Financial Corp.(FULT)</t>
  </si>
  <si>
    <t>Sanderson Farms Inc.(SAFM)</t>
  </si>
  <si>
    <t>Sartorius Stedim Biotech(DIM)</t>
  </si>
  <si>
    <t>Nankai Electric Railway Co. Ltd.(9044)</t>
  </si>
  <si>
    <t>National Health Investors Inc.(NHI)</t>
  </si>
  <si>
    <t>Rogers Corp.(ROG)</t>
  </si>
  <si>
    <t>Grupo Aeroportuario del Sureste SAB de CV Class B(ASURB)</t>
  </si>
  <si>
    <t>Energizer Holdings Inc.(ENR)</t>
  </si>
  <si>
    <t>Hilton Grand Vacations Inc.(HGV)</t>
  </si>
  <si>
    <t>Envestnet Inc.(ENV)</t>
  </si>
  <si>
    <t>Patterson-UTI Energy Inc.(PTEN)</t>
  </si>
  <si>
    <t>Apergy Corp.(APY)</t>
  </si>
  <si>
    <t>Getinge AB(GETI B)</t>
  </si>
  <si>
    <t>Swedish Orphan Biovitrum AB(SOBI)</t>
  </si>
  <si>
    <t>Bank of Kyoto Ltd.(8369)</t>
  </si>
  <si>
    <t>City Developments Ltd.(C09)</t>
  </si>
  <si>
    <t>Altran Technologies SA(ALT)</t>
  </si>
  <si>
    <t>Match Group Inc.(MTCH)</t>
  </si>
  <si>
    <t>JGC Corp.(1963)</t>
  </si>
  <si>
    <t>Paylocity Holding Corp.(PCTY)</t>
  </si>
  <si>
    <t>BioMerieux(BIM)</t>
  </si>
  <si>
    <t>SkyWest Inc.(SKYW)</t>
  </si>
  <si>
    <t>Hyatt Hotels Corp. Class A(H)</t>
  </si>
  <si>
    <t>Skylark Holdings Co. Ltd.(3197)</t>
  </si>
  <si>
    <t>BancorpSouth Bank(BXS)</t>
  </si>
  <si>
    <t>Belimo Holding AG(BEAN)</t>
  </si>
  <si>
    <t>NMC Health plc(NMC)</t>
  </si>
  <si>
    <t>People's Insurance Co. Group of China Ltd.(1339)</t>
  </si>
  <si>
    <t>Challenger Ltd.(CGF)</t>
  </si>
  <si>
    <t>Paramount Group Inc.(PGRE)</t>
  </si>
  <si>
    <t>SUMCO Corp.(3436)</t>
  </si>
  <si>
    <t>S-Oil Corp.(010950)</t>
  </si>
  <si>
    <t>Domtar Corp.(UFS)</t>
  </si>
  <si>
    <t>Moog Inc. Class A(MOG.A)</t>
  </si>
  <si>
    <t>Azbil Corp.(6845)</t>
  </si>
  <si>
    <t>CCR SA(CCRO3)</t>
  </si>
  <si>
    <t>Coca-Cola Femsa SAB de CV(KOFUBL)</t>
  </si>
  <si>
    <t>Zee Entertainment Enterprises Ltd.(ZEEL)</t>
  </si>
  <si>
    <t>Graham Holdings Co. Class B(GHC)</t>
  </si>
  <si>
    <t>Ensco Rowan plc Class A(ESV)</t>
  </si>
  <si>
    <t>Mabuchi Motor Co. Ltd.(6592)</t>
  </si>
  <si>
    <t>MorphoSys AG(MOR)</t>
  </si>
  <si>
    <t>J Front Retailing Co. Ltd.(3086)</t>
  </si>
  <si>
    <t>frontdoor Inc.(FTDR)</t>
  </si>
  <si>
    <t>Inchcape plc(INCH)</t>
  </si>
  <si>
    <t>Corporate Office Properties Trust(OFC)</t>
  </si>
  <si>
    <t>Morguard REIT(MRT.UN)</t>
  </si>
  <si>
    <t>Green Dot Corp. Class A(GDOT)</t>
  </si>
  <si>
    <t>Delek US Holdings Inc.(DK)</t>
  </si>
  <si>
    <t>Owens-Illinois Inc.(OI)</t>
  </si>
  <si>
    <t>Koninklijke Vopak NV(VPK)</t>
  </si>
  <si>
    <t>Coca-Cola Amatil Ltd.(CCL)</t>
  </si>
  <si>
    <t>Neogen Corp.(NEOG)</t>
  </si>
  <si>
    <t>South Jersey Industries Inc.(SJI)</t>
  </si>
  <si>
    <t>Samsung Heavy Industries Co. Ltd.(010140)</t>
  </si>
  <si>
    <t>Charter Hall Group(CHC)</t>
  </si>
  <si>
    <t>Qualys Inc.(QLYS)</t>
  </si>
  <si>
    <t>Viavi Solutions Inc.(VIAV)</t>
  </si>
  <si>
    <t>Polymetal International plc(POLY)</t>
  </si>
  <si>
    <t>Pou Chen Corp.(9904)</t>
  </si>
  <si>
    <t>Omnicell Inc.(OMCL)</t>
  </si>
  <si>
    <t>Bharti Infratel Ltd.(INFRATEL)</t>
  </si>
  <si>
    <t>Kasikornbank PCL (Foreign)(KBANK-F)</t>
  </si>
  <si>
    <t>Hammerson plc(HMSO)</t>
  </si>
  <si>
    <t>Afterpay Touch Group Ltd.(APT)</t>
  </si>
  <si>
    <t>Core Laboratories NV(CLB)</t>
  </si>
  <si>
    <t>Univar Inc.(UNVR)</t>
  </si>
  <si>
    <t>IWG plc(IWG)</t>
  </si>
  <si>
    <t>Amicus Therapeutics Inc.(FOLD)</t>
  </si>
  <si>
    <t>CenterState Bank Corp.(CSFL)</t>
  </si>
  <si>
    <t>Home BancShares Inc./AR(HOMB)</t>
  </si>
  <si>
    <t>OZ Minerals Ltd.(OZL)</t>
  </si>
  <si>
    <t>ZOZO Inc.(3092)</t>
  </si>
  <si>
    <t>Indiabulls Housing Finance Ltd.(IBULHSGFIN)</t>
  </si>
  <si>
    <t>Bolsas y Mercados Espanoles SHMSF SA(BME)</t>
  </si>
  <si>
    <t>Alten SA(ATE)</t>
  </si>
  <si>
    <t>Intouch Holdings PCL(INTUCH-R)</t>
  </si>
  <si>
    <t>DuluxGroup Ltd.(DLX)</t>
  </si>
  <si>
    <t>Rexnord Corp.(RXN)</t>
  </si>
  <si>
    <t>Persol Holdings Co. Ltd.(2181)</t>
  </si>
  <si>
    <t>Healthscope Ltd.(HSO)</t>
  </si>
  <si>
    <t>AMERCO(UHAL)</t>
  </si>
  <si>
    <t>Industrivarden AB(INDU C)</t>
  </si>
  <si>
    <t>Ceridian HCM Holding Inc.(CDAY)</t>
  </si>
  <si>
    <t>PDC Energy Inc.(PDCE)</t>
  </si>
  <si>
    <t>DP World plc(DPW)</t>
  </si>
  <si>
    <t>GMO Payment Gateway Inc.(3769)</t>
  </si>
  <si>
    <t>PPB Group Bhd.(PPB)</t>
  </si>
  <si>
    <t>Hikma Pharmaceuticals plc(HIK)</t>
  </si>
  <si>
    <t>Strategic Education Inc.(STRA)</t>
  </si>
  <si>
    <t>PS Business Parks Inc.(PSB)</t>
  </si>
  <si>
    <t>LendingTree Inc.(TREE)</t>
  </si>
  <si>
    <t>Q2 Holdings Inc.(QTWO)</t>
  </si>
  <si>
    <t>Teijin Ltd.(3401)</t>
  </si>
  <si>
    <t>Sensient Technologies Corp.(SXT)</t>
  </si>
  <si>
    <t>Sohgo Security Services Co. Ltd.(2331)</t>
  </si>
  <si>
    <t>Elis SA(ELIS)</t>
  </si>
  <si>
    <t>Tata Motors Ltd.(TATAMOTORS)</t>
  </si>
  <si>
    <t>Goldwin Inc.(8111)</t>
  </si>
  <si>
    <t>Global Blood Therapeutics Inc.(GBT)</t>
  </si>
  <si>
    <t>Contact Energy Ltd.(CEN)</t>
  </si>
  <si>
    <t>Pegasystems Inc.(PEGA)</t>
  </si>
  <si>
    <t>Nu Skin Enterprises Inc. Class A(NUS)</t>
  </si>
  <si>
    <t>Federated Investors Inc. Class B(FII)</t>
  </si>
  <si>
    <t>Woolworths Holdings Ltd./South Africa(WHL)</t>
  </si>
  <si>
    <t>Freenet AG(FNTN)</t>
  </si>
  <si>
    <t>Hong Leong Bank Bhd.(HLBANK)</t>
  </si>
  <si>
    <t>Five9 Inc.(FIVN)</t>
  </si>
  <si>
    <t>Saab AB Class B(SAAB B)</t>
  </si>
  <si>
    <t>JTEKT Corp.(6473)</t>
  </si>
  <si>
    <t>Mattel Inc.(MAT)</t>
  </si>
  <si>
    <t>Merit Medical Systems Inc.(MMSI)</t>
  </si>
  <si>
    <t>Mebuki Financial Group Inc.(7167)</t>
  </si>
  <si>
    <t>Fastighets AB Balder Class B(BALD B)</t>
  </si>
  <si>
    <t>NWS Holdings Ltd.(659)</t>
  </si>
  <si>
    <t>Royal Mail plc(RMG)</t>
  </si>
  <si>
    <t>Exponent Inc.(EXPO)</t>
  </si>
  <si>
    <t>Acadia Healthcare Co. Inc.(ACHC)</t>
  </si>
  <si>
    <t>Hisamitsu Pharmaceutical Co. Inc.(4530)</t>
  </si>
  <si>
    <t>BIM Birlesik Magazalar AS(BIMAS)</t>
  </si>
  <si>
    <t>BTS Group Holdings PCL(BTS)</t>
  </si>
  <si>
    <t>Old National Bancorp/IN(ONB)</t>
  </si>
  <si>
    <t>Asia Cement Corp.(1102)</t>
  </si>
  <si>
    <t>Fletcher Building Ltd.(FBU)</t>
  </si>
  <si>
    <t>Toyo Seikan Group Holdings Ltd.(5901)</t>
  </si>
  <si>
    <t>OSRAM Licht AG(OSR)</t>
  </si>
  <si>
    <t>Taubman Centers Inc.(TCO)</t>
  </si>
  <si>
    <t>Legg Mason Inc.(LM)</t>
  </si>
  <si>
    <t>Dialog Semiconductor plc(DLG)</t>
  </si>
  <si>
    <t>Konecranes Oyj Class A(KCR)</t>
  </si>
  <si>
    <t>Charoen Pokphand Foods PCL (Foreign)(CPF-F)</t>
  </si>
  <si>
    <t>Cadence BanCorp Class A(CADE)</t>
  </si>
  <si>
    <t>Cathay General Bancorp(CATY)</t>
  </si>
  <si>
    <t>Bangkok Bank PCL (Local)(BBL)</t>
  </si>
  <si>
    <t>IHI Corp.(7013)</t>
  </si>
  <si>
    <t>GATX Corp.(GATX)</t>
  </si>
  <si>
    <t>Aurobindo Pharma Ltd.(AUROPHARMA)</t>
  </si>
  <si>
    <t>Unione di Banche Italiane SPA(UBI)</t>
  </si>
  <si>
    <t>Taiyo Yuden Co. Ltd.(6976)</t>
  </si>
  <si>
    <t>Novanta Inc.(NOVT)</t>
  </si>
  <si>
    <t>Hitachi Construction Machinery Co. Ltd.(6305)</t>
  </si>
  <si>
    <t>Tingyi Cayman Islands Holding Corp.(322)</t>
  </si>
  <si>
    <t>Steven Madden Ltd.(SHOO)</t>
  </si>
  <si>
    <t>Adtalem Global Education Inc.(ATGE)</t>
  </si>
  <si>
    <t>Cofinimmo SA(COFB)</t>
  </si>
  <si>
    <t>Cornerstone OnDemand Inc.(CSOD)</t>
  </si>
  <si>
    <t>Lancaster Colony Corp.(LANC)</t>
  </si>
  <si>
    <t>House Foods Group Inc.(2810)</t>
  </si>
  <si>
    <t>Kangwon Land Inc.(035250)</t>
  </si>
  <si>
    <t>Quaker Chemical Corp.(KWR)</t>
  </si>
  <si>
    <t>HOCHTIEF AG(HOT)</t>
  </si>
  <si>
    <t>RTL Group SA(RRTL)</t>
  </si>
  <si>
    <t>Eldorado Resorts Inc.(ERI)</t>
  </si>
  <si>
    <t>Rocket Internet SE(RKET)</t>
  </si>
  <si>
    <t>Proto Labs Inc.(PRLB)</t>
  </si>
  <si>
    <t>Agios Pharmaceuticals Inc.(AGIO)</t>
  </si>
  <si>
    <t>Mobile Telecommunications Co. KSC(ZAIN)</t>
  </si>
  <si>
    <t>Cirrus Logic Inc.(CRUS)</t>
  </si>
  <si>
    <t>Cia de Minas Buenaventura SAA ADR(BVN)</t>
  </si>
  <si>
    <t>Valmont Industries Inc.(VMI)</t>
  </si>
  <si>
    <t>Alfa SAB de CV Class A(ALFAA)</t>
  </si>
  <si>
    <t>Signify NV(LIGHT)</t>
  </si>
  <si>
    <t>THK Co. Ltd.(6481)</t>
  </si>
  <si>
    <t>Helixmith Co. Ltd.(084990)</t>
  </si>
  <si>
    <t>Santander Bank Polska SA(SPL)</t>
  </si>
  <si>
    <t>Mirae Asset Daewoo Co. Ltd.(006800)</t>
  </si>
  <si>
    <t>Hitachi High-Technologies Corp.(8036)</t>
  </si>
  <si>
    <t>Realtek Semiconductor Corp.(2379)</t>
  </si>
  <si>
    <t>Finisar Corp.(FNSR)</t>
  </si>
  <si>
    <t>Anglo American Platinum Ltd.(AMS)</t>
  </si>
  <si>
    <t>Hyundai Heavy Industries Holdings Co. Ltd.(267250)</t>
  </si>
  <si>
    <t>Tempur Sealy International Inc.(TPX)</t>
  </si>
  <si>
    <t>PotlatchDeltic Corp.(PCH)</t>
  </si>
  <si>
    <t>Man Group plc(EMG)</t>
  </si>
  <si>
    <t>Element Solutions Inc.(ESI)</t>
  </si>
  <si>
    <t>METRO AG(B4B)</t>
  </si>
  <si>
    <t>Lojas Americanas SA Preference Shares(LAME4)</t>
  </si>
  <si>
    <t>Dufry AG(DUFN)</t>
  </si>
  <si>
    <t>Electricite de France SA(EDF)</t>
  </si>
  <si>
    <t>Avista Corp.(AVA)</t>
  </si>
  <si>
    <t>Shin Kong Financial Holding Co. Ltd.(2888)</t>
  </si>
  <si>
    <t>Sofina SA(SOF)</t>
  </si>
  <si>
    <t>GRENKE AG(GLJ)</t>
  </si>
  <si>
    <t>Dabur India Ltd.(DABUR)</t>
  </si>
  <si>
    <t>Hotel Shilla Co. Ltd.(008770)</t>
  </si>
  <si>
    <t>SLM Corp.(SLM)</t>
  </si>
  <si>
    <t>Takeaway.com NV(TKWY)</t>
  </si>
  <si>
    <t>Choice Hotels International Inc.(CHH)</t>
  </si>
  <si>
    <t>Banco de Credito e Inversiones SA(BCI)</t>
  </si>
  <si>
    <t>Allreal Holding AG(ALLN)</t>
  </si>
  <si>
    <t>Resideo Technologies Inc.(REZI)</t>
  </si>
  <si>
    <t>Kuala Lumpur Kepong Bhd.(KLK)</t>
  </si>
  <si>
    <t>Spectrum Brands Holdings Inc.(SPB)</t>
  </si>
  <si>
    <t>Fox Factory Holding Corp.(FOXF)</t>
  </si>
  <si>
    <t>Columbia Sportswear Co.(COLM)</t>
  </si>
  <si>
    <t>Shinsei Bank Ltd.(8303)</t>
  </si>
  <si>
    <t>White Mountains Insurance Group Ltd.(WTM)</t>
  </si>
  <si>
    <t>Box Inc.(BOX)</t>
  </si>
  <si>
    <t>Advantech Co. Ltd.(2395)</t>
  </si>
  <si>
    <t>JSR Corp.(4185)</t>
  </si>
  <si>
    <t>Gold Fields Ltd.(GFI)</t>
  </si>
  <si>
    <t>Dana Inc.(DAN)</t>
  </si>
  <si>
    <t>AAK AB(AAK)</t>
  </si>
  <si>
    <t>Komercni banka as(KOMB)</t>
  </si>
  <si>
    <t>South State Corp.(SSB)</t>
  </si>
  <si>
    <t>Wienerberger AG(WIE)</t>
  </si>
  <si>
    <t>Brilliance China Automotive Holdings Ltd.(1114)</t>
  </si>
  <si>
    <t>Investors Bancorp Inc.(ISBC)</t>
  </si>
  <si>
    <t>Brookfield Property REIT Inc. Class A(BPR)</t>
  </si>
  <si>
    <t>Rosneft Oil Co. PJSC(ROSN)</t>
  </si>
  <si>
    <t>E-MART Inc.(139480)</t>
  </si>
  <si>
    <t>Singapore Press Holdings Ltd.(T39)</t>
  </si>
  <si>
    <t>Washington Federal Inc.(WAFD)</t>
  </si>
  <si>
    <t>Chart Industries Inc.(GTLS)</t>
  </si>
  <si>
    <t>Interpump Group SPA(IP)</t>
  </si>
  <si>
    <t>Link Administration Holdings Ltd.(LNK)</t>
  </si>
  <si>
    <t>Foschini Group Ltd.(TFG)</t>
  </si>
  <si>
    <t>Star Entertainment Grp Ltd.(SGR)</t>
  </si>
  <si>
    <t>CGN Power Co. Ltd.(1816)</t>
  </si>
  <si>
    <t>CVB Financial Corp.(CVBF)</t>
  </si>
  <si>
    <t>Banco Comercial Portugues SA(BCP)</t>
  </si>
  <si>
    <t>Hyundai Steel Co.(004020)</t>
  </si>
  <si>
    <t>Lite-On Technology Corp.(2301)</t>
  </si>
  <si>
    <t>Barnes Group Inc.(B)</t>
  </si>
  <si>
    <t>SiteOne Landscape Supply Inc.(SITE)</t>
  </si>
  <si>
    <t>Columbia Banking System Inc.(COLB)</t>
  </si>
  <si>
    <t>Mapfre SA(MAP)</t>
  </si>
  <si>
    <t>Hopewell Holdings Ltd.(54)</t>
  </si>
  <si>
    <t>Piedmont Office Realty Trust Inc. Class A(PDM)</t>
  </si>
  <si>
    <t>Brandywine Realty Trust(BDN)</t>
  </si>
  <si>
    <t>iRobot Corp.(IRBT)</t>
  </si>
  <si>
    <t>BJ's Wholesale Club Holdings Inc.(BJ)</t>
  </si>
  <si>
    <t>Bank of Queensland Ltd.(BOQ)</t>
  </si>
  <si>
    <t>State Bank of India GDR(SBID)</t>
  </si>
  <si>
    <t>CNO Financial Group Inc.(CNO)</t>
  </si>
  <si>
    <t>Saipem SPA(SPM)</t>
  </si>
  <si>
    <t>Walsin Technology Corp.(2492)</t>
  </si>
  <si>
    <t>Capita plc(CPI)</t>
  </si>
  <si>
    <t>JD Sports Fashion plc(JD.)</t>
  </si>
  <si>
    <t>Bank of the Philippine Islands(BPI)</t>
  </si>
  <si>
    <t>BOK Financial Corp.(BOKF)</t>
  </si>
  <si>
    <t>Columbia Property Trust Inc.(CXP)</t>
  </si>
  <si>
    <t>Piramal Enterprises Ltd.(PEL)</t>
  </si>
  <si>
    <t>ICA Gruppen AB(ICA)</t>
  </si>
  <si>
    <t>Kunlun Energy Co. Ltd.(135)</t>
  </si>
  <si>
    <t>SillaJen Inc.(215600)</t>
  </si>
  <si>
    <t>Great Portland Estates plc(GPOR)</t>
  </si>
  <si>
    <t>TGS NOPEC Geophysical Co. ASA(TGS)</t>
  </si>
  <si>
    <t>Mitsubishi Gas Chemical Co. Inc.(4182)</t>
  </si>
  <si>
    <t>Westlake Chemical Corp.(WLK)</t>
  </si>
  <si>
    <t>Panalpina Welttransport Holding AG(PWTN)</t>
  </si>
  <si>
    <t>Mitsui OSK Lines Ltd.(9104)</t>
  </si>
  <si>
    <t>Beijing Enterprises Water Group Ltd.(371)</t>
  </si>
  <si>
    <t>Hang Lung Group Ltd.(10)</t>
  </si>
  <si>
    <t>EnerSys(ENS)</t>
  </si>
  <si>
    <t>Dometic Group AB(DOM)</t>
  </si>
  <si>
    <t>Morningstar Inc.(MORN)</t>
  </si>
  <si>
    <t>Commercial Bank PQSC(CBQK)</t>
  </si>
  <si>
    <t>Hitachi Chemical Co. Ltd.(4217)</t>
  </si>
  <si>
    <t>Simpson Manufacturing Co. Inc.(SSD)</t>
  </si>
  <si>
    <t>Li Ning Co. Ltd.(2331)</t>
  </si>
  <si>
    <t>Repligen Corp.(RGEN)</t>
  </si>
  <si>
    <t>Immunomedics Inc.(IMMU)</t>
  </si>
  <si>
    <t>Mitsubishi Tanabe Pharma Corp.(4508)</t>
  </si>
  <si>
    <t>Hera SPA(HER)</t>
  </si>
  <si>
    <t>RBL Bank Ltd.(RBLBANK)</t>
  </si>
  <si>
    <t>Kennedy-Wilson Holdings Inc.(KW)</t>
  </si>
  <si>
    <t>Empire State Realty Trust Inc.(ESRT)</t>
  </si>
  <si>
    <t>Mapletree Commercial Trust(N2IU)</t>
  </si>
  <si>
    <t>Turkiye Garanti Bankasi AS(GARAN)</t>
  </si>
  <si>
    <t>Union Bankshares Corp.(UBSH)</t>
  </si>
  <si>
    <t>Aareal Bank AG(ARL)</t>
  </si>
  <si>
    <t>SATS Ltd.(S58)</t>
  </si>
  <si>
    <t>Tiger Brands Ltd.(TBS)</t>
  </si>
  <si>
    <t>Ezaki Glico Co. Ltd.(2206)</t>
  </si>
  <si>
    <t>Tecan Group AG(TECN)</t>
  </si>
  <si>
    <t>Banco Santander Mexico SA Institucion de Banca Multiple Grupo Financiero Santand(BSMXB)</t>
  </si>
  <si>
    <t>Samsung Securities Co. Ltd.(016360)</t>
  </si>
  <si>
    <t>Square Enix Holdings Co. Ltd.(9684)</t>
  </si>
  <si>
    <t>TriNet Group Inc.(TNET)</t>
  </si>
  <si>
    <t>Suntec REIT(T82U)</t>
  </si>
  <si>
    <t>OCI NV(OCI)</t>
  </si>
  <si>
    <t>Exxaro Resources Ltd.(EXX)</t>
  </si>
  <si>
    <t>Orora Ltd.(ORA)</t>
  </si>
  <si>
    <t>WESCO International Inc.(WCC)</t>
  </si>
  <si>
    <t>United Tractors Tbk PT(UNTR)</t>
  </si>
  <si>
    <t>Ito En Ltd.(2593)</t>
  </si>
  <si>
    <t>Monro Inc.(MNRO)</t>
  </si>
  <si>
    <t>Jardine Cycle &amp; Carriage Ltd.(C07)</t>
  </si>
  <si>
    <t>First Citizens BancShares Inc./NC Class A(FCNCA)</t>
  </si>
  <si>
    <t>Grand City Properties SA(GYC)</t>
  </si>
  <si>
    <t>REA Group Ltd.(REA)</t>
  </si>
  <si>
    <t>Balfour Beatty plc(BBY)</t>
  </si>
  <si>
    <t>Eclat Textile Co. Ltd.(1476)</t>
  </si>
  <si>
    <t>Alibaba Pictures Group Ltd.(1060)</t>
  </si>
  <si>
    <t>Iridium Communications Inc.(IRDM)</t>
  </si>
  <si>
    <t>Energy Absolute PCL(EA-F)</t>
  </si>
  <si>
    <t>American States Water Co.(AWR)</t>
  </si>
  <si>
    <t>Mizrahi Tefahot Bank Ltd.(MZTF)</t>
  </si>
  <si>
    <t>NEPI Rockcastle plc(NRP)</t>
  </si>
  <si>
    <t>ICADE(ICAD)</t>
  </si>
  <si>
    <t>Retail Properties of America Inc.(RPAI)</t>
  </si>
  <si>
    <t>Cogent Communications Holdings Inc.(CCOI)</t>
  </si>
  <si>
    <t>Cloudera Inc.(CLDR)</t>
  </si>
  <si>
    <t>WH Smith plc(SMWH)</t>
  </si>
  <si>
    <t>Murphy USA Inc.(MUSA)</t>
  </si>
  <si>
    <t>A2A SPA(A2A)</t>
  </si>
  <si>
    <t>Vishay Intertechnology Inc.(VSH)</t>
  </si>
  <si>
    <t>GS Yuasa Corp.(6674)</t>
  </si>
  <si>
    <t>Zillow Group Inc. Class A(ZG)</t>
  </si>
  <si>
    <t>PSG Group Ltd.(PSG)</t>
  </si>
  <si>
    <t>Weichai Power Co. Ltd.(2338)</t>
  </si>
  <si>
    <t>Ensign Group Inc.(ENSG)</t>
  </si>
  <si>
    <t>Notre Dame Intermedica Participacoes SA(GNDI3)</t>
  </si>
  <si>
    <t>Dick's Sporting Goods Inc.(DKS)</t>
  </si>
  <si>
    <t>Independent Bank Corp./Rockland MA(INDB)</t>
  </si>
  <si>
    <t>GAIL India Ltd.(GAIL)</t>
  </si>
  <si>
    <t>Semen Indonesia Persero Tbk PT(SMGR)</t>
  </si>
  <si>
    <t>Ligand Pharmaceuticals Inc.(LGND)</t>
  </si>
  <si>
    <t>Hypera SA(HYPE3)</t>
  </si>
  <si>
    <t>Home Product Center PCL(HMPRO-F)</t>
  </si>
  <si>
    <t>iQIYI Inc. ADR(IQ)</t>
  </si>
  <si>
    <t>Latam Airlines Group SA(LTM)</t>
  </si>
  <si>
    <t>Krung Thai Bank PCL (Foreign)(KTB-F)</t>
  </si>
  <si>
    <t>Terreno Realty Corp.(TRNO)</t>
  </si>
  <si>
    <t>Hino Motors Ltd.(7205)</t>
  </si>
  <si>
    <t>Gudang Garam Tbk PT(GGRM)</t>
  </si>
  <si>
    <t>PLDT Inc.(TEL)</t>
  </si>
  <si>
    <t>Cia Energetica de Minas Gerais Preference Shares(CMIG4)</t>
  </si>
  <si>
    <t>DB Insurance Co. Ltd.(005830)</t>
  </si>
  <si>
    <t>Beacon Roofing Supply Inc.(BECN)</t>
  </si>
  <si>
    <t>Aggreko plc(AGK)</t>
  </si>
  <si>
    <t>ALS Ltd.(ALQ)</t>
  </si>
  <si>
    <t>Grafton Group plc(GFTU)</t>
  </si>
  <si>
    <t>Boston Beer Co. Inc. Class A(SAM)</t>
  </si>
  <si>
    <t>Lupin Ltd.(LUPIN)</t>
  </si>
  <si>
    <t>Galenica AG(GALE)</t>
  </si>
  <si>
    <t>Cargurus Inc.(CARG)</t>
  </si>
  <si>
    <t>CTS Eventim AG &amp; Co. KGaA(EVD)</t>
  </si>
  <si>
    <t>Sotetsu Holdings Inc.(9003)</t>
  </si>
  <si>
    <t>Havells India Ltd.(HAVELLS)</t>
  </si>
  <si>
    <t>Loomis AB Class B(LOOM B)</t>
  </si>
  <si>
    <t>Korn Ferry(KFY)</t>
  </si>
  <si>
    <t>Hankook Tire Co. Ltd.(161390)</t>
  </si>
  <si>
    <t>Greene King plc(GNK)</t>
  </si>
  <si>
    <t>TAG Immobilien AG(TEG)</t>
  </si>
  <si>
    <t>CoreCivic Inc.(CXW)</t>
  </si>
  <si>
    <t>Beijing Enterprises Holdings Ltd.(392)</t>
  </si>
  <si>
    <t>Bangkok Expressway &amp; Metro PCL(BEM-F)</t>
  </si>
  <si>
    <t>Dongfeng Motor Group Co. Ltd.(489)</t>
  </si>
  <si>
    <t>Kerry Properties Ltd.(683)</t>
  </si>
  <si>
    <t>GEO Group Inc.(GEO)</t>
  </si>
  <si>
    <t>OneMain Holdings Inc.(OMF)</t>
  </si>
  <si>
    <t>Software AG(SOW)</t>
  </si>
  <si>
    <t>Feng TAY Enterprise Co. Ltd.(9910)</t>
  </si>
  <si>
    <t>HMS Holdings Corp.(HMSY)</t>
  </si>
  <si>
    <t>Enel Americas SA(ENELAM)</t>
  </si>
  <si>
    <t>John Laing Group plc(JLG)</t>
  </si>
  <si>
    <t>Alarm.com Holdings Inc.(ALRM)</t>
  </si>
  <si>
    <t>ASM International NV(ASM)</t>
  </si>
  <si>
    <t>Klabin SA(KLBN11)</t>
  </si>
  <si>
    <t>Carpenter Technology Corp.(CRS)</t>
  </si>
  <si>
    <t>TopBuild Corp.(BLD)</t>
  </si>
  <si>
    <t>Kyowa Exeo Corp.(1951)</t>
  </si>
  <si>
    <t>Richter Gedeon Nyrt(RICHTER)</t>
  </si>
  <si>
    <t>Sprouts Farmers Market Inc.(SFM)</t>
  </si>
  <si>
    <t>Liberty Expedia Holdings Inc. Class A(LEXEA)</t>
  </si>
  <si>
    <t>Akbank T.A.S.(AKBNK)</t>
  </si>
  <si>
    <t>Shriram Transport Finance Co. Ltd.(SRTRANSFIN)</t>
  </si>
  <si>
    <t>AVEVA Group plc(AVV)</t>
  </si>
  <si>
    <t>Drilling Co. of 1972 A/S(DRLCO)</t>
  </si>
  <si>
    <t>ABM Industries Inc.(ABM)</t>
  </si>
  <si>
    <t>Ansell Ltd.(ANN)</t>
  </si>
  <si>
    <t>Hanmi Pharm Co. Ltd.(128940)</t>
  </si>
  <si>
    <t>Matsumotokiyoshi Holdings Co. Ltd.(3088)</t>
  </si>
  <si>
    <t>SPAR Group Ltd.(SPP)</t>
  </si>
  <si>
    <t>Carvana Co. Class A(CVNA)</t>
  </si>
  <si>
    <t>Huatai Securities Co. Ltd.(6886)</t>
  </si>
  <si>
    <t>Brooks Automation Inc.(BRKS)</t>
  </si>
  <si>
    <t>Impala Platinum Holdings Ltd.(IMP)</t>
  </si>
  <si>
    <t>AMC Networks Inc. Class A(AMCX)</t>
  </si>
  <si>
    <t>PCCW Ltd.(8)</t>
  </si>
  <si>
    <t>American Equity Investment Life Holding Co.(AEL)</t>
  </si>
  <si>
    <t>TLG Immobilien AG(TLG)</t>
  </si>
  <si>
    <t>QTS Realty Trust Inc. Class A(QTS)</t>
  </si>
  <si>
    <t>Beach Energy Ltd.(BPT)</t>
  </si>
  <si>
    <t>Hindalco Industries Ltd.(HINDALCO)</t>
  </si>
  <si>
    <t>International Container Terminal Services Inc.(ICT)</t>
  </si>
  <si>
    <t>Diploma plc(DPLM)</t>
  </si>
  <si>
    <t>Casio Computer Co. Ltd.(6952)</t>
  </si>
  <si>
    <t>El Paso Electric Co.(EE)</t>
  </si>
  <si>
    <t>Compal Electronics Inc.(2324)</t>
  </si>
  <si>
    <t>Polskie Gornictwo Naftowe i Gazownictwo SA(PGN)</t>
  </si>
  <si>
    <t>Healthcare Services Group Inc.(HCSG)</t>
  </si>
  <si>
    <t>ConvaTec Group plc(CTEC)</t>
  </si>
  <si>
    <t>Cipla Ltd./India(CIPLA)</t>
  </si>
  <si>
    <t>Telenet Group Holding NV(TNET)</t>
  </si>
  <si>
    <t>California Water Service Group(CWT)</t>
  </si>
  <si>
    <t>Warehouses De Pauw CVA(WDP)</t>
  </si>
  <si>
    <t>Kingdee International Software Group Co. Ltd.(268)</t>
  </si>
  <si>
    <t>Win Semiconductors Corp.(3105)</t>
  </si>
  <si>
    <t>Reliance Worldwide Corp. Ltd.(RWC)</t>
  </si>
  <si>
    <t>Miura Co. Ltd.(6005)</t>
  </si>
  <si>
    <t>Great Wall Motor Co. Ltd.(2333)</t>
  </si>
  <si>
    <t>MEDNAX Inc.(MD)</t>
  </si>
  <si>
    <t>Meredith Corp.(MDP)</t>
  </si>
  <si>
    <t>Penn National Gaming Inc.(PENN)</t>
  </si>
  <si>
    <t>Jyske Bank A/S(JYSK)</t>
  </si>
  <si>
    <t>Argo Group International Holdings Ltd.(ARGO)</t>
  </si>
  <si>
    <t>Capital &amp; Counties Properties plc(CAPC)</t>
  </si>
  <si>
    <t>Xenia Hotels &amp; Resorts Inc.(XHR)</t>
  </si>
  <si>
    <t>Innolux Corp.(3481)</t>
  </si>
  <si>
    <t>OC Oerlikon Corp. AG(OERL)</t>
  </si>
  <si>
    <t>Charoen Pokphand Indonesia Tbk PT(CPIN)</t>
  </si>
  <si>
    <t>Qantas Airways Ltd.(QAN)</t>
  </si>
  <si>
    <t>First BanCorp/Puerto Rico(FBP)</t>
  </si>
  <si>
    <t>Denka Co. Ltd.(4061)</t>
  </si>
  <si>
    <t>HB Fuller Co.(FUL)</t>
  </si>
  <si>
    <t>NTN Corp.(6472)</t>
  </si>
  <si>
    <t>Kamigumi Co. Ltd.(9364)</t>
  </si>
  <si>
    <t>Glaukos Corp.(GKOS)</t>
  </si>
  <si>
    <t>Aspen Pharmacare Holdings Ltd.(APN)</t>
  </si>
  <si>
    <t>Itochu Techno-Solutions Corp.(4739)</t>
  </si>
  <si>
    <t>Sappi Ltd.(SAP)</t>
  </si>
  <si>
    <t>Japan Airport Terminal Co. Ltd.(9706)</t>
  </si>
  <si>
    <t>UniFirst Corp./MA(UNF)</t>
  </si>
  <si>
    <t>Cantel Medical Corp.(CMD)</t>
  </si>
  <si>
    <t>Cabot Corp.(CBT)</t>
  </si>
  <si>
    <t>Gerdau SA Preference Shares(GGBR4)</t>
  </si>
  <si>
    <t>Ambuja Cements Ltd.(AMBUJACEM)</t>
  </si>
  <si>
    <t>ACADIA Pharmaceuticals Inc.(ACAD)</t>
  </si>
  <si>
    <t>Kakaku.com Inc.(2371)</t>
  </si>
  <si>
    <t>Hillenbrand Inc.(HI)</t>
  </si>
  <si>
    <t>Apollo Commercial Real Estate Finance Inc.(ARI)</t>
  </si>
  <si>
    <t>Fuchs Petrolub SE Preference Shares(FPE3)</t>
  </si>
  <si>
    <t>MonotaRO Co. Ltd.(3064)</t>
  </si>
  <si>
    <t>AMN Healthcare Services Inc.(AMN)</t>
  </si>
  <si>
    <t>Sega Sammy Holdings Inc.(6460)</t>
  </si>
  <si>
    <t>Lithia Motors Inc. Class A(LAD)</t>
  </si>
  <si>
    <t>Oasis Petroleum Inc.(OAS)</t>
  </si>
  <si>
    <t>Iluka Resources Ltd.(ILU)</t>
  </si>
  <si>
    <t>Hays plc(HAS)</t>
  </si>
  <si>
    <t>Pagegroup plc(PAGE)</t>
  </si>
  <si>
    <t>Kinden Corp.(1944)</t>
  </si>
  <si>
    <t>Qube Holdings Ltd.(QUB)</t>
  </si>
  <si>
    <t>Air France-KLM(AF)</t>
  </si>
  <si>
    <t>II-VI Inc.(IIVI)</t>
  </si>
  <si>
    <t>Altra Industrial Motion Corp.(AIMC)</t>
  </si>
  <si>
    <t>Sankyu Inc.(9065)</t>
  </si>
  <si>
    <t>Axel Springer SE(SPR)</t>
  </si>
  <si>
    <t>China Resources Power Holdings Co. Ltd.(836)</t>
  </si>
  <si>
    <t>IMMOFINANZ AG(IIA)</t>
  </si>
  <si>
    <t>Ubiquiti Networks Inc.(UBNT)</t>
  </si>
  <si>
    <t>DIC Corp.(4631)</t>
  </si>
  <si>
    <t>Mondi Ltd.(MND)</t>
  </si>
  <si>
    <t>KB Home(KBH)</t>
  </si>
  <si>
    <t>GS Holdings Corp.(078930)</t>
  </si>
  <si>
    <t>Cia Brasileira de Distribuicao Grupo Pao de Acucar Preference Shares(PCAR4)</t>
  </si>
  <si>
    <t>Ormat Technologies Inc.(ORA)</t>
  </si>
  <si>
    <t>TravelSky Technology Ltd.(696)</t>
  </si>
  <si>
    <t>Altium Ltd.(ALU)</t>
  </si>
  <si>
    <t>Universal Robina Corp.(URC)</t>
  </si>
  <si>
    <t>Shaftesbury plc(SHB)</t>
  </si>
  <si>
    <t>Iliad SA(ILD)</t>
  </si>
  <si>
    <t>Tupras Turkiye Petrol Rafinerileri AS(TUPRS)</t>
  </si>
  <si>
    <t>Watts Water Technologies Inc. Class A(WTS)</t>
  </si>
  <si>
    <t>Nifco Inc./Japan(7988)</t>
  </si>
  <si>
    <t>Nichirei Corp.(2871)</t>
  </si>
  <si>
    <t>J&amp;J Snack Foods Corp.(JJSF)</t>
  </si>
  <si>
    <t>Kewpie Corp.(2809)</t>
  </si>
  <si>
    <t>Life Healthcare Group Holdings Ltd.(LHC)</t>
  </si>
  <si>
    <t>Insmed Inc.(INSM)</t>
  </si>
  <si>
    <t>China Biologic Products Holdings Inc.(CBPO)</t>
  </si>
  <si>
    <t>Cencosud SA(CENCOSUD)</t>
  </si>
  <si>
    <t>Hindustan Petroleum Corp. Ltd.(HINDPETRO)</t>
  </si>
  <si>
    <t>Severstal PJSC(CHMF)</t>
  </si>
  <si>
    <t>Aerojet Rocketdyne Holdings Inc.(AJRD)</t>
  </si>
  <si>
    <t>Zhuzhou CRRC Times Electric Co. Ltd.(3898)</t>
  </si>
  <si>
    <t>China Merchants Port Holdings Co. Ltd.(144)</t>
  </si>
  <si>
    <t>Conduent Inc.(CNDT)</t>
  </si>
  <si>
    <t>Viscofan SA(VIS)</t>
  </si>
  <si>
    <t>Vonage Holdings Corp.(VG)</t>
  </si>
  <si>
    <t>Riyad Bank(1010)</t>
  </si>
  <si>
    <t>L E Lundbergforetagen AB Class B(LUND B)</t>
  </si>
  <si>
    <t>Grupo de Inversiones Suramericana SA(GRUPOSURA)</t>
  </si>
  <si>
    <t>IG Group Holdings plc(IGG)</t>
  </si>
  <si>
    <t>United Microelectronics Corp. ADR(UMC)</t>
  </si>
  <si>
    <t>Thule Group AB(THULE)</t>
  </si>
  <si>
    <t>Evolution Gaming Group AB(EVO)</t>
  </si>
  <si>
    <t>Electricity Generating PCL (Foreign)(EGCO-F)</t>
  </si>
  <si>
    <t>Huaneng Power International Inc.(902)</t>
  </si>
  <si>
    <t>MGE Energy Inc.(MGEE)</t>
  </si>
  <si>
    <t>United Microelectronics Corp.(2303)</t>
  </si>
  <si>
    <t>NOF Corp.(4403)</t>
  </si>
  <si>
    <t>Sanwa Holdings Corp.(5929)</t>
  </si>
  <si>
    <t>Trinity Industries Inc.(TRN)</t>
  </si>
  <si>
    <t>Qatar Fuel QSC(QFLS)</t>
  </si>
  <si>
    <t>Victrex plc(VCT)</t>
  </si>
  <si>
    <t>China Railway Group Ltd.(390)</t>
  </si>
  <si>
    <t>Daelim Industrial Co. Ltd.(000210)</t>
  </si>
  <si>
    <t>Silgan Holdings Inc.(SLGN)</t>
  </si>
  <si>
    <t>Worldline SA/France(WLN)</t>
  </si>
  <si>
    <t>Advanced Disposal Services Inc.(ADSW)</t>
  </si>
  <si>
    <t>Foxconn Technology Co. Ltd.(2354)</t>
  </si>
  <si>
    <t>Applied Industrial Technologies Inc.(AIT)</t>
  </si>
  <si>
    <t>Hyundai Motor Co. 2nd Preference Shares(005387)</t>
  </si>
  <si>
    <t>WD-40 Co.(WDFC)</t>
  </si>
  <si>
    <t>Pola Orbis Holdings Inc.(4927)</t>
  </si>
  <si>
    <t>H Lundbeck A/S(LUN)</t>
  </si>
  <si>
    <t>Moneysupermarket.com Group plc(MONY)</t>
  </si>
  <si>
    <t>Washington REIT(WRE)</t>
  </si>
  <si>
    <t>Anritsu Corp.(6754)</t>
  </si>
  <si>
    <t>Shree Cement Ltd.(SHREECEM)</t>
  </si>
  <si>
    <t>Samsung Engineering Co. Ltd.(028050)</t>
  </si>
  <si>
    <t>Acciona SA(ANA)</t>
  </si>
  <si>
    <t>Britannia Industries Ltd.(BRITANNIA)</t>
  </si>
  <si>
    <t>Netcare Ltd.(NTC)</t>
  </si>
  <si>
    <t>Sodexo SA - PRIME FIDELITE 2023(null)</t>
  </si>
  <si>
    <t>Acadia Realty Trust(AKR)</t>
  </si>
  <si>
    <t>China Cinda Asset Management Co. Ltd.(1359)</t>
  </si>
  <si>
    <t>Colfax Corp.(CFX)</t>
  </si>
  <si>
    <t>Dorman Products Inc.(DORM)</t>
  </si>
  <si>
    <t>Rinnai Corp.(5947)</t>
  </si>
  <si>
    <t>Bed Bath &amp; Beyond Inc.(BBBY)</t>
  </si>
  <si>
    <t>Matador Resources Co.(MTDR)</t>
  </si>
  <si>
    <t>United Spirits Ltd.(MCDOWELL-N)</t>
  </si>
  <si>
    <t>Herman Miller Inc.(MLHR)</t>
  </si>
  <si>
    <t>HLB Inc.(028300)</t>
  </si>
  <si>
    <t>Portola Pharmaceuticals Inc.(PTLA)</t>
  </si>
  <si>
    <t>Medicines Co.(MDCO)</t>
  </si>
  <si>
    <t>John Wiley &amp; Sons Inc. Class A(JW.A)</t>
  </si>
  <si>
    <t>Banca Mediolanum SPA(BMED)</t>
  </si>
  <si>
    <t>FLSmidth &amp; Co. A/S(FLS)</t>
  </si>
  <si>
    <t>Tenet Healthcare Corp.(THC)</t>
  </si>
  <si>
    <t>Nomura Real Estate Holdings Inc.(3231)</t>
  </si>
  <si>
    <t>Agree Realty Corp.(ADC)</t>
  </si>
  <si>
    <t>Santander Consumer USA Holdings Inc.(SC)</t>
  </si>
  <si>
    <t>China Galaxy Securities Co. Ltd.(6881)</t>
  </si>
  <si>
    <t>Taiyo Nippon Sanso Corp.(4091)</t>
  </si>
  <si>
    <t>Hyundai Glovis Co. Ltd.(086280)</t>
  </si>
  <si>
    <t>Boyd Gaming Corp.(BYD)</t>
  </si>
  <si>
    <t>National Express Group plc(NEX)</t>
  </si>
  <si>
    <t>First Financial Bancorp(FFBC)</t>
  </si>
  <si>
    <t>CareTrust REIT Inc.(CTRE)</t>
  </si>
  <si>
    <t>China Railway Construction Corp. Ltd.(1186)</t>
  </si>
  <si>
    <t>Sumitomo Rubber Industries Ltd.(5110)</t>
  </si>
  <si>
    <t>Park24 Co. Ltd.(4666)</t>
  </si>
  <si>
    <t>JCDecaux SA(DEC)</t>
  </si>
  <si>
    <t>Pattern Energy Group Inc. Class A(PEGI)</t>
  </si>
  <si>
    <t>International Bancshares Corp.(IBOC)</t>
  </si>
  <si>
    <t>alstria office REIT-AG(AOX)</t>
  </si>
  <si>
    <t>Covetrus Inc.(CVET)</t>
  </si>
  <si>
    <t>BillerudKorsnas AB(BILL)</t>
  </si>
  <si>
    <t>Brady Corp. Class A(BRC)</t>
  </si>
  <si>
    <t>MISC Bhd.(MISC)</t>
  </si>
  <si>
    <t>Cheng Shin Rubber Industry Co. Ltd.(2105)</t>
  </si>
  <si>
    <t>Arena Pharmaceuticals Inc.(ARNA)</t>
  </si>
  <si>
    <t>Trustmark Corp.(TRMK)</t>
  </si>
  <si>
    <t>Dubai Islamic Bank PJSC(DIB)</t>
  </si>
  <si>
    <t>dormakaba Holding AG(DOKA)</t>
  </si>
  <si>
    <t>AF POYRY AB(AF B)</t>
  </si>
  <si>
    <t>Hella GmbH &amp; Co. KGaA(HLE)</t>
  </si>
  <si>
    <t>Salmar ASA(SALM)</t>
  </si>
  <si>
    <t>Sunrise Communications Group AG(SRCG)</t>
  </si>
  <si>
    <t>Inventec Corp.(2356)</t>
  </si>
  <si>
    <t>Indorama Ventures PCL(null)</t>
  </si>
  <si>
    <t>DiamondRock Hospitality Co.(DRH)</t>
  </si>
  <si>
    <t>Wipro Ltd. ADR(WIT)</t>
  </si>
  <si>
    <t>Minerals Technologies Inc.(MTX)</t>
  </si>
  <si>
    <t>Terex Corp.(TEX)</t>
  </si>
  <si>
    <t>Xinyi Glass Holdings Ltd.(868)</t>
  </si>
  <si>
    <t>Emergent BioSolutions Inc.(EBS)</t>
  </si>
  <si>
    <t>Dairy Farm International Holdings Ltd.(D01)</t>
  </si>
  <si>
    <t>Casino Guichard Perrachon SA(CO)</t>
  </si>
  <si>
    <t>Jollibee Foods Corp.(JFC)</t>
  </si>
  <si>
    <t>Horiba Ltd.(6856)</t>
  </si>
  <si>
    <t>Urban Outfitters Inc.(URBN)</t>
  </si>
  <si>
    <t>8x8 Inc.(EGHT)</t>
  </si>
  <si>
    <t>Mapletree Logistics Trust(M44U)</t>
  </si>
  <si>
    <t>Far East Horizon Ltd.(3360)</t>
  </si>
  <si>
    <t>Rapid7 Inc.(RPD)</t>
  </si>
  <si>
    <t>Advanced Energy Industries Inc.(AEIS)</t>
  </si>
  <si>
    <t>Novolipetsk Steel PJSC GDR(NLMK)</t>
  </si>
  <si>
    <t>Fabrinet(FN)</t>
  </si>
  <si>
    <t>Integer Holdings Corp.(ITGR)</t>
  </si>
  <si>
    <t>Yangzijiang Shipbuilding Holdings Ltd.(BS6)</t>
  </si>
  <si>
    <t>Taylor Morrison Home Corp. Class A(TMHC)</t>
  </si>
  <si>
    <t>Entertainment One Ltd.(ETO)</t>
  </si>
  <si>
    <t>Samba Financial Group(1090)</t>
  </si>
  <si>
    <t>WSFS Financial Corp.(WSFS)</t>
  </si>
  <si>
    <t>First Midwest Bancorp Inc./IL(FMBI)</t>
  </si>
  <si>
    <t>Power Integrations Inc.(POWI)</t>
  </si>
  <si>
    <t>KOC Holding AS(KCHOL)</t>
  </si>
  <si>
    <t>Commercial Metals Co.(CMC)</t>
  </si>
  <si>
    <t>Marico Ltd.(MARICO)</t>
  </si>
  <si>
    <t>Natura Cosmeticos SA(NATU3)</t>
  </si>
  <si>
    <t>LG Uplus Corp.(032640)</t>
  </si>
  <si>
    <t>Banco Santander Chile ADR(BSAC)</t>
  </si>
  <si>
    <t>Grainger plc(GRI)</t>
  </si>
  <si>
    <t>Mitsubishi UFJ Lease &amp; Finance Co. Ltd.(8593)</t>
  </si>
  <si>
    <t>Korea Investment Holdings Co. Ltd.(071050)</t>
  </si>
  <si>
    <t>SailPoint Technologies Holding Inc.(SAIL)</t>
  </si>
  <si>
    <t>Mexichem SAB de CV(MEXCHEM*)</t>
  </si>
  <si>
    <t>Summit Materials Inc. Class A(SUM)</t>
  </si>
  <si>
    <t>Sanmina Corp.(SANM)</t>
  </si>
  <si>
    <t>Genus plc(GNS)</t>
  </si>
  <si>
    <t>OPAP SA(OPAP)</t>
  </si>
  <si>
    <t>Unipol Gruppo SPA(UNI)</t>
  </si>
  <si>
    <t>ICICI Lombard General Insurance Co. Ltd.(ICICIGI)</t>
  </si>
  <si>
    <t>Gerresheimer AG(GXI)</t>
  </si>
  <si>
    <t>carsales.com Ltd.(CAR)</t>
  </si>
  <si>
    <t>Wingstop Inc.(WING)</t>
  </si>
  <si>
    <t>Avis Budget Group Inc.(CAR)</t>
  </si>
  <si>
    <t>Azimut Holding SPA(AZM)</t>
  </si>
  <si>
    <t>Ashmore Group plc(ASHM)</t>
  </si>
  <si>
    <t>Tokyo Century Corp.(8439)</t>
  </si>
  <si>
    <t>Pinterest Inc. Class A(PINS)</t>
  </si>
  <si>
    <t>Wistron Corp.(3231)</t>
  </si>
  <si>
    <t>LG Chem Ltd. Preference Shares(051915)</t>
  </si>
  <si>
    <t>Peabody Energy Corp.(BTU)</t>
  </si>
  <si>
    <t>Evolution Mining Ltd.(EVN)</t>
  </si>
  <si>
    <t>Yue Yuen Industrial Holdings Ltd.(551)</t>
  </si>
  <si>
    <t>Myriad Genetics Inc.(MYGN)</t>
  </si>
  <si>
    <t>JB Hi-Fi Ltd.(JBH)</t>
  </si>
  <si>
    <t>GF Securities Co. Ltd. Class A(000776)</t>
  </si>
  <si>
    <t>Universal Forest Products Inc.(UFPI)</t>
  </si>
  <si>
    <t>Nippon Electric Glass Co. Ltd.(5214)</t>
  </si>
  <si>
    <t>Duerr AG(DUE)</t>
  </si>
  <si>
    <t>Minth Group Ltd.(425)</t>
  </si>
  <si>
    <t>Pinduoduo Inc. ADR(PDD)</t>
  </si>
  <si>
    <t>Dave &amp; Buster's Entertainment Inc.(PLAY)</t>
  </si>
  <si>
    <t>BR Malls Participacoes SA(BRML3)</t>
  </si>
  <si>
    <t>Mapletree Industrial Trust(ME8U)</t>
  </si>
  <si>
    <t>Bottomline Technologies DE Inc.(EPAY)</t>
  </si>
  <si>
    <t>Oracle Corp. Japan(4716)</t>
  </si>
  <si>
    <t>Tata Steel Ltd.(TATASTEEL)</t>
  </si>
  <si>
    <t>Belden Inc.(BDC)</t>
  </si>
  <si>
    <t>Bucher Industries AG(BUCN)</t>
  </si>
  <si>
    <t>TEGNA Inc.(TGNA)</t>
  </si>
  <si>
    <t>Everbridge Inc.(EVBG)</t>
  </si>
  <si>
    <t>Kobe Steel Ltd.(5406)</t>
  </si>
  <si>
    <t>Albany International Corp.(AIN)</t>
  </si>
  <si>
    <t>Covanta Holding Corp.(CVA)</t>
  </si>
  <si>
    <t>Quidel Corp.(QDEL)</t>
  </si>
  <si>
    <t>Greggs plc(GRG)</t>
  </si>
  <si>
    <t>Metropolitan Bank &amp; Trust Co.(MBT)</t>
  </si>
  <si>
    <t>United Community Banks Inc./GA(UCBI)</t>
  </si>
  <si>
    <t>NetScout Systems Inc.(NTCT)</t>
  </si>
  <si>
    <t>CommVault Systems Inc.(CVLT)</t>
  </si>
  <si>
    <t>InterDigital Inc.(IDCC)</t>
  </si>
  <si>
    <t>Centennial Resource Development Inc./DE Class A(CDEV)</t>
  </si>
  <si>
    <t>China Longyuan Power Group Corp. Ltd.(916)</t>
  </si>
  <si>
    <t>PolyOne Corp.(POL)</t>
  </si>
  <si>
    <t>Nippon Paper Industries Co. Ltd.(3863)</t>
  </si>
  <si>
    <t>Yihai International Holding Ltd.(1579)</t>
  </si>
  <si>
    <t>Iida Group Holdings Co. Ltd.(3291)</t>
  </si>
  <si>
    <t>Giant Manufacturing Co. Ltd.(9921)</t>
  </si>
  <si>
    <t>Amplifon SPA(AMP)</t>
  </si>
  <si>
    <t>Sally Beauty Holdings Inc.(SBH)</t>
  </si>
  <si>
    <t>Topdanmark A/S(TOP)</t>
  </si>
  <si>
    <t>CA Immobilien Anlagen AG(CAI)</t>
  </si>
  <si>
    <t>Ecopetrol SA(ECOPETROL)</t>
  </si>
  <si>
    <t>Ube Industries Ltd.(4208)</t>
  </si>
  <si>
    <t>Asics Corp.(7936)</t>
  </si>
  <si>
    <t>DiaSorin SPA(DIA)</t>
  </si>
  <si>
    <t>SJM Holdings Ltd.(880)</t>
  </si>
  <si>
    <t>SM Energy Co.(SM)</t>
  </si>
  <si>
    <t>Hitachi Metals Ltd.(5486)</t>
  </si>
  <si>
    <t>Cleveland-Cliffs Inc.(CLF)</t>
  </si>
  <si>
    <t>Compass Minerals International Inc.(CMP)</t>
  </si>
  <si>
    <t>Macquarie Infrastructure Corp.(MIC)</t>
  </si>
  <si>
    <t>Schibsted ASA Class B(SCHB)</t>
  </si>
  <si>
    <t>Turkcell Iletisim Hizmetleri AS(TCELL)</t>
  </si>
  <si>
    <t>Telefonica Deutschland Holding AG(O2D)</t>
  </si>
  <si>
    <t>AEON Financial Service Co. Ltd.(8570)</t>
  </si>
  <si>
    <t>Kingboard Holdings Ltd.(148)</t>
  </si>
  <si>
    <t>Embraer SA(EMBR3)</t>
  </si>
  <si>
    <t>Hiwin Technologies Corp.(2049)</t>
  </si>
  <si>
    <t>Deluxe Corp.(DLX)</t>
  </si>
  <si>
    <t>Hyundai Motor Co. Preference Shares(005385)</t>
  </si>
  <si>
    <t>Welbilt Inc.(WBT)</t>
  </si>
  <si>
    <t>CONMED Corp.(CNMD)</t>
  </si>
  <si>
    <t>AusNet Services(AST)</t>
  </si>
  <si>
    <t>Simmons First National Corp. Class A(SFNC)</t>
  </si>
  <si>
    <t>Premier Inc. Class A(PINC)</t>
  </si>
  <si>
    <t>Granite Construction Inc.(GVA)</t>
  </si>
  <si>
    <t>Taiwan High Speed Rail Corp.(2633)</t>
  </si>
  <si>
    <t>Calbee Inc.(2229)</t>
  </si>
  <si>
    <t>Truworths International Ltd.(TRU)</t>
  </si>
  <si>
    <t>Infraestructura Energetica Nova SAB de CV(IENOVA*)</t>
  </si>
  <si>
    <t>Tokyo Tatemono Co. Ltd.(8804)</t>
  </si>
  <si>
    <t>Avaya Holdings Corp.(AVYA)</t>
  </si>
  <si>
    <t>Blackline Inc.(BL)</t>
  </si>
  <si>
    <t>LCI Industries(LCII)</t>
  </si>
  <si>
    <t>Ain Holdings Inc.(9627)</t>
  </si>
  <si>
    <t>Lawson Inc.(2651)</t>
  </si>
  <si>
    <t>China Life Insurance Co. Ltd./Taiwan(2823)</t>
  </si>
  <si>
    <t>Digital Telecommunications Infrastructure Fund(DIF-F)</t>
  </si>
  <si>
    <t>Pidilite Industries Ltd.(PIDILITIND)</t>
  </si>
  <si>
    <t>Innospec Inc.(IOSP)</t>
  </si>
  <si>
    <t>Lifco AB Class B(LIFCO B)</t>
  </si>
  <si>
    <t>Yokohama Rubber Co. Ltd.(5101)</t>
  </si>
  <si>
    <t>Halozyme Therapeutics Inc.(HALO)</t>
  </si>
  <si>
    <t>Medy-Tox Inc.(086900)</t>
  </si>
  <si>
    <t>Colony Capital Inc.(CLNY)</t>
  </si>
  <si>
    <t>China International Capital Corp. Ltd.(3908)</t>
  </si>
  <si>
    <t>Zijin Mining Group Co. Ltd.(2899)</t>
  </si>
  <si>
    <t>Tradeweb Markets Inc. Class A(TW)</t>
  </si>
  <si>
    <t>Cleanaway Waste Management Ltd.(CWY)</t>
  </si>
  <si>
    <t>Ogaki Kyoritsu Bank Ltd.(8361)</t>
  </si>
  <si>
    <t>Globalwafers Co. Ltd.(6488)</t>
  </si>
  <si>
    <t>ZTE Corp.(763)</t>
  </si>
  <si>
    <t>SPIE SA(SPIE)</t>
  </si>
  <si>
    <t>Daiichikosho Co. Ltd.(7458)</t>
  </si>
  <si>
    <t>Nihon Kohden Corp.(6849)</t>
  </si>
  <si>
    <t>Shenandoah Telecommunications Co.(SHEN)</t>
  </si>
  <si>
    <t>Industrial &amp; Commercial Bank of China Ltd. Class A(601398)</t>
  </si>
  <si>
    <t>Nexity SA(NXI)</t>
  </si>
  <si>
    <t>Mesaieed Petrochemical Holding Co.(MPHC)</t>
  </si>
  <si>
    <t>Oceaneering International Inc.(OII)</t>
  </si>
  <si>
    <t>Gray Television Inc.(GTN)</t>
  </si>
  <si>
    <t>HDFC Life Insurance Co. Ltd.(HDFCLIFE)</t>
  </si>
  <si>
    <t>Holmen AB(HOLM B)</t>
  </si>
  <si>
    <t>Schibsted ASA Class A(SCHA)</t>
  </si>
  <si>
    <t>Enel Americas SA ADR(ENIA)</t>
  </si>
  <si>
    <t>Azrieli Group Ltd.(AZRG)</t>
  </si>
  <si>
    <t>TechnoPro Holdings Inc.(6028)</t>
  </si>
  <si>
    <t>Press Metal Aluminium Holdings Bhd.(PMETAL)</t>
  </si>
  <si>
    <t>Otter Tail Corp.(OTTR)</t>
  </si>
  <si>
    <t>B&amp;G Foods Inc.(BGS)</t>
  </si>
  <si>
    <t>Forbo Holding AG(FORN)</t>
  </si>
  <si>
    <t>PTC Therapeutics Inc.(PTCT)</t>
  </si>
  <si>
    <t>China Resources Pharmaceutical Group Ltd.(3320)</t>
  </si>
  <si>
    <t>Great Western Bancorp Inc.(GWB)</t>
  </si>
  <si>
    <t>CIFI Holdings Group Co. Ltd.(884)</t>
  </si>
  <si>
    <t>Urban Edge Properties(UE)</t>
  </si>
  <si>
    <t>Shopping Centres Australasia Property Group(SCP)</t>
  </si>
  <si>
    <t>Invesco Mortgage Capital Inc.(IVR)</t>
  </si>
  <si>
    <t>Progress Software Corp.(PRGS)</t>
  </si>
  <si>
    <t>Accton Technology Corp.(2345)</t>
  </si>
  <si>
    <t>Tokai Carbon Co. Ltd.(5301)</t>
  </si>
  <si>
    <t>Kaneka Corp.(4118)</t>
  </si>
  <si>
    <t>SpareBank 1 SR-Bank ASA(SRBANK)</t>
  </si>
  <si>
    <t>AMMB Holdings Bhd.(AMBANK)</t>
  </si>
  <si>
    <t>Callon Petroleum Co.(CPE)</t>
  </si>
  <si>
    <t>Boskalis Westminster(BOKA)</t>
  </si>
  <si>
    <t>Bodycote plc(BOY)</t>
  </si>
  <si>
    <t>Bovis Homes Group plc(BVS)</t>
  </si>
  <si>
    <t>3SBio Inc.(1530)</t>
  </si>
  <si>
    <t>Abercrombie &amp; Fitch Co.(ANF)</t>
  </si>
  <si>
    <t>Sun Art Retail Group Ltd.(6808)</t>
  </si>
  <si>
    <t>RH(RH)</t>
  </si>
  <si>
    <t>Lexington Realty Trust(LXP)</t>
  </si>
  <si>
    <t>Big Yellow Group plc(BYG)</t>
  </si>
  <si>
    <t>Nippon Shokubai Co. Ltd.(4114)</t>
  </si>
  <si>
    <t>China Resources Cement Holdings Ltd.(1313)</t>
  </si>
  <si>
    <t>QinetiQ Group plc(QQ.)</t>
  </si>
  <si>
    <t>Pluralsight Inc. Class A(PS)</t>
  </si>
  <si>
    <t>Meritor Inc.(MTOR)</t>
  </si>
  <si>
    <t>Cia Cervecerias Unidas SA(CCU)</t>
  </si>
  <si>
    <t>Societe BIC SA(BB)</t>
  </si>
  <si>
    <t>Cheesecake Factory Inc.(CAKE)</t>
  </si>
  <si>
    <t>TP ICAP plc(TCAP)</t>
  </si>
  <si>
    <t>Varonis Systems Inc.(VRNS)</t>
  </si>
  <si>
    <t>BE Semiconductor Industries NV(BESI)</t>
  </si>
  <si>
    <t>TKH Group NV(TWEKA)</t>
  </si>
  <si>
    <t>Gulf Energy Development PCL(GULF-F)</t>
  </si>
  <si>
    <t>Arca Continental SAB de CV(AC*)</t>
  </si>
  <si>
    <t>Corbion NV(CRBN)</t>
  </si>
  <si>
    <t>AVI Ltd.(AVI)</t>
  </si>
  <si>
    <t>TRI Pointe Group Inc.(TPH)</t>
  </si>
  <si>
    <t>Northwest Natural Holding Co.(NWN)</t>
  </si>
  <si>
    <t>Banque Cantonale Vaudoise(BCVN)</t>
  </si>
  <si>
    <t>Tieto Oyj(TIETO)</t>
  </si>
  <si>
    <t>SCSK Corp.(9719)</t>
  </si>
  <si>
    <t>Kingsoft Corp. Ltd.(3888)</t>
  </si>
  <si>
    <t>Insight Enterprises Inc.(NSIT)</t>
  </si>
  <si>
    <t>Promotora y Operadora de Infraestructura SAB de CV(PINFRA*)</t>
  </si>
  <si>
    <t>Rational AG(RAA)</t>
  </si>
  <si>
    <t>Comfort Systems USA Inc.(FIX)</t>
  </si>
  <si>
    <t>Takara Holdings Inc.(2531)</t>
  </si>
  <si>
    <t>Avanos Medical Inc.(AVNS)</t>
  </si>
  <si>
    <t>Genting Malaysia Bhd.(GENM)</t>
  </si>
  <si>
    <t>WesBanco Inc.(WSBC)</t>
  </si>
  <si>
    <t>Grupa Lotos SA(LTS)</t>
  </si>
  <si>
    <t>Delphi Technologies plc(DLPH)</t>
  </si>
  <si>
    <t>Infrastrutture Wireless Italiane SPA(INW)</t>
  </si>
  <si>
    <t>Innogy SE(IGYB)</t>
  </si>
  <si>
    <t>LegacyTexas Financial Group Inc.(LTXB)</t>
  </si>
  <si>
    <t>Land &amp; Houses PCL(LH-R)</t>
  </si>
  <si>
    <t>Mobimo Holding AG(MOBN)</t>
  </si>
  <si>
    <t>Thai Oil PCL (Foreign)(TOP-F)</t>
  </si>
  <si>
    <t>HEICO Corp.(HEI)</t>
  </si>
  <si>
    <t>Korea Aerospace Industries Ltd.(047810)</t>
  </si>
  <si>
    <t>World Fuel Services Corp.(INT)</t>
  </si>
  <si>
    <t>Wuliangye Yibin Co. Ltd. Class A(000858)</t>
  </si>
  <si>
    <t>Indofood Sukses Makmur Tbk PT(INDF)</t>
  </si>
  <si>
    <t>Genscript Biotech Corp.(1548)</t>
  </si>
  <si>
    <t>Sawai Pharmaceutical Co. Ltd.(4555)</t>
  </si>
  <si>
    <t>Avenue Supermarts Ltd.(DMART)</t>
  </si>
  <si>
    <t>Sankyo Co. Ltd.(6417)</t>
  </si>
  <si>
    <t>Power Grid Corp. of India Ltd.(POWERGRID)</t>
  </si>
  <si>
    <t>Ringkjoebing Landbobank A/S(RILBA)</t>
  </si>
  <si>
    <t>Retail Opportunity Investments Corp.(ROIC)</t>
  </si>
  <si>
    <t>Cielo SA(CIEL3)</t>
  </si>
  <si>
    <t>NET One Systems Co. Ltd.(7518)</t>
  </si>
  <si>
    <t>GS Engineering &amp; Construction Corp.(006360)</t>
  </si>
  <si>
    <t>UDG Healthcare plc(UDG)</t>
  </si>
  <si>
    <t>NOS SGPS SA(NOS)</t>
  </si>
  <si>
    <t>Elia System Operator SA/NV(ELI)</t>
  </si>
  <si>
    <t>Centrais Eletricas Brasileiras SA(ELET3)</t>
  </si>
  <si>
    <t>ProAssurance Corp.(PRA)</t>
  </si>
  <si>
    <t>Country Garden Services Holdings Co. Ltd.(6098)</t>
  </si>
  <si>
    <t>Jupiter Fund Management plc(JUP)</t>
  </si>
  <si>
    <t>Whitehaven Coal Ltd.(WHC)</t>
  </si>
  <si>
    <t>AAON Inc.(AAON)</t>
  </si>
  <si>
    <t>Cimpress NV(CMPR)</t>
  </si>
  <si>
    <t>CJ CheilJedang Corp.(097950)</t>
  </si>
  <si>
    <t>Midea Group Co. Ltd. Class A(000333)</t>
  </si>
  <si>
    <t>Hanjaya Mandala Sampoerna Tbk PT(HMSP)</t>
  </si>
  <si>
    <t>Playtech plc(PTEC)</t>
  </si>
  <si>
    <t>Banco Santander Chile(BSANTANDER)</t>
  </si>
  <si>
    <t>Alpha Bank AE(ALPHA)</t>
  </si>
  <si>
    <t>Agile Group Holdings Ltd.(3383)</t>
  </si>
  <si>
    <t>Mack-Cali Realty Corp.(CLI)</t>
  </si>
  <si>
    <t>Rengo Co. Ltd.(3941)</t>
  </si>
  <si>
    <t>Agility Public Warehousing Co. KSC(AGLTY)</t>
  </si>
  <si>
    <t>Air China Ltd.(753)</t>
  </si>
  <si>
    <t>Domino's Pizza Group plc(DOM)</t>
  </si>
  <si>
    <t>Sprint Corp.(S)</t>
  </si>
  <si>
    <t>Eregli Demir ve Celik Fabrikalari TAS(EREGL)</t>
  </si>
  <si>
    <t>Franklin Electric Co. Inc.(FELE)</t>
  </si>
  <si>
    <t>Tsumura &amp; Co.(4540)</t>
  </si>
  <si>
    <t>GTT Communications Inc.(GTT)</t>
  </si>
  <si>
    <t>Interconexion Electrica SA ESP(ISA)</t>
  </si>
  <si>
    <t>Qatar Electricity &amp; Water Co. QSC(QEWS)</t>
  </si>
  <si>
    <t>Cia de Saneamento Basico do Estado de Sao Paulo ADR(SBS)</t>
  </si>
  <si>
    <t>VTB Bank PJSC(VTBR)</t>
  </si>
  <si>
    <t>Cushman &amp; Wakefield plc(CWK)</t>
  </si>
  <si>
    <t>Mapletree North Asia Commercial Trust(RW0U)</t>
  </si>
  <si>
    <t>ADEKA Corp.(4401)</t>
  </si>
  <si>
    <t>Seino Holdings Co. Ltd.(9076)</t>
  </si>
  <si>
    <t>Netmarble Corp.(251270)</t>
  </si>
  <si>
    <t>Ontex Group NV(ONTEX)</t>
  </si>
  <si>
    <t>WageWorks Inc.(WAGE)</t>
  </si>
  <si>
    <t>Invitae Corp.(NVTA)</t>
  </si>
  <si>
    <t>Mercury NZ Ltd.(MCY)</t>
  </si>
  <si>
    <t>Banco BTG Pactual SA(BPAC11)</t>
  </si>
  <si>
    <t>AU Optronics Corp.(2409)</t>
  </si>
  <si>
    <t>Siltronic AG(WAF)</t>
  </si>
  <si>
    <t>Imerys SA(NK)</t>
  </si>
  <si>
    <t>Indocement Tunggal Prakarsa Tbk PT(INTP)</t>
  </si>
  <si>
    <t>Mainfreight Ltd.(MFT)</t>
  </si>
  <si>
    <t>51job Inc. ADR(JOBS)</t>
  </si>
  <si>
    <t>Ebro Foods SA(EBRO)</t>
  </si>
  <si>
    <t>G-III Apparel Group Ltd.(GIII)</t>
  </si>
  <si>
    <t>Dixons Carphone plc(DC.)</t>
  </si>
  <si>
    <t>Four Corners Property Trust Inc.(FCPT)</t>
  </si>
  <si>
    <t>EchoStar Corp. Class A(SATS)</t>
  </si>
  <si>
    <t>Renishaw plc(RSW)</t>
  </si>
  <si>
    <t>ExlService Holdings Inc.(EXLS)</t>
  </si>
  <si>
    <t>Gruma SAB de CV Class B(GRUMAB)</t>
  </si>
  <si>
    <t>Itau Unibanco Holding SA(ITUB3)</t>
  </si>
  <si>
    <t>Renasant Corp.(RNST)</t>
  </si>
  <si>
    <t>China Huarong Asset Management Co. Ltd.(2799)</t>
  </si>
  <si>
    <t>Moelis &amp; Co. Class A(MC)</t>
  </si>
  <si>
    <t>GCP Applied Technologies Inc.(GCP)</t>
  </si>
  <si>
    <t>Kalbe Farma Tbk PT(KLBF)</t>
  </si>
  <si>
    <t>Children's Place Inc.(PLCE)</t>
  </si>
  <si>
    <t>Allegiant Travel Co. Class A(ALGT)</t>
  </si>
  <si>
    <t>Red Rock Resorts Inc. Class A(RRR)</t>
  </si>
  <si>
    <t>ENGIE COMMON STOCK(null)</t>
  </si>
  <si>
    <t>Hachijuni Bank Ltd.(8359)</t>
  </si>
  <si>
    <t>Guotai Junan Securities Co. Ltd.(2611)</t>
  </si>
  <si>
    <t>Capcom Co. Ltd.(9697)</t>
  </si>
  <si>
    <t>Inphi Corp.(IPHI)</t>
  </si>
  <si>
    <t>Plexus Corp.(PLXS)</t>
  </si>
  <si>
    <t>Jenoptik AG(JEN)</t>
  </si>
  <si>
    <t>Visteon Corp.(VC)</t>
  </si>
  <si>
    <t>Nippon Suisan Kaisha Ltd.(1332)</t>
  </si>
  <si>
    <t>Idorsia Ltd.(IDIA)</t>
  </si>
  <si>
    <t>Ibiden Co. Ltd.(4062)</t>
  </si>
  <si>
    <t>Sulzer AG(SUN)</t>
  </si>
  <si>
    <t>Triton International Ltd./Bermuda(TRTN)</t>
  </si>
  <si>
    <t>Cerved Group SPA(CERV)</t>
  </si>
  <si>
    <t>Jack in the Box Inc.(JACK)</t>
  </si>
  <si>
    <t>Genworth Financial Inc. Class A(GNW)</t>
  </si>
  <si>
    <t>Guangzhou R&amp;F Properties Co. Ltd.(2777)</t>
  </si>
  <si>
    <t>ProPetro Holding Corp.(PUMP)</t>
  </si>
  <si>
    <t>Fancl Corp.(4921)</t>
  </si>
  <si>
    <t>MyoKardia Inc.(MYOK)</t>
  </si>
  <si>
    <t>Divi's Laboratories Ltd.(DIVISLAB)</t>
  </si>
  <si>
    <t>Shinsegae Inc.(004170)</t>
  </si>
  <si>
    <t>Melco International Development Ltd.(200)</t>
  </si>
  <si>
    <t>Acacia Communications Inc.(ACIA)</t>
  </si>
  <si>
    <t>China Communications Services Corp. Ltd.(552)</t>
  </si>
  <si>
    <t>Toagosei Co. Ltd.(4045)</t>
  </si>
  <si>
    <t>Yanzhou Coal Mining Co. Ltd.(1171)</t>
  </si>
  <si>
    <t>Welcia Holdings Co. Ltd.(3141)</t>
  </si>
  <si>
    <t>Moscow Exchange MICEX-RTS PJSC(MOEX)</t>
  </si>
  <si>
    <t>Sime Darby Bhd.(SIME)</t>
  </si>
  <si>
    <t>Forward Air Corp.(FWRD)</t>
  </si>
  <si>
    <t>BCA Marketplace plc(BCA)</t>
  </si>
  <si>
    <t>Bakkafrost P/F(BAKKA)</t>
  </si>
  <si>
    <t>Cranswick plc(CWK)</t>
  </si>
  <si>
    <t>Adevinta ASA Class B(ADEB)</t>
  </si>
  <si>
    <t>Ascential plc(ASCL)</t>
  </si>
  <si>
    <t>Manila Electric Co.(MER)</t>
  </si>
  <si>
    <t>Inter RAO UES PJSC(IRAO)</t>
  </si>
  <si>
    <t>Independent Bank Group Inc.(IBTX)</t>
  </si>
  <si>
    <t>CANCOM SE(COK)</t>
  </si>
  <si>
    <t>Plantronics Inc.(PLT)</t>
  </si>
  <si>
    <t>China Hongqiao Group Ltd.(1378)</t>
  </si>
  <si>
    <t>Ambev SA ADR(ABEV)</t>
  </si>
  <si>
    <t>SEB SA(SK)</t>
  </si>
  <si>
    <t>Meritage Homes Corp.(MTH)</t>
  </si>
  <si>
    <t>Top Glove Corp. Bhd.(TOPGLOV)</t>
  </si>
  <si>
    <t>Metcash Ltd.(MTS)</t>
  </si>
  <si>
    <t>PGE Polska Grupa Energetyczna SA(PGE)</t>
  </si>
  <si>
    <t>SpareBank 1 SMN(MING)</t>
  </si>
  <si>
    <t>Zenkoku Hosho Co. Ltd.(7164)</t>
  </si>
  <si>
    <t>NetLink NBN Trust(CJLU)</t>
  </si>
  <si>
    <t>Gaztransport Et Technigaz SA(GTT)</t>
  </si>
  <si>
    <t>Stepan Co.(SCL)</t>
  </si>
  <si>
    <t>Kardex AG(KARN)</t>
  </si>
  <si>
    <t>Grupo Aeroportuario del Centro Norte SAB de CV Class B(OMAB)</t>
  </si>
  <si>
    <t>Motherson Sumi Systems Ltd.(MOTHERSUMI)</t>
  </si>
  <si>
    <t>SEB SA COMMON STOCK(null)</t>
  </si>
  <si>
    <t>AMOREPACIFIC Group(002790)</t>
  </si>
  <si>
    <t>NeoGenomics Inc.(NEO)</t>
  </si>
  <si>
    <t>Sundrug Co. Ltd.(9989)</t>
  </si>
  <si>
    <t>InterGlobe Aviation Ltd.(INDIGO)</t>
  </si>
  <si>
    <t>Zensho Holdings Co. Ltd.(7550)</t>
  </si>
  <si>
    <t>Bloomin' Brands Inc.(BLMN)</t>
  </si>
  <si>
    <t>KBC Ancora(KBCA)</t>
  </si>
  <si>
    <t>Deutsche EuroShop AG(DEQ)</t>
  </si>
  <si>
    <t>Future Land Development Holdings Ltd.(1030)</t>
  </si>
  <si>
    <t>Ecopetrol SA ADR(EC)</t>
  </si>
  <si>
    <t>Acerinox SA(ACX)</t>
  </si>
  <si>
    <t>Anixter International Inc.(AXE)</t>
  </si>
  <si>
    <t>Cyfrowy Polsat SA(CPS)</t>
  </si>
  <si>
    <t>NagaCorp Ltd.(3918)</t>
  </si>
  <si>
    <t>Engie Brasil Energia SA(EGIE3)</t>
  </si>
  <si>
    <t>Eagle Bancorp Inc.(EGBN)</t>
  </si>
  <si>
    <t>Hyundai Marine &amp; Fire Insurance Co. Ltd.(001450)</t>
  </si>
  <si>
    <t>Safestore Holdings plc(SAFE)</t>
  </si>
  <si>
    <t>Aedifica SA(AED)</t>
  </si>
  <si>
    <t>WPG Holdings Ltd.(3702)</t>
  </si>
  <si>
    <t>China Oilfield Services Ltd.(2883)</t>
  </si>
  <si>
    <t>Nippon Kayaku Co. Ltd.(4272)</t>
  </si>
  <si>
    <t>Brembo SPA(BRE)</t>
  </si>
  <si>
    <t>JUMBO SA(BELA)</t>
  </si>
  <si>
    <t>Mirati Therapeutics Inc.(MRTX)</t>
  </si>
  <si>
    <t>Supernus Pharmaceuticals Inc.(SUPN)</t>
  </si>
  <si>
    <t>Rathbone Brothers plc(RAT)</t>
  </si>
  <si>
    <t>Acer Inc.(2353)</t>
  </si>
  <si>
    <t>Tower Semiconductor Ltd.(TSEM)</t>
  </si>
  <si>
    <t>Surgutneftegas PJSC ADR(SGGD)</t>
  </si>
  <si>
    <t>Barloworld Ltd.(BAW)</t>
  </si>
  <si>
    <t>Harsco Corp.(HSC)</t>
  </si>
  <si>
    <t>Cargotec Oyj Class B(CGCBV)</t>
  </si>
  <si>
    <t>EVERTEC Inc.(EVTC)</t>
  </si>
  <si>
    <t>Hanon Systems(018880)</t>
  </si>
  <si>
    <t>Almarai Co. JSC(2280)</t>
  </si>
  <si>
    <t>Cia de Saneamento Basico do Estado de Sao Paulo(SBSP3)</t>
  </si>
  <si>
    <t>Navigators Group Inc.(NAVG)</t>
  </si>
  <si>
    <t>Champion REIT(2778)</t>
  </si>
  <si>
    <t>Petrobras Distribuidora SA(BRDT3)</t>
  </si>
  <si>
    <t>ESCO Technologies Inc.(ESE)</t>
  </si>
  <si>
    <t>Itron Inc.(ITRI)</t>
  </si>
  <si>
    <t>Shenzhen International Holdings Ltd.(152)</t>
  </si>
  <si>
    <t>Patterson Cos. Inc.(PDCO)</t>
  </si>
  <si>
    <t>LondonMetric Property plc(LMP)</t>
  </si>
  <si>
    <t>Pendal Group Ltd.(PDL)</t>
  </si>
  <si>
    <t>Investec Ltd.(INL)</t>
  </si>
  <si>
    <t>Sopra Steria Group(SOP)</t>
  </si>
  <si>
    <t>SPS Commerce Inc.(SPSC)</t>
  </si>
  <si>
    <t>Countryside Properties plc(CSP)</t>
  </si>
  <si>
    <t>Axfood AB(AXFO)</t>
  </si>
  <si>
    <t>Enel Chile SA(ENELCHILE)</t>
  </si>
  <si>
    <t>Sembcorp Industries Ltd.(U96)</t>
  </si>
  <si>
    <t>Taiwan Business Bank(2834)</t>
  </si>
  <si>
    <t>Aurubis AG(NDA)</t>
  </si>
  <si>
    <t>Amano Corp.(6436)</t>
  </si>
  <si>
    <t>Airtac International Group(1590)</t>
  </si>
  <si>
    <t>Leroy Seafood Group ASA(LSG)</t>
  </si>
  <si>
    <t>Acceleron Pharma Inc.(XLRN)</t>
  </si>
  <si>
    <t>National Vision Holdings Inc.(EYE)</t>
  </si>
  <si>
    <t>Bank Danamon Indonesia Tbk PT(BDMN)</t>
  </si>
  <si>
    <t>Credit Saison Co. Ltd.(8253)</t>
  </si>
  <si>
    <t>NMI Holdings Inc. Class A(NMIH)</t>
  </si>
  <si>
    <t>Vanguard International Semiconductor Corp.(5347)</t>
  </si>
  <si>
    <t>FUCHS PETROLUB SE(FPE)</t>
  </si>
  <si>
    <t>Dorel Industries Inc. Class B(DII.B)</t>
  </si>
  <si>
    <t>Aerie Pharmaceuticals Inc.(AERI)</t>
  </si>
  <si>
    <t>Saudi Telecom Co.(7010)</t>
  </si>
  <si>
    <t>Juroku Bank Ltd.(8356)</t>
  </si>
  <si>
    <t>Hope Bancorp Inc.(HOPE)</t>
  </si>
  <si>
    <t>Banca Generali SPA(BGN)</t>
  </si>
  <si>
    <t>SCREEN Holdings Co. Ltd.(7735)</t>
  </si>
  <si>
    <t>Tokuyama Corp.(4043)</t>
  </si>
  <si>
    <t>Fresnillo plc(FRES)</t>
  </si>
  <si>
    <t>Peab AB(PEAB B)</t>
  </si>
  <si>
    <t>Ironwood Pharmaceuticals Inc. Class A(IRWD)</t>
  </si>
  <si>
    <t>Shimamura Co. Ltd.(8227)</t>
  </si>
  <si>
    <t>DeNA Co. Ltd.(2432)</t>
  </si>
  <si>
    <t>William Hill plc(WMH)</t>
  </si>
  <si>
    <t>Primary Health Properties plc(PHP)</t>
  </si>
  <si>
    <t>Provident Financial plc(PFG)</t>
  </si>
  <si>
    <t>LIC Housing Finance Ltd.(LICHSGFIN)</t>
  </si>
  <si>
    <t>Mindtree Ltd.(MINDTREE)</t>
  </si>
  <si>
    <t>Avalara Inc.(AVLR)</t>
  </si>
  <si>
    <t>Cosan SA(CSAN3)</t>
  </si>
  <si>
    <t>Federal Signal Corp.(FSS)</t>
  </si>
  <si>
    <t>Bosch Ltd.(BOSCHLTD)</t>
  </si>
  <si>
    <t>Morinaga &amp; Co. Ltd./Japan(2201)</t>
  </si>
  <si>
    <t>Gree Electric Appliances Inc. of Zhuhai Class A(000651)</t>
  </si>
  <si>
    <t>Magellan Health Inc.(MGLN)</t>
  </si>
  <si>
    <t>First Merchants Corp.(FRME)</t>
  </si>
  <si>
    <t>Appen Ltd.(APX)</t>
  </si>
  <si>
    <t>Maruichi Steel Tube Ltd.(5463)</t>
  </si>
  <si>
    <t>Redrow plc(RDW)</t>
  </si>
  <si>
    <t>Takashimaya Co. Ltd.(8233)</t>
  </si>
  <si>
    <t>Lotte Shopping Co. Ltd.(023530)</t>
  </si>
  <si>
    <t>Benesse Holdings Inc.(9783)</t>
  </si>
  <si>
    <t>Seven Group Holdings Ltd.(SVW)</t>
  </si>
  <si>
    <t>Chorus Ltd.(CNU)</t>
  </si>
  <si>
    <t>Valiant Holding AG(VATN)</t>
  </si>
  <si>
    <t>Pacific Premier Bancorp Inc.(PPBI)</t>
  </si>
  <si>
    <t>LTC Properties Inc.(LTC)</t>
  </si>
  <si>
    <t>Hexpol AB(HPOL B)</t>
  </si>
  <si>
    <t>Gamuda Bhd.(GAMUDA)</t>
  </si>
  <si>
    <t>TOKAI Holdings Corp.(3167)</t>
  </si>
  <si>
    <t>Industrial Bank Co. Ltd. Class A(601166)</t>
  </si>
  <si>
    <t>BPER Banca(BPE)</t>
  </si>
  <si>
    <t>Lancashire Holdings Ltd.(LRE)</t>
  </si>
  <si>
    <t>HFF Inc. Class A(HF)</t>
  </si>
  <si>
    <t>GDS Holdings Ltd. ADR(GDS)</t>
  </si>
  <si>
    <t>Aica Kogyo Co. Ltd.(4206)</t>
  </si>
  <si>
    <t>Yamazaki Baking Co. Ltd.(2212)</t>
  </si>
  <si>
    <t>Games Workshop Group plc(GAW)</t>
  </si>
  <si>
    <t>BioTelemetry Inc.(BEAT)</t>
  </si>
  <si>
    <t>Izumi Co. Ltd.(8273)</t>
  </si>
  <si>
    <t>Sixt SE(SIX2)</t>
  </si>
  <si>
    <t>Wihlborgs Fastigheter AB(WIHL)</t>
  </si>
  <si>
    <t>Chesapeake Lodging Trust(CHSP)</t>
  </si>
  <si>
    <t>Micro-Star International Co. Ltd.(2377)</t>
  </si>
  <si>
    <t>Telefonaktiebolaget LM Ericsson Class A(ERIC A)</t>
  </si>
  <si>
    <t>Landis+Gyr Group AG(LAND)</t>
  </si>
  <si>
    <t>Nestle Malaysia Bhd.(NESTLE)</t>
  </si>
  <si>
    <t>Mediclinic International plc(MDC)</t>
  </si>
  <si>
    <t>1&amp;1 Drillisch AG(DRI)</t>
  </si>
  <si>
    <t>RHB Bank Bhd.(RHBBANK)</t>
  </si>
  <si>
    <t>Axos Financial Inc.(AX)</t>
  </si>
  <si>
    <t>Banner Corp.(BANR)</t>
  </si>
  <si>
    <t>Investment AB Latour Class B(LATO B)</t>
  </si>
  <si>
    <t>Intrum AB(INTRUM)</t>
  </si>
  <si>
    <t>Electronics For Imaging Inc.(EFII)</t>
  </si>
  <si>
    <t>Banpu PCL (Local)(BANPU)</t>
  </si>
  <si>
    <t>IJM Corp. Bhd.(IJM)</t>
  </si>
  <si>
    <t>Navistar International Corp.(NAV)</t>
  </si>
  <si>
    <t>Kaman Corp.(KAMN)</t>
  </si>
  <si>
    <t>LPP SA(LPP)</t>
  </si>
  <si>
    <t>Korian SA(KORI)</t>
  </si>
  <si>
    <t>CJ ENM Co. Ltd.(035760)</t>
  </si>
  <si>
    <t>Nine Entertainment Co. Holdings Ltd.(NEC)</t>
  </si>
  <si>
    <t>Firstgroup plc(FGP)</t>
  </si>
  <si>
    <t>Banca Popolare di Sondrio SCPA(BPSO)</t>
  </si>
  <si>
    <t>Enstar Group Ltd.(ESGR)</t>
  </si>
  <si>
    <t>Fortune REIT(778)</t>
  </si>
  <si>
    <t>Tamburi Investment Partners SPA(TIP)</t>
  </si>
  <si>
    <t>Kaiser Aluminum Corp.(KALU)</t>
  </si>
  <si>
    <t>Babcock International Group plc(BAB)</t>
  </si>
  <si>
    <t>Sharp Corp./Japan(6753)</t>
  </si>
  <si>
    <t>Chroma ATE Inc.(2360)</t>
  </si>
  <si>
    <t>OKUMA Corp.(6103)</t>
  </si>
  <si>
    <t>Serco Group plc(SRP)</t>
  </si>
  <si>
    <t>Tsingtao Brewery Co. Ltd.(168)</t>
  </si>
  <si>
    <t>Sumitomo Forestry Co. Ltd.(1911)</t>
  </si>
  <si>
    <t>Bumrungrad Hospital PCL(BH)</t>
  </si>
  <si>
    <t>Cia de Saneamento do Parana(SAPR11)</t>
  </si>
  <si>
    <t>Moneta Money Bank AS(MONET)</t>
  </si>
  <si>
    <t>Aeon Mall Co. Ltd.(8905)</t>
  </si>
  <si>
    <t>Paragon Banking Group plc(PAG)</t>
  </si>
  <si>
    <t>Allscripts Healthcare Solutions Inc.(MDRX)</t>
  </si>
  <si>
    <t>Sweco AB Class B(SWEC B)</t>
  </si>
  <si>
    <t>China State Construction International Holdings Ltd.(3311)</t>
  </si>
  <si>
    <t>Knowles Corp.(KN)</t>
  </si>
  <si>
    <t>Mitsubishi Logistics Corp.(9301)</t>
  </si>
  <si>
    <t>Nevro Corp.(NVRO)</t>
  </si>
  <si>
    <t>iRhythm Technologies Inc.(IRTC)</t>
  </si>
  <si>
    <t>Pick n Pay Stores Ltd.(PIK)</t>
  </si>
  <si>
    <t>Domino's Pizza Enterprises Ltd.(DMP)</t>
  </si>
  <si>
    <t>Aguas Andinas SA Class A(AGUAS-A)</t>
  </si>
  <si>
    <t>SOITEC(SOI)</t>
  </si>
  <si>
    <t>Cactus Inc. Class A(WHD)</t>
  </si>
  <si>
    <t>Warrior Met Coal Inc.(HCC)</t>
  </si>
  <si>
    <t>Cubic Corp.(CUB)</t>
  </si>
  <si>
    <t>Sotheby's(BID)</t>
  </si>
  <si>
    <t>Chugoku Bank Ltd.(8382)</t>
  </si>
  <si>
    <t>American Assets Trust Inc.(AAT)</t>
  </si>
  <si>
    <t>Masmovil Ibercom SA(MAS)</t>
  </si>
  <si>
    <t>MaxLinear Inc.(MXL)</t>
  </si>
  <si>
    <t>SRC Energy Inc.(SRCI)</t>
  </si>
  <si>
    <t>Mueller Water Products Inc. Class A(MWA)</t>
  </si>
  <si>
    <t>Ulvac Inc.(6728)</t>
  </si>
  <si>
    <t>Nishi-Nippon Railroad Co. Ltd.(9031)</t>
  </si>
  <si>
    <t>Energisa SA(ENGI11)</t>
  </si>
  <si>
    <t>Ameris Bancorp(ABCB)</t>
  </si>
  <si>
    <t>KB Financial Group Inc. ADR(KB)</t>
  </si>
  <si>
    <t>Federal Bank Ltd.(FEDERALBNK)</t>
  </si>
  <si>
    <t>LivePerson Inc.(LPSN)</t>
  </si>
  <si>
    <t>Lasertec Corp.(6920)</t>
  </si>
  <si>
    <t>Macnica Fuji Electronics Holdings Inc.(3132)</t>
  </si>
  <si>
    <t>Nippon Signal Company Ltd.(6741)</t>
  </si>
  <si>
    <t>Applus Services SA(APPS)</t>
  </si>
  <si>
    <t>Bic Camera Inc.(3048)</t>
  </si>
  <si>
    <t>Rand Merchant Investment Holdings Ltd.(RMI)</t>
  </si>
  <si>
    <t>Lattice Semiconductor Corp.(LSCC)</t>
  </si>
  <si>
    <t>KAZ Minerals plc(KAZ)</t>
  </si>
  <si>
    <t>Marshalls plc(MSLH)</t>
  </si>
  <si>
    <t>Fuji Seal International Inc.(7864)</t>
  </si>
  <si>
    <t>COSCO SHIPPING Ports Ltd.(1199)</t>
  </si>
  <si>
    <t>Saia Inc.(SAIA)</t>
  </si>
  <si>
    <t>Medifast Inc.(MED)</t>
  </si>
  <si>
    <t>Callaway Golf Co.(ELY)</t>
  </si>
  <si>
    <t>Vocus Group Ltd.(VOC)</t>
  </si>
  <si>
    <t>TPG Telecom Ltd.(TPM)</t>
  </si>
  <si>
    <t>Vodafone Idea Ltd.(IDEA)</t>
  </si>
  <si>
    <t>Houlihan Lokey Inc. Class A(HLI)</t>
  </si>
  <si>
    <t>UnipolSai Assicurazioni SPA(US)</t>
  </si>
  <si>
    <t>Mahindra &amp; Mahindra Financial Services Ltd.(M&amp;MFIN)</t>
  </si>
  <si>
    <t>FireEye Inc.(FEYE)</t>
  </si>
  <si>
    <t>NOK Corp.(7240)</t>
  </si>
  <si>
    <t>LG Electronics Inc. Preference Shares(066575)</t>
  </si>
  <si>
    <t>BNK Financial Group Inc.(138930)</t>
  </si>
  <si>
    <t>Capitol Federal Financial Inc.(CFFN)</t>
  </si>
  <si>
    <t>Steadfast Group Ltd.(SDF)</t>
  </si>
  <si>
    <t>National Storage Affiliates Trust(NSA)</t>
  </si>
  <si>
    <t>BGC Partners Inc. Class A(BGCP)</t>
  </si>
  <si>
    <t>PROS Holdings Inc.(PRO)</t>
  </si>
  <si>
    <t>Xinyi Solar Holdings Ltd.(968)</t>
  </si>
  <si>
    <t>Kumho Petrochemical Co. Ltd.(011780)</t>
  </si>
  <si>
    <t>American Axle &amp; Manufacturing Holdings Inc.(AXL)</t>
  </si>
  <si>
    <t>Breville Group Ltd.(BRG)</t>
  </si>
  <si>
    <t>Hartalega Holdings Bhd.(HARTA)</t>
  </si>
  <si>
    <t>Yuhan Corp.(000100)</t>
  </si>
  <si>
    <t>Big Lots Inc.(BIG)</t>
  </si>
  <si>
    <t>Groupon Inc. Class A(GRPN)</t>
  </si>
  <si>
    <t>SKYCITY Entertainment Group Ltd.(SKC)</t>
  </si>
  <si>
    <t>Brinker International Inc.(EAT)</t>
  </si>
  <si>
    <t>Telkom SA SOC Ltd.(TKG)</t>
  </si>
  <si>
    <t>Iren SPA(IRE)</t>
  </si>
  <si>
    <t>Deutsche Pfandbriefbank AG(PBB)</t>
  </si>
  <si>
    <t>Workspace Group plc(WKP)</t>
  </si>
  <si>
    <t>Alexander &amp; Baldwin Inc.(ALEX)</t>
  </si>
  <si>
    <t>Casella Waste Systems Inc. Class A(CWST)</t>
  </si>
  <si>
    <t>Emmi AG(EMMN)</t>
  </si>
  <si>
    <t>Fielmann AG(FIE)</t>
  </si>
  <si>
    <t>Sul America SA(SULA11)</t>
  </si>
  <si>
    <t>nib holdings Ltd./Australia(NHF)</t>
  </si>
  <si>
    <t>Hufvudstaden AB Class A(HUFV A)</t>
  </si>
  <si>
    <t>Airport City Ltd.(ARPT)</t>
  </si>
  <si>
    <t>Cannae Holdings Inc.(CNNE)</t>
  </si>
  <si>
    <t>Bradespar SA Preference Shares(BRAP4)</t>
  </si>
  <si>
    <t>Nippon Light Metal Holdings Co. Ltd.(5703)</t>
  </si>
  <si>
    <t>Worthington Industries Inc.(WOR)</t>
  </si>
  <si>
    <t>Matson Inc.(MATX)</t>
  </si>
  <si>
    <t>Jiangsu Expressway Co. Ltd.(177)</t>
  </si>
  <si>
    <t>Orion Corp./Republic of Korea(271560)</t>
  </si>
  <si>
    <t>Calavo Growers Inc.(CVGW)</t>
  </si>
  <si>
    <t>REGENXBIO Inc.(RGNX)</t>
  </si>
  <si>
    <t>Zogenix Inc.(ZGNX)</t>
  </si>
  <si>
    <t>Joyful Honda Co. Ltd.(3191)</t>
  </si>
  <si>
    <t>Lyft Inc. Class A(LYFT)</t>
  </si>
  <si>
    <t>Shanghai Pudong Development Bank Co. Ltd. Class A(600000)</t>
  </si>
  <si>
    <t>Synnex Technology International Corp.(2347)</t>
  </si>
  <si>
    <t>Daido Steel Co. Ltd.(5471)</t>
  </si>
  <si>
    <t>Dycom Industries Inc.(DY)</t>
  </si>
  <si>
    <t>Livent Corp.(LTHM)</t>
  </si>
  <si>
    <t>Mueller Industries Inc.(MLI)</t>
  </si>
  <si>
    <t>Dr Reddy's Laboratories Ltd.(DRREDDY)</t>
  </si>
  <si>
    <t>Atacadao SA(CRFB3)</t>
  </si>
  <si>
    <t>Designer Brands Inc.(DBI)</t>
  </si>
  <si>
    <t>DKSH Holding AG(DKSH)</t>
  </si>
  <si>
    <t>Shake Shack Inc. Class A(SHAK)</t>
  </si>
  <si>
    <t>Corporate Travel Management Ltd.(CTD)</t>
  </si>
  <si>
    <t>Bravida Holding AB(BRAV)</t>
  </si>
  <si>
    <t>HNI Corp.(HNI)</t>
  </si>
  <si>
    <t>Shanghai Fosun Pharmaceutical Group Co. Ltd.(2196)</t>
  </si>
  <si>
    <t>Sugi Holdings Co. Ltd.(7649)</t>
  </si>
  <si>
    <t>PriceSmart Inc.(PSMT)</t>
  </si>
  <si>
    <t>Cheil Worldwide Inc.(030000)</t>
  </si>
  <si>
    <t>Westamerica Bancorporation(WABC)</t>
  </si>
  <si>
    <t>Chongqing Rural Commercial Bank Co. Ltd.(3618)</t>
  </si>
  <si>
    <t>Itau CorpBanca(ITAUCORP)</t>
  </si>
  <si>
    <t>Assura plc(AGR)</t>
  </si>
  <si>
    <t>Paz Oil Co. Ltd.(PZOL)</t>
  </si>
  <si>
    <t>NOW Inc.(DNOW)</t>
  </si>
  <si>
    <t>Builders FirstSource Inc.(BLDR)</t>
  </si>
  <si>
    <t>Cie Plastic Omnium SA(POM)</t>
  </si>
  <si>
    <t>PALTAC Corp.(8283)</t>
  </si>
  <si>
    <t>Harvey Norman Holdings Ltd.(HVN)</t>
  </si>
  <si>
    <t>Petronas Dagangan Bhd.(PETDAG)</t>
  </si>
  <si>
    <t>Nordic Entertainment Group AB Class B(NENT B)</t>
  </si>
  <si>
    <t>Colbun SA(COLBUN)</t>
  </si>
  <si>
    <t>Perusahaan Gas Negara Persero Tbk(PGAS)</t>
  </si>
  <si>
    <t>IOOF Holdings Ltd.(IFL)</t>
  </si>
  <si>
    <t>LINE Corp.(3938)</t>
  </si>
  <si>
    <t>Viva Energy Group Ltd.(VEA)</t>
  </si>
  <si>
    <t>ManTech International Corp./VA Class A(MANT)</t>
  </si>
  <si>
    <t>Crocs Inc.(CROX)</t>
  </si>
  <si>
    <t>Shanghai Pharmaceuticals Holding Co. Ltd.(2607)</t>
  </si>
  <si>
    <t>Core-Mark Holding Co. Inc.(CORE)</t>
  </si>
  <si>
    <t>Trade Me Group Ltd.(TME)</t>
  </si>
  <si>
    <t>K's Holdings Corp.(8282)</t>
  </si>
  <si>
    <t>Info Edge India Ltd.(NAUKRI)</t>
  </si>
  <si>
    <t>Intelsat SA(I)</t>
  </si>
  <si>
    <t>Towne Bank/Portsmouth VA(TOWN)</t>
  </si>
  <si>
    <t>Horace Mann Educators Corp.(HMN)</t>
  </si>
  <si>
    <t>Entra ASA(ENTRA)</t>
  </si>
  <si>
    <t>Krungthai Card PCL(KTC-F)</t>
  </si>
  <si>
    <t>Sociedad Quimica y Minera de Chile SA ADR(SQM)</t>
  </si>
  <si>
    <t>Walsin Lihwa Corp.(1605)</t>
  </si>
  <si>
    <t>Hangzhou Hikvision Digital Technology Co. Ltd. Class A(002415)</t>
  </si>
  <si>
    <t>Nippon Ceramic Co. Ltd.(6929)</t>
  </si>
  <si>
    <t>Mobile Mini Inc.(MINI)</t>
  </si>
  <si>
    <t>CIE Automotive SA(CIE)</t>
  </si>
  <si>
    <t>Kaken Pharmaceutical Co. Ltd.(4521)</t>
  </si>
  <si>
    <t>Shangri-La Asia Ltd.(69)</t>
  </si>
  <si>
    <t>China Merchants Bank Co. Ltd. Class A(600036)</t>
  </si>
  <si>
    <t>Global Net Lease Inc.(GNL)</t>
  </si>
  <si>
    <t>Ladder Capital Corp. Class A(LADR)</t>
  </si>
  <si>
    <t>Virtu Financial Inc. Class A(VIRT)</t>
  </si>
  <si>
    <t>Walker &amp; Dunlop Inc.(WD)</t>
  </si>
  <si>
    <t>IRPC PCL (Foreign)(IRPC-F)</t>
  </si>
  <si>
    <t>Dril-Quip Inc.(DRQ)</t>
  </si>
  <si>
    <t>Barco NV(BAR)</t>
  </si>
  <si>
    <t>Euronav NV(EURN)</t>
  </si>
  <si>
    <t>Select Medical Holdings Corp.(SEM)</t>
  </si>
  <si>
    <t>Shandong Weigao Group Medical Polymer Co. Ltd.(1066)</t>
  </si>
  <si>
    <t>Asbury Automotive Group Inc.(ABG)</t>
  </si>
  <si>
    <t>China Everbright Bank Co. Ltd.(6818)</t>
  </si>
  <si>
    <t>Seven Bank Ltd.(8410)</t>
  </si>
  <si>
    <t>ServisFirst Bancshares Inc.(SFBS)</t>
  </si>
  <si>
    <t>Parque Arauco SA(PARAUCO)</t>
  </si>
  <si>
    <t>Aldar Properties PJSC(ALDAR)</t>
  </si>
  <si>
    <t>APERAM SA(APAM)</t>
  </si>
  <si>
    <t>Independence Group NL(IGO)</t>
  </si>
  <si>
    <t>Grupo Carso SAB de CV(GCARSOA1)</t>
  </si>
  <si>
    <t>Ambarella Inc.(AMBA)</t>
  </si>
  <si>
    <t>Qatar Gas Transport Co. Ltd.(QGTS)</t>
  </si>
  <si>
    <t>Malaysia Airports Holdings Bhd.(AIRPORT)</t>
  </si>
  <si>
    <t>Estacio Participacoes SA(ESTC3)</t>
  </si>
  <si>
    <t>Penske Automotive Group Inc.(PAG)</t>
  </si>
  <si>
    <t>True Corp. PCL(TRUE-F)</t>
  </si>
  <si>
    <t>TIM Participacoes SA(TIMP3)</t>
  </si>
  <si>
    <t>Drax Group plc(DRX)</t>
  </si>
  <si>
    <t>Northwest Bancshares Inc.(NWBI)</t>
  </si>
  <si>
    <t>Yamaguchi Financial Group Inc.(8418)</t>
  </si>
  <si>
    <t>Intertrust NV(INTER)</t>
  </si>
  <si>
    <t>Nihon Unisys Ltd.(8056)</t>
  </si>
  <si>
    <t>IRESS Ltd.(IRE)</t>
  </si>
  <si>
    <t>Jiangxi Copper Co. Ltd.(358)</t>
  </si>
  <si>
    <t>Actuant Corp. Class A(ATU)</t>
  </si>
  <si>
    <t>BOC Aviation Ltd.(2588)</t>
  </si>
  <si>
    <t>Werner Enterprises Inc.(WERN)</t>
  </si>
  <si>
    <t>Denali Therapeutics Inc.(DNLI)</t>
  </si>
  <si>
    <t>Pacira BioSciences Inc.(PCRX)</t>
  </si>
  <si>
    <t>Heron Therapeutics Inc.(HRTX)</t>
  </si>
  <si>
    <t>Shikoku Electric Power Co. Inc.(9507)</t>
  </si>
  <si>
    <t>SJW Group(SJW)</t>
  </si>
  <si>
    <t>Agricultural Bank of China Ltd. Class A(601288)</t>
  </si>
  <si>
    <t>Green REIT plc(GN1)</t>
  </si>
  <si>
    <t>Hannon Armstrong Sustainable Infrastructure Capital Inc.(HASI)</t>
  </si>
  <si>
    <t>Arch Coal Inc. Class A(ARCH)</t>
  </si>
  <si>
    <t>Sibanye Gold Ltd.(SGL)</t>
  </si>
  <si>
    <t>OSI Systems Inc.(OSIS)</t>
  </si>
  <si>
    <t>Badger Meter Inc.(BMI)</t>
  </si>
  <si>
    <t>Coca-Cola Consolidated Inc.(COKE)</t>
  </si>
  <si>
    <t>La-Z-Boy Inc.(LZB)</t>
  </si>
  <si>
    <t>Shutterfly Inc.(SFLY)</t>
  </si>
  <si>
    <t>Hilltop Holdings Inc.(HTH)</t>
  </si>
  <si>
    <t>Tier REIT Inc.(TIER)</t>
  </si>
  <si>
    <t>Blucora Inc.(BCOR)</t>
  </si>
  <si>
    <t>Furukawa Electric Co. Ltd.(5801)</t>
  </si>
  <si>
    <t>EnPro Industries Inc.(NPO)</t>
  </si>
  <si>
    <t>Zhongsheng Group Holdings Ltd.(881)</t>
  </si>
  <si>
    <t>Fuji Oil Holdings Inc.(2607)</t>
  </si>
  <si>
    <t>Dr Reddy's Laboratories Ltd. ADR(RDY)</t>
  </si>
  <si>
    <t>Kyushu Financial Group Inc.(7180)</t>
  </si>
  <si>
    <t>Bancolombia SA(BCOLOMBIA)</t>
  </si>
  <si>
    <t>Multiplan Empreendimentos Imobiliarios SA(MULT3)</t>
  </si>
  <si>
    <t>Petrofac Ltd.(PFC)</t>
  </si>
  <si>
    <t>SSAB AB Class A(SSAB A)</t>
  </si>
  <si>
    <t>Vesuvius plc(VSVS)</t>
  </si>
  <si>
    <t>Norma Group SE(NOEJ)</t>
  </si>
  <si>
    <t>Sun Hydraulics Corp.(SNHY)</t>
  </si>
  <si>
    <t>SPX FLOW Inc.(FLOW)</t>
  </si>
  <si>
    <t>MDC Holdings Inc.(MDC)</t>
  </si>
  <si>
    <t>Arrowhead Pharmaceuticals Inc.(ARWR)</t>
  </si>
  <si>
    <t>Prestige Consumer Healthcare Inc.(PBH)</t>
  </si>
  <si>
    <t>CCC SA(CCC)</t>
  </si>
  <si>
    <t>Petronet LNG Ltd.(PETRONET)</t>
  </si>
  <si>
    <t>Barwa Real Estate Co.(BRES)</t>
  </si>
  <si>
    <t>Logan Property Holdings Co. Ltd.(3380)</t>
  </si>
  <si>
    <t>Redwood Trust Inc.(RWT)</t>
  </si>
  <si>
    <t>Tatung Co. Ltd.(2371)</t>
  </si>
  <si>
    <t>Sociedad Quimica y Minera de Chile SA Preference Shares Class B(SQM-B)</t>
  </si>
  <si>
    <t>Nihon Parkerizing Co. Ltd.(4095)</t>
  </si>
  <si>
    <t>Rockwool International A/S Class B(ROCK B)</t>
  </si>
  <si>
    <t>SFS Group AG(SFSN)</t>
  </si>
  <si>
    <t>Nippon Flour Mills Co. Ltd.(2001)</t>
  </si>
  <si>
    <t>Sanrio Co. Ltd.(8136)</t>
  </si>
  <si>
    <t>Page Industries Ltd.(PAGEIND)</t>
  </si>
  <si>
    <t>Genomic Health Inc.(GHDX)</t>
  </si>
  <si>
    <t>Endo International plc(ENDP)</t>
  </si>
  <si>
    <t>Fnac Darty SA(FNAC)</t>
  </si>
  <si>
    <t>MSG Networks Inc.(MSGN)</t>
  </si>
  <si>
    <t>Centrais Eletricas Brasileiras SA Preference Shares(ELET6)</t>
  </si>
  <si>
    <t>Gulf Bank KSCP(GBK)</t>
  </si>
  <si>
    <t>Iyo Bank Ltd.(8385)</t>
  </si>
  <si>
    <t>Uniti Group Inc.(UNIT)</t>
  </si>
  <si>
    <t>OneSavings Bank plc(OSB)</t>
  </si>
  <si>
    <t>CompuGroup Medical SE(COP)</t>
  </si>
  <si>
    <t>Nanya Technology Corp.(2408)</t>
  </si>
  <si>
    <t>Diodes Inc.(DIOD)</t>
  </si>
  <si>
    <t>Sinopec Shanghai Petrochemical Co. Ltd.(338)</t>
  </si>
  <si>
    <t>SPX Corp.(SPXC)</t>
  </si>
  <si>
    <t>Cooper Tire &amp; Rubber Co.(CTB)</t>
  </si>
  <si>
    <t>AnaptysBio Inc.(ANAB)</t>
  </si>
  <si>
    <t>Simply Good Foods Co.(SMPL)</t>
  </si>
  <si>
    <t>China Southern Airlines Co. Ltd.(1055)</t>
  </si>
  <si>
    <t>Mercury General Corp.(MCY)</t>
  </si>
  <si>
    <t>Bukit Sembawang Estates Ltd.(B61)</t>
  </si>
  <si>
    <t>Cromwell Property Group(CMW)</t>
  </si>
  <si>
    <t>China Everbright Ltd.(165)</t>
  </si>
  <si>
    <t>SIG Combibloc Group AG(SIGN)</t>
  </si>
  <si>
    <t>Salvatore Ferragamo SPA(SFER)</t>
  </si>
  <si>
    <t>Enanta Pharmaceuticals Inc.(ENTA)</t>
  </si>
  <si>
    <t>DCM Holdings Co. Ltd.(3050)</t>
  </si>
  <si>
    <t>Ratch Group PCL(RATCH-R)</t>
  </si>
  <si>
    <t>Chesapeake Utilities Corp.(CPK)</t>
  </si>
  <si>
    <t>National General Holdings Corp.(NGHC)</t>
  </si>
  <si>
    <t>Virtusa Corp.(VRTU)</t>
  </si>
  <si>
    <t>CSG Systems International Inc.(CSGS)</t>
  </si>
  <si>
    <t>Synthomer plc(SYNT)</t>
  </si>
  <si>
    <t>Ferro Corp.(FOE)</t>
  </si>
  <si>
    <t>Washington H Soul Pattinson &amp; Co. Ltd.(SOL)</t>
  </si>
  <si>
    <t>KCC Corp.(002380)</t>
  </si>
  <si>
    <t>Tripod Technology Corp.(3044)</t>
  </si>
  <si>
    <t>Schneider National Inc. Class B(SNDR)</t>
  </si>
  <si>
    <t>Gentherm Inc.(THRM)</t>
  </si>
  <si>
    <t>ABC-Mart Inc.(2670)</t>
  </si>
  <si>
    <t>Medpace Holdings Inc.(MEDP)</t>
  </si>
  <si>
    <t>Xencor Inc.(XNCR)</t>
  </si>
  <si>
    <t>United Super Markets Holdings Inc.(3222)</t>
  </si>
  <si>
    <t>Azul SA Prior Preference Shares.(AZUL4)</t>
  </si>
  <si>
    <t>MGM China Holdings Ltd.(2282)</t>
  </si>
  <si>
    <t>Dine Brands Global Inc.(DIN)</t>
  </si>
  <si>
    <t>CVC Brasil Operadora e Agencia de Viagens SA(CVCB3)</t>
  </si>
  <si>
    <t>Provident Financial Services Inc.(PFS)</t>
  </si>
  <si>
    <t>North Pacific Bank Ltd.(8524)</t>
  </si>
  <si>
    <t>BAWAG Group AG(BG)</t>
  </si>
  <si>
    <t>Keppel REIT(K71U)</t>
  </si>
  <si>
    <t>Bharat Financial Inclusion Ltd.(BHARATFIN)</t>
  </si>
  <si>
    <t>Appfolio Inc.(APPF)</t>
  </si>
  <si>
    <t>Aerovironment Inc.(AVAV)</t>
  </si>
  <si>
    <t>Rush Enterprises Inc. Class A(RUSHA)</t>
  </si>
  <si>
    <t>Zardoya Otis SA(ZOT)</t>
  </si>
  <si>
    <t>Meitec Corp.(9744)</t>
  </si>
  <si>
    <t>S-1 Corp.(012750)</t>
  </si>
  <si>
    <t>Essentra plc(ESNT)</t>
  </si>
  <si>
    <t>NHK Spring Co. Ltd.(5991)</t>
  </si>
  <si>
    <t>Indofood CBP Sukses Makmur Tbk PT(ICBP)</t>
  </si>
  <si>
    <t>Nipro Corp.(8086)</t>
  </si>
  <si>
    <t>Faes Farma SA(FAE)</t>
  </si>
  <si>
    <t>B2W Cia Digital(BTOW3)</t>
  </si>
  <si>
    <t>Security Bank Corp.(SECB)</t>
  </si>
  <si>
    <t>Gunma Bank Ltd.(8334)</t>
  </si>
  <si>
    <t>Talanx AG(TLX)</t>
  </si>
  <si>
    <t>Seritage Growth Properties Class A(SRG)</t>
  </si>
  <si>
    <t>SITE Centers Corp.(SITC)</t>
  </si>
  <si>
    <t>Aker ASA(AKER)</t>
  </si>
  <si>
    <t>Workiva Inc.(WK)</t>
  </si>
  <si>
    <t>Avast plc(AVST)</t>
  </si>
  <si>
    <t>Powertech Technology Inc.(6239)</t>
  </si>
  <si>
    <t>Dowa Holdings Co. Ltd.(5714)</t>
  </si>
  <si>
    <t>Enav SPA(ENAV)</t>
  </si>
  <si>
    <t>Hostess Brands Inc. Class A(TWNK)</t>
  </si>
  <si>
    <t>Audentes Therapeutics Inc.(BOLD)</t>
  </si>
  <si>
    <t>Webjet Ltd.(WEB)</t>
  </si>
  <si>
    <t>IDFC First Bank Ltd.(IDFCFIRSTB)</t>
  </si>
  <si>
    <t>NBT Bancorp Inc.(NBTB)</t>
  </si>
  <si>
    <t>Redfin Corp.(RDFN)</t>
  </si>
  <si>
    <t>Frasers Logistics &amp; Industrial Trust(BUOU)</t>
  </si>
  <si>
    <t>Magnolia Oil &amp; Gas Corp.(MGY)</t>
  </si>
  <si>
    <t>SHO-BOND Holdings Co. Ltd.(1414)</t>
  </si>
  <si>
    <t>Jungheinrich AG Preference Shares(JUN3)</t>
  </si>
  <si>
    <t>Lotte Corp.(004990)</t>
  </si>
  <si>
    <t>Steelcase Inc. Class A(SCS)</t>
  </si>
  <si>
    <t>Siegfried Holding AG(SFZN)</t>
  </si>
  <si>
    <t>Dino Polska SA(DNP)</t>
  </si>
  <si>
    <t>DNO ASA(DNO)</t>
  </si>
  <si>
    <t>FP Corp.(7947)</t>
  </si>
  <si>
    <t>Ushio Inc.(6925)</t>
  </si>
  <si>
    <t>Siemens Ltd.(SIEMENS)</t>
  </si>
  <si>
    <t>Rhi Magnesita NV(RHIM)</t>
  </si>
  <si>
    <t>Zhejiang Expressway Co. Ltd.(576)</t>
  </si>
  <si>
    <t>De' Longhi SPA(DLG)</t>
  </si>
  <si>
    <t>Amneal Pharmaceuticals Inc.(AMRX)</t>
  </si>
  <si>
    <t>Flight Centre Travel Group Ltd.(FLT)</t>
  </si>
  <si>
    <t>Ooredoo QPSC(ORDS)</t>
  </si>
  <si>
    <t>Frasers Centrepoint Trust(J69U)</t>
  </si>
  <si>
    <t>Pilgrim's Pride Corp.(PPC)</t>
  </si>
  <si>
    <t>Wacoal Holdings Corp.(3591)</t>
  </si>
  <si>
    <t>Citizen Watch Co. Ltd.(7762)</t>
  </si>
  <si>
    <t>Vitrolife AB(VITR)</t>
  </si>
  <si>
    <t>Cambrex Corp.(CBM)</t>
  </si>
  <si>
    <t>IDP Education Ltd.(IEL)</t>
  </si>
  <si>
    <t>Zoom Video Communications Inc. Class A(ZM)</t>
  </si>
  <si>
    <t>VEON Ltd.(VEON)</t>
  </si>
  <si>
    <t>ADO Properties SA(ADJ)</t>
  </si>
  <si>
    <t>Senior Housing Properties Trust(SNH)</t>
  </si>
  <si>
    <t>TOTVS SA(TOTS3)</t>
  </si>
  <si>
    <t>Coats Group plc(COA)</t>
  </si>
  <si>
    <t>Crompton Greaves Consumer Electricals Ltd.(CROMPTON)</t>
  </si>
  <si>
    <t>OSG Corp.(6136)</t>
  </si>
  <si>
    <t>GrainCorp Ltd. Class A(GNC)</t>
  </si>
  <si>
    <t>Costa Group Holdings Ltd.(CGC)</t>
  </si>
  <si>
    <t>STAAR Surgical Co.(STAA)</t>
  </si>
  <si>
    <t>Sangamo Therapeutics Inc.(SGMO)</t>
  </si>
  <si>
    <t>Sunrun Inc.(RUN)</t>
  </si>
  <si>
    <t>Vontobel Holding AG(VONN)</t>
  </si>
  <si>
    <t>ICICI Prudential Life Insurance Co. Ltd.(ICICIPRULI)</t>
  </si>
  <si>
    <t>Kungsleden AB(KLED)</t>
  </si>
  <si>
    <t>Yext Inc.(YEXT)</t>
  </si>
  <si>
    <t>SKC Co. Ltd.(011790)</t>
  </si>
  <si>
    <t>Kumba Iron Ore Ltd.(KIO)</t>
  </si>
  <si>
    <t>McGrath RentCorp(MGRC)</t>
  </si>
  <si>
    <t>Harim Holdings Co. Ltd.(003380)</t>
  </si>
  <si>
    <t>Apollo Hospitals Enterprise Ltd.(APOLLOHOSP)</t>
  </si>
  <si>
    <t>Reata Pharmaceuticals Inc. Class A(RETA)</t>
  </si>
  <si>
    <t>Picton Property Income Ltd.(PCTN)</t>
  </si>
  <si>
    <t>CVR Energy Inc.(CVI)</t>
  </si>
  <si>
    <t>Mineral Resources Ltd.(MIN)</t>
  </si>
  <si>
    <t>Regis Resources Ltd.(RRL)</t>
  </si>
  <si>
    <t>Zhen Ding Technology Holding Ltd.(4958)</t>
  </si>
  <si>
    <t>Dfds A/S(DFDS)</t>
  </si>
  <si>
    <t>US Physical Therapy Inc.(USPH)</t>
  </si>
  <si>
    <t>Ship Healthcare Holdings Inc.(3360)</t>
  </si>
  <si>
    <t>Wizz Air Holdings plc(WIZZ)</t>
  </si>
  <si>
    <t>Empresa Nacional de Telecomunicaciones SA(ENTEL)</t>
  </si>
  <si>
    <t>mBank SA(MBK)</t>
  </si>
  <si>
    <t>Softcat plc(SCT)</t>
  </si>
  <si>
    <t>Zuora Inc. Class A(ZUO)</t>
  </si>
  <si>
    <t>Sophos Group plc(SOPH)</t>
  </si>
  <si>
    <t>Saudi Arabian Mining Co.(1211)</t>
  </si>
  <si>
    <t>Sumitomo Osaka Cement Co. Ltd.(5232)</t>
  </si>
  <si>
    <t>Raven Industries Inc.(RAVN)</t>
  </si>
  <si>
    <t>LG Innotek Co. Ltd.(011070)</t>
  </si>
  <si>
    <t>Ashok Leyland Ltd.(ASHOKLEY)</t>
  </si>
  <si>
    <t>Garrett Motion Inc.(GTX)</t>
  </si>
  <si>
    <t>Laureate Education Inc. Class A(LAUR)</t>
  </si>
  <si>
    <t>Metropole Television SA(MMT)</t>
  </si>
  <si>
    <t>Stroeer SE &amp; Co. KGaA(SAX)</t>
  </si>
  <si>
    <t>SeaWorld Entertainment Inc.(SEAS)</t>
  </si>
  <si>
    <t>Bank of Okinawa Ltd.(8397)</t>
  </si>
  <si>
    <t>Skandinaviska Enskilda Banken AB(SEB C)</t>
  </si>
  <si>
    <t>Shinhan Financial Group Co. Ltd. ADR(SHG)</t>
  </si>
  <si>
    <t>Hanwha Life Insurance Co. Ltd.(088350)</t>
  </si>
  <si>
    <t>GT Capital Holdings Inc.(GTCAP)</t>
  </si>
  <si>
    <t>Pivotal Software Inc. Class A(PVTL)</t>
  </si>
  <si>
    <t>VTech Holdings Ltd.(303)</t>
  </si>
  <si>
    <t>Masonite International Corp.(DOOR)</t>
  </si>
  <si>
    <t>Kratos Defense &amp; Security Solutions Inc.(KTOS)</t>
  </si>
  <si>
    <t>IMA Industria Macchine Automatiche SPA(IMA)</t>
  </si>
  <si>
    <t>Beijing Capital International Airport Co. Ltd.(694)</t>
  </si>
  <si>
    <t>Morinaga Milk Industry Co. Ltd.(2264)</t>
  </si>
  <si>
    <t>American Woodmark Corp.(AMWD)</t>
  </si>
  <si>
    <t>Momenta Pharmaceuticals Inc.(MNTA)</t>
  </si>
  <si>
    <t>DNA Oyj(DNA)</t>
  </si>
  <si>
    <t>Hiroshima Bank Ltd.(8379)</t>
  </si>
  <si>
    <t>Shiga Bank Ltd.(8366)</t>
  </si>
  <si>
    <t>Perpetual Ltd.(PPT)</t>
  </si>
  <si>
    <t>Jafco Co. Ltd.(8595)</t>
  </si>
  <si>
    <t>Meritz Securities Co. Ltd.(008560)</t>
  </si>
  <si>
    <t>Carrizo Oil &amp; Gas Inc.(CRZO)</t>
  </si>
  <si>
    <t>Z Energy Ltd.(ZEL)</t>
  </si>
  <si>
    <t>MRC Global Inc.(MRC)</t>
  </si>
  <si>
    <t>OCI Co. Ltd.(010060)</t>
  </si>
  <si>
    <t>TriMas Corp.(TRS)</t>
  </si>
  <si>
    <t>Daeduck Electronics Co.(008060)</t>
  </si>
  <si>
    <t>Korean Air Lines Co. Ltd.(003490)</t>
  </si>
  <si>
    <t>Eurobank Ergasias SA(EUROB)</t>
  </si>
  <si>
    <t>First Commonwealth Financial Corp.(FCF)</t>
  </si>
  <si>
    <t>Highwealth Construction Corp.(2542)</t>
  </si>
  <si>
    <t>Wallenstam AB(WALL B)</t>
  </si>
  <si>
    <t>Savills plc(SVS)</t>
  </si>
  <si>
    <t>Northam Platinum Ltd.(NHM)</t>
  </si>
  <si>
    <t>Nichias Corp.(5393)</t>
  </si>
  <si>
    <t>AviChina Industry &amp; Technology Co. Ltd.(2357)</t>
  </si>
  <si>
    <t>Beijer Ref AB(BEIJ B)</t>
  </si>
  <si>
    <t>ICF International Inc.(ICFI)</t>
  </si>
  <si>
    <t>en-japan Inc.(4849)</t>
  </si>
  <si>
    <t>Toyoda Gosei Co. Ltd.(7282)</t>
  </si>
  <si>
    <t>Group 1 Automotive Inc.(GPI)</t>
  </si>
  <si>
    <t>Hawaiian Holdings Inc.(HA)</t>
  </si>
  <si>
    <t>Great Eagle Holdings Ltd.(41)</t>
  </si>
  <si>
    <t>KWG Group Holdings Ltd.(1813)</t>
  </si>
  <si>
    <t>Yuexiu Property Co. Ltd.(123)</t>
  </si>
  <si>
    <t>Hibernia REIT plc(HBRN)</t>
  </si>
  <si>
    <t>Argosy Property Ltd.(ARG)</t>
  </si>
  <si>
    <t>Instructure Inc.(INST)</t>
  </si>
  <si>
    <t>Chicony Electronics Co. Ltd.(2385)</t>
  </si>
  <si>
    <t>Mitsui Mining &amp; Smelting Co. Ltd.(5706)</t>
  </si>
  <si>
    <t>Stabilus SA(STM)</t>
  </si>
  <si>
    <t>COSCO SHIPPING Holdings Co. Ltd.(1919)</t>
  </si>
  <si>
    <t>Dali Foods Group Co. Ltd.(3799)</t>
  </si>
  <si>
    <t>Luye Pharma Group Ltd.(2186)</t>
  </si>
  <si>
    <t>Mediaset Espana Comunicacion SA(TL5)</t>
  </si>
  <si>
    <t>Ping An Bank Co. Ltd. Class A(000001)</t>
  </si>
  <si>
    <t>Kinsale Capital Group Inc.(KNSL)</t>
  </si>
  <si>
    <t>Acom Co. Ltd.(8572)</t>
  </si>
  <si>
    <t>NH Investment &amp; Securities Co. Ltd.(005940)</t>
  </si>
  <si>
    <t>Motor Oil Hellas Corinth Refineries SA(MOH)</t>
  </si>
  <si>
    <t>Lenzing AG(LNZ)</t>
  </si>
  <si>
    <t>Saracen Mineral Holdings Ltd.(SAR)</t>
  </si>
  <si>
    <t>Polyus PJSC GDR(PLZL)</t>
  </si>
  <si>
    <t>CRH plc(CRG)</t>
  </si>
  <si>
    <t>Haitian International Holdings Ltd.(1882)</t>
  </si>
  <si>
    <t>Thai Union Group PCL(TU)</t>
  </si>
  <si>
    <t>Oxford Industries Inc.(OXM)</t>
  </si>
  <si>
    <t>Miraca Holdings Inc.(4544)</t>
  </si>
  <si>
    <t>Sligro Food Group NV(SLIGR)</t>
  </si>
  <si>
    <t>Kyoritsu Maintenance Co. Ltd.(9616)</t>
  </si>
  <si>
    <t>Transmissora Alianca de Energia Eletrica SA(TAEE11)</t>
  </si>
  <si>
    <t>Sydbank A/S(SYDB)</t>
  </si>
  <si>
    <t>Siam Commercial Bank PCL(SCB-R)</t>
  </si>
  <si>
    <t>Qatar Insurance Co. SAQ(QATI)</t>
  </si>
  <si>
    <t>Kiwi Property Group Ltd.(KPG)</t>
  </si>
  <si>
    <t>Indra Sistemas SA(IDR)</t>
  </si>
  <si>
    <t>Archrock Inc.(AROC)</t>
  </si>
  <si>
    <t>Tronox Holdings plc Class A(TROX)</t>
  </si>
  <si>
    <t>Nine Dragons Paper Holdings Ltd.(2689)</t>
  </si>
  <si>
    <t>Koninklijke BAM Groep NV(BAMNB)</t>
  </si>
  <si>
    <t>Sinotruk Hong Kong Ltd.(3808)</t>
  </si>
  <si>
    <t>US Ecology Inc.(ECOL)</t>
  </si>
  <si>
    <t>TS Tech Co. Ltd.(7313)</t>
  </si>
  <si>
    <t>Freshpet Inc.(FRPT)</t>
  </si>
  <si>
    <t>PRADA SPA(1913)</t>
  </si>
  <si>
    <t>Healius Ltd.(HLS)</t>
  </si>
  <si>
    <t>Television Francaise 1(TFI)</t>
  </si>
  <si>
    <t>Service Stream Ltd.(SSM)</t>
  </si>
  <si>
    <t>REN - Redes Energeticas Nacionais SGPS SA(RENE)</t>
  </si>
  <si>
    <t>Heartland Financial USA Inc.(HTLF)</t>
  </si>
  <si>
    <t>First Interstate BancSystem Inc. Class A(FIBK)</t>
  </si>
  <si>
    <t>Pandox AB Class B(PNDX B)</t>
  </si>
  <si>
    <t>Hanwha Chemical Corp.(009830)</t>
  </si>
  <si>
    <t>Industrias Penoles SAB de CV(PE&amp;OLES*)</t>
  </si>
  <si>
    <t>China Oriental Group Co. Ltd.(581)</t>
  </si>
  <si>
    <t>Krones AG(KRN)</t>
  </si>
  <si>
    <t>Hub Group Inc. Class A(HUBG)</t>
  </si>
  <si>
    <t>Arcadis NV(ARCAD)</t>
  </si>
  <si>
    <t>Cardtronics plc Class A(CATM)</t>
  </si>
  <si>
    <t>Maruha Nichiro Corp.(1333)</t>
  </si>
  <si>
    <t>Rajesh Exports Ltd.(RAJESHEXPO)</t>
  </si>
  <si>
    <t>Atara Biotherapeutics Inc.(ATRA)</t>
  </si>
  <si>
    <t>EDP Renovaveis SA(EDPR)</t>
  </si>
  <si>
    <t>Seacoast Banking Corp. of Florida(SBCF)</t>
  </si>
  <si>
    <t>PennyMac Mortgage Investment Trust(PMT)</t>
  </si>
  <si>
    <t>Colony Credit Real Estate Inc.(CLNC)</t>
  </si>
  <si>
    <t>Kemira Oyj(KEMIRA)</t>
  </si>
  <si>
    <t>Hansol Chemical Co. Ltd.(014680)</t>
  </si>
  <si>
    <t>Aluminum Corp. of China Ltd.(2600)</t>
  </si>
  <si>
    <t>TA Chen Stainless Pipe(2027)</t>
  </si>
  <si>
    <t>Hill &amp; Smith Holdings plc(HILS)</t>
  </si>
  <si>
    <t>United Breweries Ltd.(UBL)</t>
  </si>
  <si>
    <t>Kimberly-Clark de Mexico SAB de CV Class A(KIMBERA)</t>
  </si>
  <si>
    <t>Universal Corp./VA(UVV)</t>
  </si>
  <si>
    <t>Iovance Biotherapeutics Inc.(IOVA)</t>
  </si>
  <si>
    <t>Bank Millennium SA(MIL)</t>
  </si>
  <si>
    <t>Shanghai Lujiazui Finance &amp; Trade Zone Development Co. Ltd. Class B(900932)</t>
  </si>
  <si>
    <t>Borr Drilling Ltd.(BDRILL)</t>
  </si>
  <si>
    <t>Nishimatsu Construction Co. Ltd.(1820)</t>
  </si>
  <si>
    <t>Air Transport Services Group Inc.(ATSG)</t>
  </si>
  <si>
    <t>Tenneco Inc. Class A(TEN)</t>
  </si>
  <si>
    <t>Scientific Games Corp.(SGMS)</t>
  </si>
  <si>
    <t>China Yangtze Power Co. Ltd. Class A(600900)</t>
  </si>
  <si>
    <t>China Aoyuan Group Ltd.(3883)</t>
  </si>
  <si>
    <t>Newmark Group Inc. Class A(NMRK)</t>
  </si>
  <si>
    <t>Industrial Logistics Properties Trust(ILPT)</t>
  </si>
  <si>
    <t>China Molybdenum Co. Ltd.(3993)</t>
  </si>
  <si>
    <t>US Silica Holdings Inc.(SLCA)</t>
  </si>
  <si>
    <t>Ibstock plc(IBST)</t>
  </si>
  <si>
    <t>BMC Stock Holdings Inc.(BMCH)</t>
  </si>
  <si>
    <t>Maeda Road Construction Co. Ltd.(1883)</t>
  </si>
  <si>
    <t>Sinopec Engineering Group Co. Ltd.(2386)</t>
  </si>
  <si>
    <t>Infomart Corp.(2492)</t>
  </si>
  <si>
    <t>Outsourcing Inc.(2427)</t>
  </si>
  <si>
    <t>Golden Agri-Resources Ltd.(E5H)</t>
  </si>
  <si>
    <t>LGI Homes Inc.(LGIH)</t>
  </si>
  <si>
    <t>Hyundai Home Shopping Network Corp.(057050)</t>
  </si>
  <si>
    <t>ANGI Homeservices Inc. Class A(ANGI)</t>
  </si>
  <si>
    <t>Office Depot Inc.(ODP)</t>
  </si>
  <si>
    <t>REC Ltd.(RECLTD)</t>
  </si>
  <si>
    <t>Hokuhoku Financial Group Inc.(8377)</t>
  </si>
  <si>
    <t>SBI Life Insurance Co. Ltd.(SBILIFE)</t>
  </si>
  <si>
    <t>Shenzhen Investment Ltd.(604)</t>
  </si>
  <si>
    <t>Eurocommercial Properties NV(ECMPA)</t>
  </si>
  <si>
    <t>PRA Group Inc.(PRAA)</t>
  </si>
  <si>
    <t>NEXTDC Ltd.(NXT)</t>
  </si>
  <si>
    <t>Toda Corp.(1860)</t>
  </si>
  <si>
    <t>Unimicron Technology Corp.(3037)</t>
  </si>
  <si>
    <t>Cia de Distribucion Integral Logista Holdings SA(LOG)</t>
  </si>
  <si>
    <t>SIG plc(SHI)</t>
  </si>
  <si>
    <t>Merida Industry Co. Ltd.(9914)</t>
  </si>
  <si>
    <t>Duskin Co. Ltd.(4665)</t>
  </si>
  <si>
    <t>Jubilant Foodworks Ltd.(JUBLFOOD)</t>
  </si>
  <si>
    <t>Summit Hotel Properties Inc.(INN)</t>
  </si>
  <si>
    <t>IIFL Holdings Ltd.(IIFL)</t>
  </si>
  <si>
    <t>PennyMac Financial Services Inc.(PFSI)</t>
  </si>
  <si>
    <t>ForeScout Technologies Inc.(FSCT)</t>
  </si>
  <si>
    <t>Arcosa Inc.(ACA)</t>
  </si>
  <si>
    <t>Simplo Technology Co. Ltd.(6121)</t>
  </si>
  <si>
    <t>Corcept Therapeutics Inc.(CORT)</t>
  </si>
  <si>
    <t>LOTTE Himart Co. Ltd.(071840)</t>
  </si>
  <si>
    <t>Dalata Hotel Group plc(DHG)</t>
  </si>
  <si>
    <t>Huaneng Renewables Corp. Ltd.(958)</t>
  </si>
  <si>
    <t>Winbond Electronics Corp.(2344)</t>
  </si>
  <si>
    <t>Maeda Corp.(1824)</t>
  </si>
  <si>
    <t>Radiant Opto-Electronics Corp.(6176)</t>
  </si>
  <si>
    <t>Bharat Forge Ltd.(BHARATFORG)</t>
  </si>
  <si>
    <t>H2O Retailing Corp.(8242)</t>
  </si>
  <si>
    <t>InvoCare Ltd.(IVC)</t>
  </si>
  <si>
    <t>Navitas Ltd.(NVT)</t>
  </si>
  <si>
    <t>Viad Corp.(VVI)</t>
  </si>
  <si>
    <t>Elior Group SA(ELIOR)</t>
  </si>
  <si>
    <t>Boubyan Bank KSCP(BOUBYAN)</t>
  </si>
  <si>
    <t>St. Galler Kantonalbank AG(SGKN)</t>
  </si>
  <si>
    <t>Immobiliare Grande Distribuzione SIIQ SPA(IGD)</t>
  </si>
  <si>
    <t>Office Properties Income Trust(OPI)</t>
  </si>
  <si>
    <t>Embraer SA ADR(ERJ)</t>
  </si>
  <si>
    <t>Tsubakimoto Chain Co.(6371)</t>
  </si>
  <si>
    <t>Suedzucker AG(SZU)</t>
  </si>
  <si>
    <t>Inter Parfums Inc.(IPAR)</t>
  </si>
  <si>
    <t>Varex Imaging Corp.(VREX)</t>
  </si>
  <si>
    <t>Galapagos NV(GLPG)</t>
  </si>
  <si>
    <t>Thanachart Capital PCL(TCAP)</t>
  </si>
  <si>
    <t>Societa Cattolica di Assicurazioni SC(CASS)</t>
  </si>
  <si>
    <t>Employers Holdings Inc.(EIG)</t>
  </si>
  <si>
    <t>Charter Hall Retail REIT(CQR)</t>
  </si>
  <si>
    <t>Anima Holding SPA(ANIM)</t>
  </si>
  <si>
    <t>Melexis NV(MELE)</t>
  </si>
  <si>
    <t>BYD Electronic International Co. Ltd.(285)</t>
  </si>
  <si>
    <t>United Energy Group Ltd.(467)</t>
  </si>
  <si>
    <t>Oil States International Inc.(OIS)</t>
  </si>
  <si>
    <t>SemGroup Corp. Class A(SEMG)</t>
  </si>
  <si>
    <t>Ultra Electronics Holdings plc(ULE)</t>
  </si>
  <si>
    <t>Glory Ltd.(6457)</t>
  </si>
  <si>
    <t>China Traditional Chinese Medicine Holdings Co. Ltd.(570)</t>
  </si>
  <si>
    <t>Cosmos Pharmaceutical Corp.(3349)</t>
  </si>
  <si>
    <t>Signet Jewelers Ltd.(SIG)</t>
  </si>
  <si>
    <t>San-In Godo Bank Ltd.(8381)</t>
  </si>
  <si>
    <t>TMB Bank PCL(TMB-F)</t>
  </si>
  <si>
    <t>S&amp;T Bancorp Inc.(STBA)</t>
  </si>
  <si>
    <t>UNIQA Insurance Group AG(UQA)</t>
  </si>
  <si>
    <t>MMI Holdings Ltd./South Africa(MMI)</t>
  </si>
  <si>
    <t>JM AB(JM)</t>
  </si>
  <si>
    <t>FormFactor Inc.(FORM)</t>
  </si>
  <si>
    <t>Gibraltar Industries Inc.(ROCK)</t>
  </si>
  <si>
    <t>Bapcor Ltd.(BAP)</t>
  </si>
  <si>
    <t>Glu Mobile Inc.(GLUU)</t>
  </si>
  <si>
    <t>Glenmark Pharmaceuticals Ltd.(GLENMARK)</t>
  </si>
  <si>
    <t>Megacable Holdings SAB de CV(MEGACPO)</t>
  </si>
  <si>
    <t>Hana Tour Service Inc.(039130)</t>
  </si>
  <si>
    <t>DGB Financial Group Inc.(139130)</t>
  </si>
  <si>
    <t>FGL Holdings(FG)</t>
  </si>
  <si>
    <t>DWS Group GmbH &amp; Co. KGaA(DWS)</t>
  </si>
  <si>
    <t>Phison Electronics Corp.(8299)</t>
  </si>
  <si>
    <t>Macronix International(2337)</t>
  </si>
  <si>
    <t>Wacker Chemie AG(WCH)</t>
  </si>
  <si>
    <t>Indah Kiat Pulp &amp; Paper Corp. Tbk PT(INKP)</t>
  </si>
  <si>
    <t>Hazama Ando Corp.(1719)</t>
  </si>
  <si>
    <t>Verra Mobility Corp.(VRRM)</t>
  </si>
  <si>
    <t>DMG Mori Co. Ltd.(6141)</t>
  </si>
  <si>
    <t>Hitachi Transport System Ltd.(9086)</t>
  </si>
  <si>
    <t>Sapporo Holdings Ltd.(2501)</t>
  </si>
  <si>
    <t>Matthews International Corp. Class A(MATW)</t>
  </si>
  <si>
    <t>Autobacs Seven Co. Ltd.(9832)</t>
  </si>
  <si>
    <t>Iwatani Corp.(8088)</t>
  </si>
  <si>
    <t>Alior Bank SA(ALR)</t>
  </si>
  <si>
    <t>Regional SAB de CV(RA)</t>
  </si>
  <si>
    <t>Kiatnakin Bank PCL(KKP-F)</t>
  </si>
  <si>
    <t>Corp. Financiera Alba SA(ALB)</t>
  </si>
  <si>
    <t>Huatai Securities Co. Ltd. Class A(601688)</t>
  </si>
  <si>
    <t>ePlus Inc.(PLUS)</t>
  </si>
  <si>
    <t>Boingo Wireless Inc.(WIFI)</t>
  </si>
  <si>
    <t>Sumitomo Bakelite Co. Ltd.(4203)</t>
  </si>
  <si>
    <t>Inner Mongolia Yitai Coal Co. Ltd. Class B(900948)</t>
  </si>
  <si>
    <t>TTM Technologies Inc.(TTMI)</t>
  </si>
  <si>
    <t>Nilfisk Holding A/S(NLFSK)</t>
  </si>
  <si>
    <t>China First Capital Group Ltd.(1269)</t>
  </si>
  <si>
    <t>Technogym SPA(TGYM)</t>
  </si>
  <si>
    <t>Formosa Taffeta Co. Ltd.(1434)</t>
  </si>
  <si>
    <t>Turk Hava Yollari AO(THYAO)</t>
  </si>
  <si>
    <t>Bezeq The Israeli Telecommunication Corp. Ltd.(BEZQ)</t>
  </si>
  <si>
    <t>Park National Corp.(PRK)</t>
  </si>
  <si>
    <t>Banco del Bajio SA(BBAJIOO)</t>
  </si>
  <si>
    <t>Altair Engineering Inc. Class A(ALTR)</t>
  </si>
  <si>
    <t>Rambus Inc.(RMBS)</t>
  </si>
  <si>
    <t>Taeyoung Engineering &amp; Construction Co. Ltd.(009410)</t>
  </si>
  <si>
    <t>Benchmark Electronics Inc.(BHE)</t>
  </si>
  <si>
    <t>Mochida Pharmaceutical Co. Ltd.(4534)</t>
  </si>
  <si>
    <t>Guess? Inc.(GES)</t>
  </si>
  <si>
    <t>Safety Insurance Group Inc.(SAFT)</t>
  </si>
  <si>
    <t>Sino-Ocean Group Holding Ltd.(3377)</t>
  </si>
  <si>
    <t>Megaworld Corp.(MEG)</t>
  </si>
  <si>
    <t>Focus Financial Partners Inc. Class A(FOCS)</t>
  </si>
  <si>
    <t>PhosAgro PJSC GDR(PHOR)</t>
  </si>
  <si>
    <t>SSAB AB Class B(SSAB B)</t>
  </si>
  <si>
    <t>Buzzi Unicem SPA(BZUR)</t>
  </si>
  <si>
    <t>Greif Inc. Class A(GEF)</t>
  </si>
  <si>
    <t>Nisshinbo Holdings Inc.(3105)</t>
  </si>
  <si>
    <t>Morgan Advanced Materials plc(MGAM)</t>
  </si>
  <si>
    <t>AZZ Inc.(AZZ)</t>
  </si>
  <si>
    <t>Topcon Corp.(7732)</t>
  </si>
  <si>
    <t>Inficon Holding AG(IFCN)</t>
  </si>
  <si>
    <t>Container Corp. Of India Ltd.(CONCOR)</t>
  </si>
  <si>
    <t>Fukuyama Transporting Co. Ltd.(9075)</t>
  </si>
  <si>
    <t>Bonava AB(BONAV B)</t>
  </si>
  <si>
    <t>EBOS Group Ltd.(EBO)</t>
  </si>
  <si>
    <t>Mani Inc.(7730)</t>
  </si>
  <si>
    <t>Lions Gate Entertainment Corp. Class B(LGF.B)</t>
  </si>
  <si>
    <t>EDP - Energias do Brasil SA(ENBR3)</t>
  </si>
  <si>
    <t>First International Bank Of Israel Ltd.(FIBI)</t>
  </si>
  <si>
    <t>Kearny Financial Corp./MD(KRNY)</t>
  </si>
  <si>
    <t>Nishi-Nippon Financial Holdings Inc.(7189)</t>
  </si>
  <si>
    <t>Monmouth Real Estate Investment Corp.(MNR)</t>
  </si>
  <si>
    <t>MicroStrategy Inc. Class A(MSTR)</t>
  </si>
  <si>
    <t>Xperi Corp.(XPER)</t>
  </si>
  <si>
    <t>Taiyo Holdings Co. Ltd.(4626)</t>
  </si>
  <si>
    <t>Hutchison Port Holdings Trust(NS8U)</t>
  </si>
  <si>
    <t>Benefit One Inc.(2412)</t>
  </si>
  <si>
    <t>Kumho Tire Co. Inc.(073240)</t>
  </si>
  <si>
    <t>Toyobo Co. Ltd.(3101)</t>
  </si>
  <si>
    <t>Inogen Inc.(INGN)</t>
  </si>
  <si>
    <t>Editas Medicine Inc.(EDIT)</t>
  </si>
  <si>
    <t>At Home Group Inc.(HOME)</t>
  </si>
  <si>
    <t>EW Scripps Co. Class A(SSP)</t>
  </si>
  <si>
    <t>Sushiro Global Holdings Ltd.(3563)</t>
  </si>
  <si>
    <t>Herc Holdings Inc.(HRI)</t>
  </si>
  <si>
    <t>YTL Corp. Bhd.(YTL)</t>
  </si>
  <si>
    <t>Bancolombia SA Preference Shares(PFBCOLOM)</t>
  </si>
  <si>
    <t>Tanger Factory Outlet Centers Inc.(SKT)</t>
  </si>
  <si>
    <t>CDL Hospitality Trusts(J85)</t>
  </si>
  <si>
    <t>HKBN Ltd.(1310)</t>
  </si>
  <si>
    <t>Cosmo Energy Holdings Co. Ltd.(5021)</t>
  </si>
  <si>
    <t>Braskem SA Preference Shares(BRKM5)</t>
  </si>
  <si>
    <t>CSR Ltd.(CSR)</t>
  </si>
  <si>
    <t>Kyudenko Corp.(1959)</t>
  </si>
  <si>
    <t>CJ Corp.(001040)</t>
  </si>
  <si>
    <t>USANA Health Sciences Inc.(USNA)</t>
  </si>
  <si>
    <t>GOME Retail Holdings Ltd.(493)</t>
  </si>
  <si>
    <t>OceanFirst Financial Corp.(OCFC)</t>
  </si>
  <si>
    <t>Porto Seguro SA(PSSA3)</t>
  </si>
  <si>
    <t>eHealth Inc.(EHTH)</t>
  </si>
  <si>
    <t>IntegraFin Holdings plc(IHP)</t>
  </si>
  <si>
    <t>Brewin Dolphin Holdings plc(BRW)</t>
  </si>
  <si>
    <t>Chipbond Technology Corp.(6147)</t>
  </si>
  <si>
    <t>Gulfport Energy Corp.(GPOR)</t>
  </si>
  <si>
    <t>Zeon Corp.(4205)</t>
  </si>
  <si>
    <t>JELD-WEN Holding Inc.(JELD)</t>
  </si>
  <si>
    <t>HDC Hyundai Development Co-Engineering &amp; Construction(294870)</t>
  </si>
  <si>
    <t>Teco Electric and Machinery Co. Ltd.(1504)</t>
  </si>
  <si>
    <t>Prosegur Cia de Seguridad SA(PSG)</t>
  </si>
  <si>
    <t>Greencore Group plc(GNC)</t>
  </si>
  <si>
    <t>MGP Ingredients Inc.(MGPI)</t>
  </si>
  <si>
    <t>Atrion Corp.(ATRI)</t>
  </si>
  <si>
    <t>Medipost Co. Ltd.(078160)</t>
  </si>
  <si>
    <t>El Puerto de Liverpool SAB de CV(LIVEPOLC-1)</t>
  </si>
  <si>
    <t>Go-Ahead Group plc(GOG)</t>
  </si>
  <si>
    <t>City Holding Co.(CHCO)</t>
  </si>
  <si>
    <t>Oita Bank Ltd.(8392)</t>
  </si>
  <si>
    <t>Easterly Government Properties Inc.(DEA)</t>
  </si>
  <si>
    <t>Montea C.V.A(MONT)</t>
  </si>
  <si>
    <t>Hyprop Investments Ltd.(HYP)</t>
  </si>
  <si>
    <t>Ares Management Corp.(ARES)</t>
  </si>
  <si>
    <t>Bajaj Holdings &amp; Investment Ltd.(BAJAJHLDNG)</t>
  </si>
  <si>
    <t>Denbury Resources Inc.(DNR)</t>
  </si>
  <si>
    <t>Delek Group Ltd.(DLEKG)</t>
  </si>
  <si>
    <t>CGG SA(CGG)</t>
  </si>
  <si>
    <t>Adelaide Brighton Ltd.(ABC)</t>
  </si>
  <si>
    <t>Inaba Denki Sangyo Co. Ltd.(9934)</t>
  </si>
  <si>
    <t>SSY Group Ltd.(2005)</t>
  </si>
  <si>
    <t>Turkiye Is Bankasi AS(ISCTR)</t>
  </si>
  <si>
    <t>Tokyo Ohka Kogyo Co. Ltd.(4186)</t>
  </si>
  <si>
    <t>AIXTRON SE(AIXA)</t>
  </si>
  <si>
    <t>Centamin plc(CEY)</t>
  </si>
  <si>
    <t>Atkore International Group Inc.(ATKR)</t>
  </si>
  <si>
    <t>Befesa SA(BFSA)</t>
  </si>
  <si>
    <t>Cal-Maine Foods Inc.(CALM)</t>
  </si>
  <si>
    <t>TCI Co. Ltd.(8436)</t>
  </si>
  <si>
    <t>Fitbit Inc. Class A(FIT)</t>
  </si>
  <si>
    <t>Cardiovascular Systems Inc.(CSII)</t>
  </si>
  <si>
    <t>China Power International Development Ltd.(2380)</t>
  </si>
  <si>
    <t>Clearway Energy Inc.(CWEN)</t>
  </si>
  <si>
    <t>China Merchants Securities Co. Ltd.(6099)</t>
  </si>
  <si>
    <t>CSC Financial Co. Ltd. Class A(601066)</t>
  </si>
  <si>
    <t>Ecopro Co. Ltd.(086520)</t>
  </si>
  <si>
    <t>Navigator Co. SA(NVG)</t>
  </si>
  <si>
    <t>Totetsu Kogyo Co. Ltd.(1835)</t>
  </si>
  <si>
    <t>Penta-Ocean Construction Co. Ltd.(1893)</t>
  </si>
  <si>
    <t>Monadelphous Group Ltd.(MND)</t>
  </si>
  <si>
    <t>bpost SA(BPOST)</t>
  </si>
  <si>
    <t>Oesterreichische Post AG(POST)</t>
  </si>
  <si>
    <t>Puma Biotechnology Inc.(PBYI)</t>
  </si>
  <si>
    <t>Biocon Ltd.(BIOCON)</t>
  </si>
  <si>
    <t>Sam Chun Dang Pharm Co. Ltd.(000250)</t>
  </si>
  <si>
    <t>Rent-A-Center Inc./TX(RCII)</t>
  </si>
  <si>
    <t>Heiwa Corp.(6412)</t>
  </si>
  <si>
    <t>Haidilao International Holding Ltd.(6862)</t>
  </si>
  <si>
    <t>Glow Energy PCL (Foreign)(null)</t>
  </si>
  <si>
    <t>Kansai Mirai Financial Group Inc.(7321)</t>
  </si>
  <si>
    <t>Veritex Holdings Inc.(VBTX)</t>
  </si>
  <si>
    <t>Smartsheet Inc. Class A(SMAR)</t>
  </si>
  <si>
    <t>Synaptics Inc.(SYNA)</t>
  </si>
  <si>
    <t>Materion Corp.(MTRN)</t>
  </si>
  <si>
    <t>Elementis plc(ELM)</t>
  </si>
  <si>
    <t>Patrick Industries Inc.(PATK)</t>
  </si>
  <si>
    <t>Mytilineos Holdings SA(MYTIL)</t>
  </si>
  <si>
    <t>Greenbrier Cos. Inc.(GBX)</t>
  </si>
  <si>
    <t>Interroll Holding AG(INRN)</t>
  </si>
  <si>
    <t>SITC International Holdings Co. Ltd.(1308)</t>
  </si>
  <si>
    <t>Edgewell Personal Care Co.(EPC)</t>
  </si>
  <si>
    <t>Colgate-Palmolive India Ltd.(COLPAL)</t>
  </si>
  <si>
    <t>British American Tobacco Malaysia Bhd.(BAT)</t>
  </si>
  <si>
    <t>Esperion Therapeutics Inc.(ESPR)</t>
  </si>
  <si>
    <t>Hyundai Department Store Co. Ltd.(069960)</t>
  </si>
  <si>
    <t>K12 Inc.(LRN)</t>
  </si>
  <si>
    <t>CECONOMY AG(CEC)</t>
  </si>
  <si>
    <t>Hertz Global Holdings Inc.(HTZ)</t>
  </si>
  <si>
    <t>Metro Pacific Investments Corp.(MPI)</t>
  </si>
  <si>
    <t>China Vanke Co. Ltd. Class A(000002)</t>
  </si>
  <si>
    <t>New York Mortgage Trust Inc.(NYMT)</t>
  </si>
  <si>
    <t>Antero Resources Corp.(AR)</t>
  </si>
  <si>
    <t>Hunting plc(HTG)</t>
  </si>
  <si>
    <t>African Rainbow Minerals Ltd.(ARI)</t>
  </si>
  <si>
    <t>AAR Corp.(AIR)</t>
  </si>
  <si>
    <t>Lintec Corp.(7966)</t>
  </si>
  <si>
    <t>Encore Wire Corp.(WIRE)</t>
  </si>
  <si>
    <t>Hanwa Co. Ltd.(8078)</t>
  </si>
  <si>
    <t>Kokuyo Co. Ltd.(7984)</t>
  </si>
  <si>
    <t>Sangetsu Corp.(8130)</t>
  </si>
  <si>
    <t>Crest Nicholson Holdings plc(CRST)</t>
  </si>
  <si>
    <t>Tivity Health Inc.(TVTY)</t>
  </si>
  <si>
    <t>Cia Brasileira de Distribuicao ADR(CBD)</t>
  </si>
  <si>
    <t>Luk Fook Holdings International Ltd.(590)</t>
  </si>
  <si>
    <t>S&amp;T AG(SANT)</t>
  </si>
  <si>
    <t>Norwegian Finans Holding ASA(NOFI)</t>
  </si>
  <si>
    <t>James River Group Holdings Ltd.(JRVR)</t>
  </si>
  <si>
    <t>Bandwidth Inc. Class A(BAND)</t>
  </si>
  <si>
    <t>Kraton Corp.(KRA)</t>
  </si>
  <si>
    <t>Toyo Ink SC Holdings Co. Ltd.(4634)</t>
  </si>
  <si>
    <t>Lee &amp; Man Paper Manufacturing Ltd.(2314)</t>
  </si>
  <si>
    <t>Kandenko Co. Ltd.(1942)</t>
  </si>
  <si>
    <t>Sumitomo Mitsui Construction Co. Ltd.(1821)</t>
  </si>
  <si>
    <t>Daetwyler Holding AG(DAE)</t>
  </si>
  <si>
    <t>Aboitiz Equity Ventures Inc.(AEV)</t>
  </si>
  <si>
    <t>Deutz AG(DEZ)</t>
  </si>
  <si>
    <t>Seaboard Corp.(SEB)</t>
  </si>
  <si>
    <t>China Eastern Airlines Corp. Ltd.(670)</t>
  </si>
  <si>
    <t>Cia Energetica de Sao Paulo Preference Shares(CESP6)</t>
  </si>
  <si>
    <t>AU Small Finance Bank Ltd.(AUBANK)</t>
  </si>
  <si>
    <t>Hong Leong Financial Group Bhd.(HLFG)</t>
  </si>
  <si>
    <t>Piper Jaffray Cos.(PJC)</t>
  </si>
  <si>
    <t>Reply SPA(REY)</t>
  </si>
  <si>
    <t>Huber + Suhner AG(HUBN)</t>
  </si>
  <si>
    <t>Cairn Energy plc(CNE)</t>
  </si>
  <si>
    <t>Helix Energy Solutions Group Inc.(HLX)</t>
  </si>
  <si>
    <t>Nikkon Holdings Co. Ltd.(9072)</t>
  </si>
  <si>
    <t>Huron Consulting Group Inc.(HURN)</t>
  </si>
  <si>
    <t>C&amp;C Group plc(GCC)</t>
  </si>
  <si>
    <t>J D Wetherspoon plc(JDW)</t>
  </si>
  <si>
    <t>EI Group plc(EIG)</t>
  </si>
  <si>
    <t>Alinma Bank(1150)</t>
  </si>
  <si>
    <t>Bank of China Ltd. Class A(601988)</t>
  </si>
  <si>
    <t>Neenah Inc.(NP)</t>
  </si>
  <si>
    <t>Alliance Global Group Inc.(AGI)</t>
  </si>
  <si>
    <t>Tadano Ltd.(6395)</t>
  </si>
  <si>
    <t>Atlas Air Worldwide Holdings Inc.(AAWW)</t>
  </si>
  <si>
    <t>Austevoll Seafood ASA(AUSS)</t>
  </si>
  <si>
    <t>Paramount Bed Holdings Co. Ltd.(7817)</t>
  </si>
  <si>
    <t>Cadila Healthcare Ltd.(CADILAHC)</t>
  </si>
  <si>
    <t>Jiangsu Hengrui Medicine Co. Ltd. Class A(600276)</t>
  </si>
  <si>
    <t>Toho Holdings Co. Ltd.(8129)</t>
  </si>
  <si>
    <t>Future Retail Ltd.(FRETAIL)</t>
  </si>
  <si>
    <t>Liberty Media Corp-Liberty Formula One Class A(FWONA)</t>
  </si>
  <si>
    <t>Papa John's International Inc.(PZZA)</t>
  </si>
  <si>
    <t>Alsea SAB de CV(ALSEA*)</t>
  </si>
  <si>
    <t>Telekom Austria AG Class A(TKA)</t>
  </si>
  <si>
    <t>Berkshire Hills Bancorp Inc.(BHLB)</t>
  </si>
  <si>
    <t>BWP Trust(BWP)</t>
  </si>
  <si>
    <t>Oracle Financial Services Software Ltd.(OFSS)</t>
  </si>
  <si>
    <t>Ebix Inc.(EBIX)</t>
  </si>
  <si>
    <t>Kureha Corp.(4023)</t>
  </si>
  <si>
    <t>Boise Cascade Co.(BCC)</t>
  </si>
  <si>
    <t>Senior plc(SNR)</t>
  </si>
  <si>
    <t>Kongsberg Gruppen ASA(KOG)</t>
  </si>
  <si>
    <t>Schweiter Technologies AG(SWTQ)</t>
  </si>
  <si>
    <t>Burckhardt Compression Holding AG(BCHN)</t>
  </si>
  <si>
    <t>Mekonomen AB(MEKO)</t>
  </si>
  <si>
    <t>Aryzta AG(ARYN)</t>
  </si>
  <si>
    <t>Cavco Industries Inc.(CVCO)</t>
  </si>
  <si>
    <t>Odontoprev SA(ODPV3)</t>
  </si>
  <si>
    <t>Aboitiz Power Corp.(AP)</t>
  </si>
  <si>
    <t>Alliance Bank Malaysia Bhd.(ABMB)</t>
  </si>
  <si>
    <t>China Reinsurance Group Corp.(1508)</t>
  </si>
  <si>
    <t>Nyfosa AB(NYF)</t>
  </si>
  <si>
    <t>Cohen &amp; Steers Inc.(CNS)</t>
  </si>
  <si>
    <t>Grupo de Inversiones Suramericana SA Preference Shares(PFGRUPSURA)</t>
  </si>
  <si>
    <t>WiseTech Global Ltd.(WTC)</t>
  </si>
  <si>
    <t>Benefitfocus Inc.(BNFT)</t>
  </si>
  <si>
    <t>Magnitogorsk Iron &amp; Steel Works PJSC(MAGN)</t>
  </si>
  <si>
    <t>Outokumpu Oyj(OUT1V)</t>
  </si>
  <si>
    <t>Iriso Electronics Co. Ltd.(6908)</t>
  </si>
  <si>
    <t>ABB India Ltd.(ABB)</t>
  </si>
  <si>
    <t>Sykes Enterprises Inc.(SYKE)</t>
  </si>
  <si>
    <t>GlaxoSmithKline Consumer Healthcare Ltd.(GSKCONS)</t>
  </si>
  <si>
    <t>Shufersal Ltd.(SAE)</t>
  </si>
  <si>
    <t>Hutchison Telecommunications Hong Kong Holdings Ltd.(215)</t>
  </si>
  <si>
    <t>Sandy Spring Bancorp Inc.(SASR)</t>
  </si>
  <si>
    <t>Vienna Insurance Group AG Wiener Versicherung Gruppe(VIG)</t>
  </si>
  <si>
    <t>AMERISAFE Inc.(AMSF)</t>
  </si>
  <si>
    <t>Klovern AB(KLOV B)</t>
  </si>
  <si>
    <t>Goodman Property Trust(GMT)</t>
  </si>
  <si>
    <t>Intu Properties plc(INTU)</t>
  </si>
  <si>
    <t>NSI NV(NSI)</t>
  </si>
  <si>
    <t>Haci Omer Sabanci Holding AS (Bearer)(SAHOL)</t>
  </si>
  <si>
    <t>Cia Siderurgica Nacional SA(CSNA3)</t>
  </si>
  <si>
    <t>Salzgitter AG(SZG)</t>
  </si>
  <si>
    <t>St. Barbara Ltd.(SBM)</t>
  </si>
  <si>
    <t>Takasago Thermal Engineering Co. Ltd.(1969)</t>
  </si>
  <si>
    <t>China Railway Signal &amp; Communication Corp. Ltd.(3969)</t>
  </si>
  <si>
    <t>Societa Iniziative Autostradali e Servizi SPA(SIS)</t>
  </si>
  <si>
    <t>Olam International Ltd.(O32)</t>
  </si>
  <si>
    <t>Skyline Champion Corp.(SKY)</t>
  </si>
  <si>
    <t>Makalot Industrial Co. Ltd.(1477)</t>
  </si>
  <si>
    <t>Mandom Corp.(4917)</t>
  </si>
  <si>
    <t>Japan Lifeline Co. Ltd.(7575)</t>
  </si>
  <si>
    <t>AtriCure Inc.(ATRC)</t>
  </si>
  <si>
    <t>Shimachu Co. Ltd.(8184)</t>
  </si>
  <si>
    <t>Daily Mail &amp; General Trust plc(DMGT)</t>
  </si>
  <si>
    <t>Eva Airways Corp.(2618)</t>
  </si>
  <si>
    <t>Denny's Corp.(DENN)</t>
  </si>
  <si>
    <t>National Bank of Greece SA(ETE)</t>
  </si>
  <si>
    <t>Tompkins Financial Corp.(TMP)</t>
  </si>
  <si>
    <t>Alm Brand A/S(ALMB)</t>
  </si>
  <si>
    <t>Coface SA(COFA)</t>
  </si>
  <si>
    <t>ZhongAn Online P&amp;C Insurance Co. Ltd.(6060)</t>
  </si>
  <si>
    <t>Schweitzer-Mauduit International Inc.(SWM)</t>
  </si>
  <si>
    <t>NMDC Ltd.(NMDC)</t>
  </si>
  <si>
    <t>Shanghai Industrial Holdings Ltd.(363)</t>
  </si>
  <si>
    <t>Pfeiffer Vacuum Technology AG(PFV)</t>
  </si>
  <si>
    <t>Hanwha Corp.(000880)</t>
  </si>
  <si>
    <t>Anhui Gujing Distillery Co. Ltd. Class B(200596)</t>
  </si>
  <si>
    <t>Ariake Japan Co. Ltd.(2815)</t>
  </si>
  <si>
    <t>CryoLife Inc.(CRY)</t>
  </si>
  <si>
    <t>Autogrill SPA(AGL)</t>
  </si>
  <si>
    <t>BTS Rail Mass Transit Growth Infrastructure Fund(BTSGIF-F)</t>
  </si>
  <si>
    <t>Hokkaido Electric Power Co. Inc.(9509)</t>
  </si>
  <si>
    <t>Hokuriku Electric Power Co.(9505)</t>
  </si>
  <si>
    <t>First Busey Corp.(BUSE)</t>
  </si>
  <si>
    <t>Pakuwon Jati Tbk PT(PWON)</t>
  </si>
  <si>
    <t>Manulife US REIT(BTOU)</t>
  </si>
  <si>
    <t>Grupo Aval Acciones y Valores Preference Shares(PFAVAL)</t>
  </si>
  <si>
    <t>HBM Healthcare Investments AG(HBMN)</t>
  </si>
  <si>
    <t>Meritz Fire &amp; Marine Insurance Co. Ltd.(000060)</t>
  </si>
  <si>
    <t>NIC Inc.(EGOV)</t>
  </si>
  <si>
    <t>Cray Inc.(CRAY)</t>
  </si>
  <si>
    <t>Schoeller-Bleckmann Oilfield Equipment AG(SBO)</t>
  </si>
  <si>
    <t>Nordex SE(NDX1)</t>
  </si>
  <si>
    <t>Nufarm Ltd./Australia(NUF)</t>
  </si>
  <si>
    <t>ACC Ltd.(ACC)</t>
  </si>
  <si>
    <t>Installed Building Products Inc.(IBP)</t>
  </si>
  <si>
    <t>Nippo Corp.(1881)</t>
  </si>
  <si>
    <t>Daewoo Shipbuilding &amp; Marine Engineering Co. Ltd.(042660)</t>
  </si>
  <si>
    <t>Fujitec Co. Ltd.(6406)</t>
  </si>
  <si>
    <t>Hyundai Elevator Co. Ltd.(017800)</t>
  </si>
  <si>
    <t>Kawasaki Kisen Kaisha Ltd.(9107)</t>
  </si>
  <si>
    <t>San Miguel Corp.(SMC)</t>
  </si>
  <si>
    <t>Uni-President China Holdings Ltd.(220)</t>
  </si>
  <si>
    <t>Sihuan Pharmaceutical Holdings Group Ltd.(460)</t>
  </si>
  <si>
    <t>Torrent Pharmaceuticals Ltd.(TORNTPHARM)</t>
  </si>
  <si>
    <t>Caleres Inc.(CAL)</t>
  </si>
  <si>
    <t>Irish Continental Group plc(IR5B)</t>
  </si>
  <si>
    <t>Befimmo SA(BEFB)</t>
  </si>
  <si>
    <t>Getty Realty Corp.(GTY)</t>
  </si>
  <si>
    <t>Kenedix Inc.(4321)</t>
  </si>
  <si>
    <t>Samsung Card Co. Ltd.(029780)</t>
  </si>
  <si>
    <t>Koei Tecmo Holdings Co. Ltd.(3635)</t>
  </si>
  <si>
    <t>Tokyo Seimitsu Co. Ltd.(7729)</t>
  </si>
  <si>
    <t>California Resources Corp.(CRC)</t>
  </si>
  <si>
    <t>Adaro Energy Tbk PT(ADRO)</t>
  </si>
  <si>
    <t>China State Construction Engineering Corp. Ltd. Class A(601668)</t>
  </si>
  <si>
    <t>Veidekke ASA(VEI)</t>
  </si>
  <si>
    <t>Tennant Co.(TNC)</t>
  </si>
  <si>
    <t>Milacron Holdings Corp.(MCRN)</t>
  </si>
  <si>
    <t>Aircastle Ltd.(AYR)</t>
  </si>
  <si>
    <t>Fuyao Glass Industry Group Co. Ltd. Class A(600660)</t>
  </si>
  <si>
    <t>Fresh Del Monte Produce Inc.(FDP)</t>
  </si>
  <si>
    <t>Cairn Homes plc(C5H)</t>
  </si>
  <si>
    <t>GungHo Online Entertainment Inc.(3765)</t>
  </si>
  <si>
    <t>Brunello Cucinelli SPA(BC)</t>
  </si>
  <si>
    <t>As One Corp.(7476)</t>
  </si>
  <si>
    <t>Stitch Fix Inc. Class A(SFIX)</t>
  </si>
  <si>
    <t>Dunelm Group plc(DNLM)</t>
  </si>
  <si>
    <t>Career Education Corp.(CECO)</t>
  </si>
  <si>
    <t>Michaels Cos. Inc.(MIK)</t>
  </si>
  <si>
    <t>Melia Hotels International SA(MEL)</t>
  </si>
  <si>
    <t>Heritage Financial Corp./WA(HFWA)</t>
  </si>
  <si>
    <t>Lakeland Financial Corp.(LKFN)</t>
  </si>
  <si>
    <t>Awa Bank Ltd.(8388)</t>
  </si>
  <si>
    <t>Brookline Bancorp Inc.(BRKL)</t>
  </si>
  <si>
    <t>Ascendas India Trust(CY6U)</t>
  </si>
  <si>
    <t>Ruentex Development Co. Ltd.(9945)</t>
  </si>
  <si>
    <t>American Finance Trust Inc.(AFIN)</t>
  </si>
  <si>
    <t>Cision Ltd.(CISN)</t>
  </si>
  <si>
    <t>MMG Ltd.(1208)</t>
  </si>
  <si>
    <t>Shougang Fushan Resources Group Ltd.(639)</t>
  </si>
  <si>
    <t>Berger Paints India Ltd.(BERGEPAINT)</t>
  </si>
  <si>
    <t>Advanced Drainage Systems Inc.(WMS)</t>
  </si>
  <si>
    <t>NCC AB Class B(NCC B)</t>
  </si>
  <si>
    <t>Indus Holding AG(INH)</t>
  </si>
  <si>
    <t>HAP Seng Consolidated Bhd.(HAPSENG)</t>
  </si>
  <si>
    <t>Kanematsu Corp.(8020)</t>
  </si>
  <si>
    <t>LEM Holding SA(LEHN)</t>
  </si>
  <si>
    <t>Toyo Tire Corp.(5105)</t>
  </si>
  <si>
    <t>Tupperware Brands Corp.(TUP)</t>
  </si>
  <si>
    <t>Amorepacific Corp. Preference Shares(090435)</t>
  </si>
  <si>
    <t>BGF retail Co. Ltd.(282330)</t>
  </si>
  <si>
    <t>Hongkong &amp; Shanghai Hotels Ltd.(45)</t>
  </si>
  <si>
    <t>Basic-Fit NV(BFIT)</t>
  </si>
  <si>
    <t>BJ's Restaurants Inc.(BJRI)</t>
  </si>
  <si>
    <t>Southside Bancshares Inc.(SBSI)</t>
  </si>
  <si>
    <t>Daishi Hokuetsu Financial Group Inc.(7327)</t>
  </si>
  <si>
    <t>Flagstar Bancorp Inc.(FBC)</t>
  </si>
  <si>
    <t>Alony Hetz Properties &amp; Investments Ltd.(ALHE)</t>
  </si>
  <si>
    <t>PLA Administradora Industrial S de RL de CV(TERRA13)</t>
  </si>
  <si>
    <t>Keppel DC REIT(AJBU)</t>
  </si>
  <si>
    <t>TPG RE Finance Trust Inc.(TRTX)</t>
  </si>
  <si>
    <t>NSD Co. Ltd.(9759)</t>
  </si>
  <si>
    <t>Bangchak Corp. PCL(BCP-F)</t>
  </si>
  <si>
    <t>Boubyan Petrochemicals Co. KSCP(BPCC)</t>
  </si>
  <si>
    <t>Bukit Asam Tbk PT(PTBA)</t>
  </si>
  <si>
    <t>Central Glass Co. Ltd.(4044)</t>
  </si>
  <si>
    <t>Fujitsu General Ltd.(6755)</t>
  </si>
  <si>
    <t>Natera Inc.(NTRA)</t>
  </si>
  <si>
    <t>ARB Corp. Ltd.(ARB)</t>
  </si>
  <si>
    <t>Liberty TripAdvisor Holdings Inc. Class A(LTRPA)</t>
  </si>
  <si>
    <t>Altice Europe NV(ATC)</t>
  </si>
  <si>
    <t>Nippon Gas Co. Ltd.(8174)</t>
  </si>
  <si>
    <t>First Bancorp/Southern Pines NC(FBNC)</t>
  </si>
  <si>
    <t>Banco do Estado do Rio Grande do Sul SA Preference Shares(BRSR6)</t>
  </si>
  <si>
    <t>TriCo Bancshares(TCBK)</t>
  </si>
  <si>
    <t>S IMMO AG(SPI)</t>
  </si>
  <si>
    <t>St. Modwen Properties plc(SMP)</t>
  </si>
  <si>
    <t>DLF Ltd.(DLF)</t>
  </si>
  <si>
    <t>Hitachi Capital Corp.(8586)</t>
  </si>
  <si>
    <t>Premier Investments Ltd.(PMV)</t>
  </si>
  <si>
    <t>Apogee Enterprises Inc.(APOG)</t>
  </si>
  <si>
    <t>Triumph Group Inc.(TGI)</t>
  </si>
  <si>
    <t>Methode Electronics Inc.(MEI)</t>
  </si>
  <si>
    <t>ALD SA(ALD)</t>
  </si>
  <si>
    <t>Nexteer Automotive Group Ltd.(1316)</t>
  </si>
  <si>
    <t>D'ieteren SA/NV(DIE)</t>
  </si>
  <si>
    <t>Banco Santander Brasil SA(SANB11)</t>
  </si>
  <si>
    <t>Power Finance Corp. Ltd.(PFC)</t>
  </si>
  <si>
    <t>Asseco Poland SA(ACP)</t>
  </si>
  <si>
    <t>Canon Marketing Japan Inc.(8060)</t>
  </si>
  <si>
    <t>Sino-American Silicon Products Inc.(5483)</t>
  </si>
  <si>
    <t>Yamato Kogyo Co. Ltd.(5444)</t>
  </si>
  <si>
    <t>Sims Metal Management Ltd.(SGM)</t>
  </si>
  <si>
    <t>Okumura Corp.(1833)</t>
  </si>
  <si>
    <t>Knoll Inc.(KNL)</t>
  </si>
  <si>
    <t>Winnebago Industries Inc.(WGO)</t>
  </si>
  <si>
    <t>Pacific Biosciences of California Inc.(PACB)</t>
  </si>
  <si>
    <t>Theravance Biopharma Inc.(TBPH)</t>
  </si>
  <si>
    <t>ALK-Abello A/S(ALK B)</t>
  </si>
  <si>
    <t>Sixt SE Preference Shares(SIX3)</t>
  </si>
  <si>
    <t>Linx SA(LINX3)</t>
  </si>
  <si>
    <t>77 Bank Ltd.(8341)</t>
  </si>
  <si>
    <t>Cyrela Brazil Realty SA Empreendimentos e Participacoes(CYRE3)</t>
  </si>
  <si>
    <t>Fortress REIT Ltd. Class A(FFA)</t>
  </si>
  <si>
    <t>Muangthai Capital PCL(MTC-F)</t>
  </si>
  <si>
    <t>Avanza Bank Holding AB(AZA)</t>
  </si>
  <si>
    <t>Baozun Inc. ADR(BZUN)</t>
  </si>
  <si>
    <t>Codexis Inc.(CDXS)</t>
  </si>
  <si>
    <t>Nexans SA(NEX)</t>
  </si>
  <si>
    <t>Kadant Inc.(KAI)</t>
  </si>
  <si>
    <t>Japan Steel Works Ltd.(5631)</t>
  </si>
  <si>
    <t>CJ Logistics Corp.(000120)</t>
  </si>
  <si>
    <t>Bilfinger SE(GBF)</t>
  </si>
  <si>
    <t>Toyota Boshoku Corp.(3116)</t>
  </si>
  <si>
    <t>Sleep Number Corp.(SNBR)</t>
  </si>
  <si>
    <t>China Medical System Holdings Ltd.(867)</t>
  </si>
  <si>
    <t>HIS Co. Ltd.(9603)</t>
  </si>
  <si>
    <t>Cia de Saneamento de Minas Gerais-COPASA(CSMG3)</t>
  </si>
  <si>
    <t>Boston Private Financial Holdings Inc.(BPFH)</t>
  </si>
  <si>
    <t>Ciputra Development Tbk PT(CTRA)</t>
  </si>
  <si>
    <t>Kite Realty Group Trust(KRG)</t>
  </si>
  <si>
    <t>Mirae Asset Daewoo Co. Ltd. Preference Shares(00680K)</t>
  </si>
  <si>
    <t>Mphasis Ltd.(MPHASIS)</t>
  </si>
  <si>
    <t>Kingboard Laminates Holdings Ltd.(1888)</t>
  </si>
  <si>
    <t>Taiwan Fertilizer Co. Ltd.(1722)</t>
  </si>
  <si>
    <t>Hindustan Zinc Ltd.(HINDZINC)</t>
  </si>
  <si>
    <t>Contura Energy Inc.(CTRA)</t>
  </si>
  <si>
    <t>Kumagai Gumi Co. Ltd.(1861)</t>
  </si>
  <si>
    <t>E Ink Holdings Inc.(8069)</t>
  </si>
  <si>
    <t>H&amp;E Equipment Services Inc.(HEES)</t>
  </si>
  <si>
    <t>Trusco Nakayama Corp.(9830)</t>
  </si>
  <si>
    <t>Makino Milling Machine Co. Ltd.(6135)</t>
  </si>
  <si>
    <t>Infratil Ltd.(IFT)</t>
  </si>
  <si>
    <t>Humansoft Holding Co. KSC(HUMANSOFT)</t>
  </si>
  <si>
    <t>Sakata Seed Corp.(1377)</t>
  </si>
  <si>
    <t>Scandinavian Tobacco Group A/S(STG)</t>
  </si>
  <si>
    <t>Fleury SA(FLRY3)</t>
  </si>
  <si>
    <t>Yaoko Co. Ltd.(8279)</t>
  </si>
  <si>
    <t>Chow Tai Fook Jewellery Group Ltd.(1929)</t>
  </si>
  <si>
    <t>IPSOS(IPS)</t>
  </si>
  <si>
    <t>Central Plaza Hotel PCL(CENTEL-F)</t>
  </si>
  <si>
    <t>Yoshinoya Holdings Co. Ltd.(9861)</t>
  </si>
  <si>
    <t>TerraForm Power Inc. Class A(TERP)</t>
  </si>
  <si>
    <t>National Bank Holdings Corp. Class A(NBHC)</t>
  </si>
  <si>
    <t>Kiyo Bank Ltd.(8370)</t>
  </si>
  <si>
    <t>Gentera SAB de CV(GENTERA*)</t>
  </si>
  <si>
    <t>Hemfosa Fastigheter AB(HEMF)</t>
  </si>
  <si>
    <t>Parkway Life REIT(C2PU)</t>
  </si>
  <si>
    <t>Koh Young Technology Inc.(098460)</t>
  </si>
  <si>
    <t>Metsa Board Oyj(METSB)</t>
  </si>
  <si>
    <t>Yamazen Corp.(8051)</t>
  </si>
  <si>
    <t>Shanghai Electric Group Co. Ltd.(2727)</t>
  </si>
  <si>
    <t>Gestamp Automocion SA(GEST)</t>
  </si>
  <si>
    <t>Hain Celestial Group Inc.(HAIN)</t>
  </si>
  <si>
    <t>Youngone Corp.(111770)</t>
  </si>
  <si>
    <t>Hanall Biopharma Co. Ltd.(009420)</t>
  </si>
  <si>
    <t>Indian Hotels Co. Ltd.(INDHOTEL)</t>
  </si>
  <si>
    <t>Liberty Media Corp-Liberty Braves(BATRK)</t>
  </si>
  <si>
    <t>Mitchells &amp; Butlers plc(MAB)</t>
  </si>
  <si>
    <t>BKW AG(BKW)</t>
  </si>
  <si>
    <t>Sbanken ASA(SBANK)</t>
  </si>
  <si>
    <t>RPT Realty(RPT)</t>
  </si>
  <si>
    <t>Alamo Group Inc.(ALG)</t>
  </si>
  <si>
    <t>PostNL NV(PNL)</t>
  </si>
  <si>
    <t>De La Rue plc(DLAR)</t>
  </si>
  <si>
    <t>CBIZ Inc.(CBZ)</t>
  </si>
  <si>
    <t>San Miguel Food and Beverage Inc.(FB)</t>
  </si>
  <si>
    <t>Pilot Corp.(7846)</t>
  </si>
  <si>
    <t>Merry Electronics Co. Ltd.(2439)</t>
  </si>
  <si>
    <t>Spectrum Pharmaceuticals Inc.(SPPI)</t>
  </si>
  <si>
    <t>Aoyama Trading Co. Ltd.(8219)</t>
  </si>
  <si>
    <t>Nien Made Enterprise Co. Ltd.(8464)</t>
  </si>
  <si>
    <t>Marston's plc(MARS)</t>
  </si>
  <si>
    <t>Meta Financial Group Inc.(CASH)</t>
  </si>
  <si>
    <t>OFG Bancorp(OFG)</t>
  </si>
  <si>
    <t>Phoenix Holdings Ltd.(PHOE)</t>
  </si>
  <si>
    <t>Starhill Global REIT(P40U)</t>
  </si>
  <si>
    <t>Universal Health Realty Income Trust(UHT)</t>
  </si>
  <si>
    <t>Oki Electric Industry Co. Ltd.(6703)</t>
  </si>
  <si>
    <t>Razer Inc.(1337)</t>
  </si>
  <si>
    <t>Parade Technologies Ltd.(4966)</t>
  </si>
  <si>
    <t>Daio Paper Corp.(3880)</t>
  </si>
  <si>
    <t>Japan Aviation Electronics Industry Ltd.(6807)</t>
  </si>
  <si>
    <t>DMC Global Inc.(BOOM)</t>
  </si>
  <si>
    <t>Shima Seiki Manufacturing Ltd.(6222)</t>
  </si>
  <si>
    <t>Westports Holdings Bhd.(WPRTS)</t>
  </si>
  <si>
    <t>Japan Material Co. Ltd.(6055)</t>
  </si>
  <si>
    <t>Navigant Consulting Inc.(NCI)</t>
  </si>
  <si>
    <t>Mitsubishi Pencil Co. Ltd.(7976)</t>
  </si>
  <si>
    <t>IGG Inc.(799)</t>
  </si>
  <si>
    <t>Noevir Holdings Co. Ltd.(4928)</t>
  </si>
  <si>
    <t>Orthofix Medical Inc.(OFIX)</t>
  </si>
  <si>
    <t>Cathay Pacific Airways Ltd.(293)</t>
  </si>
  <si>
    <t>AMC Entertainment Holdings Inc. Class A(AMC)</t>
  </si>
  <si>
    <t>Ichibanya Co. Ltd.(7630)</t>
  </si>
  <si>
    <t>Total Access Communication PCL (Local)(DTAC)</t>
  </si>
  <si>
    <t>Genesis Energy Ltd.(GNE)</t>
  </si>
  <si>
    <t>Keppel Infrastructure Trust(A7RU)</t>
  </si>
  <si>
    <t>Musashino Bank Ltd.(8336)</t>
  </si>
  <si>
    <t>Unicaja Banco SA(UNI)</t>
  </si>
  <si>
    <t>Santam Ltd.(SNT)</t>
  </si>
  <si>
    <t>Resilient REIT Ltd.(RES)</t>
  </si>
  <si>
    <t>Essential Properties Realty Trust Inc.(EPRT)</t>
  </si>
  <si>
    <t>World Acceptance Corp.(WRLD)</t>
  </si>
  <si>
    <t>Micro Focus International plc ADR(MFGP)</t>
  </si>
  <si>
    <t>NextGen Healthcare Inc.(NXGN)</t>
  </si>
  <si>
    <t>Legend Holdings Corp.(3396)</t>
  </si>
  <si>
    <t>Yanbu National Petrochemical Co.(2290)</t>
  </si>
  <si>
    <t>Elkem ASA(ELK)</t>
  </si>
  <si>
    <t>KAP Industrial Holdings Ltd.(KAP)</t>
  </si>
  <si>
    <t>Hanwha Aerospace Co. Ltd.(012450)</t>
  </si>
  <si>
    <t>AMG Advanced Metallurgical Group NV(AMG)</t>
  </si>
  <si>
    <t>Evergreen Marine Corp. Taiwan Ltd.(2603)</t>
  </si>
  <si>
    <t>SMS Co. Ltd.(2175)</t>
  </si>
  <si>
    <t>TrueBlue Inc.(TBI)</t>
  </si>
  <si>
    <t>Itoham Yonekyu Holdings Inc.(2296)</t>
  </si>
  <si>
    <t>MRV Engenharia e Participacoes SA(MRVE3)</t>
  </si>
  <si>
    <t>Luminex Corp.(LMNX)</t>
  </si>
  <si>
    <t>Motus Holdings Ltd.(MTH)</t>
  </si>
  <si>
    <t>International Speedway Corp. Class A(ISCA)</t>
  </si>
  <si>
    <t>Open House Co. Ltd.(3288)</t>
  </si>
  <si>
    <t>Abacus Property Group(ABP)</t>
  </si>
  <si>
    <t>Gimv NV(GIMB)</t>
  </si>
  <si>
    <t>Rothschild &amp; Co.(ROTH)</t>
  </si>
  <si>
    <t>Chinasoft International Ltd.(354)</t>
  </si>
  <si>
    <t>Computacenter plc(CCC)</t>
  </si>
  <si>
    <t>Extreme Networks Inc.(EXTR)</t>
  </si>
  <si>
    <t>Metalurgica Gerdau SA Preference Shares Class A(GOAU4)</t>
  </si>
  <si>
    <t>Buzzi Unicem SPA(BZU)</t>
  </si>
  <si>
    <t>Taikisha Ltd.(1979)</t>
  </si>
  <si>
    <t>CTCI Corp.(9933)</t>
  </si>
  <si>
    <t>Fujikura Ltd.(5803)</t>
  </si>
  <si>
    <t>Doosan Infracore Co. Ltd.(042670)</t>
  </si>
  <si>
    <t>POSCO Chemical Co. Ltd.(003670)</t>
  </si>
  <si>
    <t>Conzzeta AG(CON)</t>
  </si>
  <si>
    <t>Cramo Oyj(CRA1V)</t>
  </si>
  <si>
    <t>Nomura Co. Ltd.(9716)</t>
  </si>
  <si>
    <t>Interface Inc. Class A(TILE)</t>
  </si>
  <si>
    <t>TomTom NV(TOM2)</t>
  </si>
  <si>
    <t>Ruentex Industries Ltd.(2915)</t>
  </si>
  <si>
    <t>Sonae SGPS SA(SON)</t>
  </si>
  <si>
    <t>Mediaset SPA(MS)</t>
  </si>
  <si>
    <t>Scholastic Corp.(SCHL)</t>
  </si>
  <si>
    <t>Resorttrust Inc.(4681)</t>
  </si>
  <si>
    <t>Cia de Transmissao de Energia Eletrica Paulista Preference Shares(TRPL4)</t>
  </si>
  <si>
    <t>China Merchants Shekou Industrial Zone Holdings Co. Ltd. Class A(001979)</t>
  </si>
  <si>
    <t>Retail Estates NV(RET)</t>
  </si>
  <si>
    <t>Independence Realty Trust Inc.(IRT)</t>
  </si>
  <si>
    <t>Ascott Residence Trust(A68U)</t>
  </si>
  <si>
    <t>Chatham Lodging Trust(CLDT)</t>
  </si>
  <si>
    <t>Atea ASA(ATEA)</t>
  </si>
  <si>
    <t>XING SE(O1BC)</t>
  </si>
  <si>
    <t>Cia Siderurgica Nacional SA ADR(SID)</t>
  </si>
  <si>
    <t>Sanyo Special Steel Co. Ltd.(5481)</t>
  </si>
  <si>
    <t>Polypipe Group plc(PLP)</t>
  </si>
  <si>
    <t>Global Brass &amp; Copper Holdings Inc.(BRSS)</t>
  </si>
  <si>
    <t>Fuji Corp./Aichi(6134)</t>
  </si>
  <si>
    <t>Freightways Ltd.(FRE)</t>
  </si>
  <si>
    <t>Jasa Marga Persero Tbk PT(JSMR)</t>
  </si>
  <si>
    <t>Sanne Group plc(SNN)</t>
  </si>
  <si>
    <t>Kotobuki Spirits Co. Ltd.(2222)</t>
  </si>
  <si>
    <t>Central Garden &amp; Pet Co. Class A(CENTA)</t>
  </si>
  <si>
    <t>Milbon Co. Ltd.(4919)</t>
  </si>
  <si>
    <t>Intersect ENT Inc.(XENT)</t>
  </si>
  <si>
    <t>Almacenes Exito SA(EXITO)</t>
  </si>
  <si>
    <t>Shochiku Co. Ltd.(9601)</t>
  </si>
  <si>
    <t>TalkTalk Telecom Group plc(TALK)</t>
  </si>
  <si>
    <t>TFS Financial Corp.(TFSL)</t>
  </si>
  <si>
    <t>Tessenderlo Chemie NV (Voting Shares)(TESB)</t>
  </si>
  <si>
    <t>Tarkett SA(TKTT)</t>
  </si>
  <si>
    <t>Continental Building Products Inc.(CBPX)</t>
  </si>
  <si>
    <t>Primoris Services Corp.(PRIM)</t>
  </si>
  <si>
    <t>BEST Inc. ADR(BEST)</t>
  </si>
  <si>
    <t>Singapore Post Ltd.(S08)</t>
  </si>
  <si>
    <t>Pan Ocean Co. Ltd.(028670)</t>
  </si>
  <si>
    <t>Evolent Health Inc. Class A(EVH)</t>
  </si>
  <si>
    <t>Akka Technologies(AKA)</t>
  </si>
  <si>
    <t>Daiseki Co. Ltd.(9793)</t>
  </si>
  <si>
    <t>ACCO Brands Corp.(ACCO)</t>
  </si>
  <si>
    <t>Cia Hering(HGTX3)</t>
  </si>
  <si>
    <t>Summerset Group Holdings Ltd.(SUM)</t>
  </si>
  <si>
    <t>Epizyme Inc.(EPZM)</t>
  </si>
  <si>
    <t>Promotora de Informaciones SA(PRS)</t>
  </si>
  <si>
    <t>Evoqua Water Technologies Corp.(AQUA)</t>
  </si>
  <si>
    <t>Dah Sing Financial Holdings Ltd.(440)</t>
  </si>
  <si>
    <t>Fanhua Inc. ADR(FANH)</t>
  </si>
  <si>
    <t>NewRiver REIT plc(NRR)</t>
  </si>
  <si>
    <t>Arbor Realty Trust Inc.(ABR)</t>
  </si>
  <si>
    <t>Matsui Securities Co. Ltd.(8628)</t>
  </si>
  <si>
    <t>Haitong International Securities Group Ltd.(665)</t>
  </si>
  <si>
    <t>GMO internet Inc.(9449)</t>
  </si>
  <si>
    <t>Enphase Energy Inc.(ENPH)</t>
  </si>
  <si>
    <t>International CSRC Investment Holdings Co.(2104)</t>
  </si>
  <si>
    <t>Sirius Minerals plc(SXX)</t>
  </si>
  <si>
    <t>YIT Oyj(YIT)</t>
  </si>
  <si>
    <t>ITEQ Corp.(6213)</t>
  </si>
  <si>
    <t>KEMET Corp.(KEM)</t>
  </si>
  <si>
    <t>FARO Technologies Inc.(FARO)</t>
  </si>
  <si>
    <t>Mycronic AB(MYCR)</t>
  </si>
  <si>
    <t>Hyundai Mipo Dockyard Co. Ltd.(010620)</t>
  </si>
  <si>
    <t>DMG Mori AG(GIL)</t>
  </si>
  <si>
    <t>Inovalon Holdings Inc. Class A(INOV)</t>
  </si>
  <si>
    <t>Mando Corp.(204320)</t>
  </si>
  <si>
    <t>Jiangsu Yanghe Brewery Joint-Stock Co. Ltd. Class A(002304)</t>
  </si>
  <si>
    <t>R1 RCM Inc.(RCM)</t>
  </si>
  <si>
    <t>Coherus Biosciences Inc.(CHRS)</t>
  </si>
  <si>
    <t>Alkem Laboratories Ltd.(ALKEM)</t>
  </si>
  <si>
    <t>Virbac SA(VIRP)</t>
  </si>
  <si>
    <t>Kusuri no Aoki Holdings Co. Ltd.(3549)</t>
  </si>
  <si>
    <t>AirAsia Group Bhd.(AIRASIA)</t>
  </si>
  <si>
    <t>Rostelecom PJSC(RTKM)</t>
  </si>
  <si>
    <t>Telesites SAB de CV(SITESB-1)</t>
  </si>
  <si>
    <t>Tata Power Co. Ltd.(TATAPOWER)</t>
  </si>
  <si>
    <t>Tisco Financial Group PCL (Foreign)(TISCO-F)</t>
  </si>
  <si>
    <t>Bandhan Bank Ltd.(BANDHANBNK)</t>
  </si>
  <si>
    <t>BancFirst Corp.(BANF)</t>
  </si>
  <si>
    <t>Keiyo Bank Ltd.(8544)</t>
  </si>
  <si>
    <t>Harel Insurance Investments &amp; Financial Services Ltd.(HARL)</t>
  </si>
  <si>
    <t>American National Insurance Co.(ANAT)</t>
  </si>
  <si>
    <t>Qualicorp Consultoria e Corretora de Seguros SA(QUAL3)</t>
  </si>
  <si>
    <t>Emaar Malls PJSC(EMAARMALLS)</t>
  </si>
  <si>
    <t>Marcus &amp; Millichap Inc.(MMI)</t>
  </si>
  <si>
    <t>Wereldhave NV(WHA)</t>
  </si>
  <si>
    <t>LendingClub Corp.(LC)</t>
  </si>
  <si>
    <t>ScanSource Inc.(SCSC)</t>
  </si>
  <si>
    <t>3D Systems Corp.(DDD)</t>
  </si>
  <si>
    <t>AU Optronics Corp. ADR(AUO)</t>
  </si>
  <si>
    <t>NETGEAR Inc.(NTGR)</t>
  </si>
  <si>
    <t>Tellurian Inc.(TELL)</t>
  </si>
  <si>
    <t>KH Neochem Co. Ltd.(4189)</t>
  </si>
  <si>
    <t>Borregaard ASA(BRG)</t>
  </si>
  <si>
    <t>Feng Hsin Steel Co. Ltd.(2015)</t>
  </si>
  <si>
    <t>China Coal Energy Co. Ltd.(1898)</t>
  </si>
  <si>
    <t>Hecla Mining Co.(HL)</t>
  </si>
  <si>
    <t>Takuma Co. Ltd.(6013)</t>
  </si>
  <si>
    <t>Swire Pacific Ltd. Class B(87)</t>
  </si>
  <si>
    <t>MTS Systems Corp.(MTSC)</t>
  </si>
  <si>
    <t>Kerry Logistics Network Ltd.(636)</t>
  </si>
  <si>
    <t>Cooper-Standard Holdings Inc.(CPS)</t>
  </si>
  <si>
    <t>First Pacific Co. Ltd.(142)</t>
  </si>
  <si>
    <t>Strauss Group Ltd.(STRS)</t>
  </si>
  <si>
    <t>Sturm Ruger &amp; Co. Inc.(RGR)</t>
  </si>
  <si>
    <t>Fagron(FAGR)</t>
  </si>
  <si>
    <t>GrandVision NV(GVNV)</t>
  </si>
  <si>
    <t>Intercept Pharmaceuticals Inc.(ICPT)</t>
  </si>
  <si>
    <t>ORBCOMM Inc.(ORBC)</t>
  </si>
  <si>
    <t>Globe Telecom Inc.(GLO)</t>
  </si>
  <si>
    <t>Korean Reinsurance Co.(003690)</t>
  </si>
  <si>
    <t>Sime Darby Property Bhd.(SIMEPROP)</t>
  </si>
  <si>
    <t>Macquarie Mexico Real Estate Management SA de CV(FIBRAMQ12)</t>
  </si>
  <si>
    <t>Fuyo General Lease Co. Ltd.(8424)</t>
  </si>
  <si>
    <t>Guotai Junan Securities Co. Ltd. Class A(601211)</t>
  </si>
  <si>
    <t>Charter Court Financial Services Group plc(CCFS)</t>
  </si>
  <si>
    <t>China Petrochemical Development Corp.(1314)</t>
  </si>
  <si>
    <t>Braskem SA ADR(BAK)</t>
  </si>
  <si>
    <t>Nippon Sheet Glass Co. Ltd.(5202)</t>
  </si>
  <si>
    <t>Nachi-Fujikoshi Corp.(6474)</t>
  </si>
  <si>
    <t>Super Group Ltd./South Africa(SPG)</t>
  </si>
  <si>
    <t>IPH Ltd.(IPH)</t>
  </si>
  <si>
    <t>Evo Payments Inc. Class A(EVOP)</t>
  </si>
  <si>
    <t>BAIC Motor Corp. Ltd.(1958)</t>
  </si>
  <si>
    <t>Keihin Corp.(7251)</t>
  </si>
  <si>
    <t>Andersons Inc.(ANDE)</t>
  </si>
  <si>
    <t>Health &amp; Happiness H&amp;H International Holdings Ltd.(1112)</t>
  </si>
  <si>
    <t>TherapeuticsMD Inc.(TXMD)</t>
  </si>
  <si>
    <t>Innoviva Inc.(INVA)</t>
  </si>
  <si>
    <t>Kissei Pharmaceutical Co. Ltd.(4547)</t>
  </si>
  <si>
    <t>Guangzhou Baiyunshan Pharmaceutical Holdings Co. Ltd.(874)</t>
  </si>
  <si>
    <t>Pepkor Holdings Ltd.(PPH)</t>
  </si>
  <si>
    <t>Air New Zealand Ltd.(AIR)</t>
  </si>
  <si>
    <t>Cafe de Coral Holdings Ltd.(341)</t>
  </si>
  <si>
    <t>Telecom Plus plc(TEP)</t>
  </si>
  <si>
    <t>Bank of Baroda(BANKBARODA)</t>
  </si>
  <si>
    <t>Far Eastern International Bank(2845)</t>
  </si>
  <si>
    <t>Universal Insurance Holdings Inc.(UVE)</t>
  </si>
  <si>
    <t>Encore Capital Group Inc.(ECPG)</t>
  </si>
  <si>
    <t>Bure Equity AB(BURE)</t>
  </si>
  <si>
    <t>Bolsa Mexicana de Valores SAB de CV(BOLSAA)</t>
  </si>
  <si>
    <t>Justsystems Corp.(4686)</t>
  </si>
  <si>
    <t>Technology One Ltd.(TNE)</t>
  </si>
  <si>
    <t>Pitney Bowes Inc.(PBI)</t>
  </si>
  <si>
    <t>Premier Oil plc(PMO)</t>
  </si>
  <si>
    <t>CSW Industrials Inc.(CSWI)</t>
  </si>
  <si>
    <t>Tokyo Steel Manufacturing Co. Ltd.(5423)</t>
  </si>
  <si>
    <t>Barito Pacific Tbk PT(BRPT)</t>
  </si>
  <si>
    <t>nearmap Ltd.(NEA)</t>
  </si>
  <si>
    <t>GreenSky Inc. Class A(GSKY)</t>
  </si>
  <si>
    <t>QL Resources Bhd.(QL)</t>
  </si>
  <si>
    <t>NongShim Co. Ltd.(004370)</t>
  </si>
  <si>
    <t>Tomy Co. Ltd.(7867)</t>
  </si>
  <si>
    <t>Lantheus Holdings Inc.(LNTH)</t>
  </si>
  <si>
    <t>Cymabay Therapeutics Inc.(CBAY)</t>
  </si>
  <si>
    <t>Beijing Tong Ren Tang Chinese Medicine Co. Ltd.(3613)</t>
  </si>
  <si>
    <t>Genesco Inc.(GCO)</t>
  </si>
  <si>
    <t>Valor Holdings Co. Ltd.(9956)</t>
  </si>
  <si>
    <t>Trupanion Inc.(TRUP)</t>
  </si>
  <si>
    <t>Fuji Kyuko Co. Ltd.(9010)</t>
  </si>
  <si>
    <t>Colowide Co. Ltd.(7616)</t>
  </si>
  <si>
    <t>Middlesex Water Co.(MSEX)</t>
  </si>
  <si>
    <t>Neinor Homes SA(HOME)</t>
  </si>
  <si>
    <t>Precinct Properties New Zealand Ltd.(PCT)</t>
  </si>
  <si>
    <t>Granite Point Mortgage Trust Inc.(GPMT)</t>
  </si>
  <si>
    <t>Stewart Information Services Corp.(STC)</t>
  </si>
  <si>
    <t>Neopost SA(NEO)</t>
  </si>
  <si>
    <t>Vocera Communications Inc.(VCRA)</t>
  </si>
  <si>
    <t>C&amp;J Energy Services Inc.(CJ)</t>
  </si>
  <si>
    <t>Rayonier Advanced Materials Inc.(RYAM)</t>
  </si>
  <si>
    <t>Jindal Steel &amp; Power Ltd.(JINDALSTEL)</t>
  </si>
  <si>
    <t>Vicat SA(VCT)</t>
  </si>
  <si>
    <t>Mirait Holdings Corp.(1417)</t>
  </si>
  <si>
    <t>CH Karnchang PCL(CK-F)</t>
  </si>
  <si>
    <t>Berli Jucker PCL(BJC)</t>
  </si>
  <si>
    <t>Wacker Neuson SE(WAC)</t>
  </si>
  <si>
    <t>Lindsay Corp.(LNN)</t>
  </si>
  <si>
    <t>Standard Motor Products Inc.(SMP)</t>
  </si>
  <si>
    <t>British American Tobacco plc ADR(BTI)</t>
  </si>
  <si>
    <t>KYORIN Holdings Inc.(4569)</t>
  </si>
  <si>
    <t>JCR Pharmaceuticals Co. Ltd.(4552)</t>
  </si>
  <si>
    <t>GS Retail Co. Ltd.(007070)</t>
  </si>
  <si>
    <t>Entercom Communications Corp. Class A(ETM)</t>
  </si>
  <si>
    <t>Shun Tak Holdings Ltd.(242)</t>
  </si>
  <si>
    <t>ERG SPA(ERG)</t>
  </si>
  <si>
    <t>Banco Davivienda SA Preference Shares(PFDAVVNDA)</t>
  </si>
  <si>
    <t>Hokkoku Bank Ltd.(8363)</t>
  </si>
  <si>
    <t>King's Town Bank Co. Ltd.(2809)</t>
  </si>
  <si>
    <t>F&amp;C Commercial Property Trust Ltd.(FCPT)</t>
  </si>
  <si>
    <t>Hypoport AG(HYQ)</t>
  </si>
  <si>
    <t>JSE Ltd.(JSE)</t>
  </si>
  <si>
    <t>Perficient Inc.(PRFT)</t>
  </si>
  <si>
    <t>Tabula Rasa HealthCare Inc.(TRHC)</t>
  </si>
  <si>
    <t>Abu Dhabi National Oil Co. for Distribution PJSC(ADNOCDIST)</t>
  </si>
  <si>
    <t>Tecnicas Reunidas SA(TRE)</t>
  </si>
  <si>
    <t>McDermott International Inc.(MDR)</t>
  </si>
  <si>
    <t>AdvanSix Inc.(ASIX)</t>
  </si>
  <si>
    <t>Bekaert SA(BEKB)</t>
  </si>
  <si>
    <t>Gerdau SA ADR(GGB)</t>
  </si>
  <si>
    <t>Silergy Corp.(6415)</t>
  </si>
  <si>
    <t>Qatar Navigation QSC(QNNS)</t>
  </si>
  <si>
    <t>Prosegur Cash SA(CASH)</t>
  </si>
  <si>
    <t>First Resources Ltd.(EB5)</t>
  </si>
  <si>
    <t>Li &amp; Fung Ltd.(494)</t>
  </si>
  <si>
    <t>Kolmar Korea Co. Ltd.(161890)</t>
  </si>
  <si>
    <t>Hapvida Participacoes e Investimentos SA(HAPV3)</t>
  </si>
  <si>
    <t>Omeros Corp.(OMER)</t>
  </si>
  <si>
    <t>Cars.com Inc.(CARS)</t>
  </si>
  <si>
    <t>China International Travel Service Corp. Ltd. Class A(601888)</t>
  </si>
  <si>
    <t>Korea Gas Corp.(036460)</t>
  </si>
  <si>
    <t>Doha Bank QPSC(DHBK)</t>
  </si>
  <si>
    <t>United Fire Group Inc.(UFCS)</t>
  </si>
  <si>
    <t>Third Point Reinsurance Ltd.(TPRE)</t>
  </si>
  <si>
    <t>K Wah International Holdings Ltd.(173)</t>
  </si>
  <si>
    <t>CorePoint Lodging Inc.(CPLG)</t>
  </si>
  <si>
    <t>Coronation Fund Managers Ltd.(CML)</t>
  </si>
  <si>
    <t>Aker Solutions ASA(AKSO)</t>
  </si>
  <si>
    <t>Castrol India Ltd.(CASTROLIND)</t>
  </si>
  <si>
    <t>Johnson Electric Holdings Ltd.(179)</t>
  </si>
  <si>
    <t>AVX Corp.(AVX)</t>
  </si>
  <si>
    <t>Genius Electronic Optical Co. Ltd.(3406)</t>
  </si>
  <si>
    <t>Columbus McKinnon Corp./NY(CMCO)</t>
  </si>
  <si>
    <t>SAIC Motor Corp. Ltd. Class A(600104)</t>
  </si>
  <si>
    <t>Tokai Rika Co. Ltd.(6995)</t>
  </si>
  <si>
    <t>M Dias Branco SA(MDIA3)</t>
  </si>
  <si>
    <t>Megmilk Snow Brand Co. Ltd.(2270)</t>
  </si>
  <si>
    <t>Hanssem Co. Ltd.(009240)</t>
  </si>
  <si>
    <t>Hanmi Science Co. ltd(008930)</t>
  </si>
  <si>
    <t>Almirall SA(ALM)</t>
  </si>
  <si>
    <t>Robinson PCL(ROBINS-F)</t>
  </si>
  <si>
    <t>Pets at Home Group plc(PETS)</t>
  </si>
  <si>
    <t>oOh!media Ltd.(OML)</t>
  </si>
  <si>
    <t>SODEXO PF 22 COMMON STOCK(null)</t>
  </si>
  <si>
    <t>Euskaltel SA(EKT)</t>
  </si>
  <si>
    <t>RusHydro PJSC(HYDR)</t>
  </si>
  <si>
    <t>Enterprise Financial Services Corp.(EFSC)</t>
  </si>
  <si>
    <t>Liberty Holdings Ltd.(LBH)</t>
  </si>
  <si>
    <t>Yuzhou Properties Co. Ltd.(1628)</t>
  </si>
  <si>
    <t>Armada Hoffler Properties Inc.(AHH)</t>
  </si>
  <si>
    <t>Orient Securities Co. Ltd./China Class A(600958)</t>
  </si>
  <si>
    <t>Netcompany Group A/S(NETC)</t>
  </si>
  <si>
    <t>Saras SPA(SRS)</t>
  </si>
  <si>
    <t>Eternal Materials Co. Ltd.(1717)</t>
  </si>
  <si>
    <t>Titan Cement Co. SA(TITK)</t>
  </si>
  <si>
    <t>Compeq Manufacturing Co. Ltd.(2313)</t>
  </si>
  <si>
    <t>Elite Material Co. Ltd.(2383)</t>
  </si>
  <si>
    <t>FLEXium Interconnect Inc.(6269)</t>
  </si>
  <si>
    <t>CTS Corp.(CTS)</t>
  </si>
  <si>
    <t>Reunert Ltd.(RLO)</t>
  </si>
  <si>
    <t>Koenig &amp; Bauer AG(SKB)</t>
  </si>
  <si>
    <t>Hapag-Lloyd AG(HLAG)</t>
  </si>
  <si>
    <t>Lien Hwa Industrial Corp.(1229)</t>
  </si>
  <si>
    <t>Man Wah Holdings Ltd.(1999)</t>
  </si>
  <si>
    <t>Maisons du Monde SA(MDM)</t>
  </si>
  <si>
    <t>Hogy Medical Co. Ltd.(3593)</t>
  </si>
  <si>
    <t>TaiMed Biologics Inc.(4147)</t>
  </si>
  <si>
    <t>Guardant Health Inc.(GH)</t>
  </si>
  <si>
    <t>G8 Education Ltd.(GEM)</t>
  </si>
  <si>
    <t>Southern Cross Media Group Ltd.(SXL)</t>
  </si>
  <si>
    <t>Tokyo Dome Corp.(9681)</t>
  </si>
  <si>
    <t>Hyakugo Bank Ltd.(8368)</t>
  </si>
  <si>
    <t>Spar Nord Bank A/S(SPNO)</t>
  </si>
  <si>
    <t>Orange Life Insurance Ltd.(079440)</t>
  </si>
  <si>
    <t>Charter Hall Long Wale REIT(CLW)</t>
  </si>
  <si>
    <t>Qisda Corp.(2352)</t>
  </si>
  <si>
    <t>GemVax &amp; Kael Co. Ltd.(082270)</t>
  </si>
  <si>
    <t>HTC Corp.(2498)</t>
  </si>
  <si>
    <t>Kolon Industries Inc.(120110)</t>
  </si>
  <si>
    <t>CAP SA(CAP)</t>
  </si>
  <si>
    <t>Nippon Densetsu Kogyo Co. Ltd.(1950)</t>
  </si>
  <si>
    <t>Sinotrans Ltd.(598)</t>
  </si>
  <si>
    <t>Stoneridge Inc.(SRI)</t>
  </si>
  <si>
    <t>Kato Sangyo Co. Ltd.(9869)</t>
  </si>
  <si>
    <t>Malibu Boats Inc. Class A(MBUU)</t>
  </si>
  <si>
    <t>Nanosonics Ltd.(NAN)</t>
  </si>
  <si>
    <t>MacroGenics Inc.(MGNX)</t>
  </si>
  <si>
    <t>Bachem Holding AG(BANB)</t>
  </si>
  <si>
    <t>Lifestyle International Holdings Ltd.(1212)</t>
  </si>
  <si>
    <t>VGI Global Media PCL(VGI-F)</t>
  </si>
  <si>
    <t>Round One Corp.(4680)</t>
  </si>
  <si>
    <t>Ohsho Food Service Corp.(9936)</t>
  </si>
  <si>
    <t>China Water Affairs Group Ltd.(855)</t>
  </si>
  <si>
    <t>Bank of Georgia Group plc(BGEO)</t>
  </si>
  <si>
    <t>Shui On Land Ltd.(272)</t>
  </si>
  <si>
    <t>Poly Property Group Co. Ltd.(119)</t>
  </si>
  <si>
    <t>Frasers Commercial Trust(ND8U)</t>
  </si>
  <si>
    <t>Tokai Tokyo Financial Holdings Inc.(8616)</t>
  </si>
  <si>
    <t>Renewable Energy Group Inc.(REGI)</t>
  </si>
  <si>
    <t>Assore Ltd.(ASR)</t>
  </si>
  <si>
    <t>Sino-Thai Engineering &amp; Construction PCL(STEC-F)</t>
  </si>
  <si>
    <t>Shinmaywa Industries Ltd.(7224)</t>
  </si>
  <si>
    <t>COSCO SHIPPING Energy Transportation Co. Ltd.(1138)</t>
  </si>
  <si>
    <t>euglena Co. Ltd.(2931)</t>
  </si>
  <si>
    <t>Okamura Corp.(7994)</t>
  </si>
  <si>
    <t>Maxell Holdings Ltd.(6810)</t>
  </si>
  <si>
    <t>Natus Medical Inc.(BABY)</t>
  </si>
  <si>
    <t>CareDx Inc.(CDNA)</t>
  </si>
  <si>
    <t>JINS Inc.(3046)</t>
  </si>
  <si>
    <t>Cerus Corp.(CERS)</t>
  </si>
  <si>
    <t>Lions Gate Entertainment Corp. Class A(LGF.A)</t>
  </si>
  <si>
    <t>China Literature Ltd.(772)</t>
  </si>
  <si>
    <t>Gannett Co. Inc.(GCI)</t>
  </si>
  <si>
    <t>Meridian Bancorp Inc.(EBSB)</t>
  </si>
  <si>
    <t>WHA Corp. PCL(WHA-F)</t>
  </si>
  <si>
    <t>Hembla AB Class B(HEM B)</t>
  </si>
  <si>
    <t>Reit 1 Ltd.(RIT1)</t>
  </si>
  <si>
    <t>Enova International Inc.(ENVA)</t>
  </si>
  <si>
    <t>KIWOOM Securities Co. Ltd.(039490)</t>
  </si>
  <si>
    <t>Tenable Holdings Inc.(TENB)</t>
  </si>
  <si>
    <t>Jasmine Broadband Internet Infrastructure Fund(JASIF-F)</t>
  </si>
  <si>
    <t>Anaplan Inc.(PLAN)</t>
  </si>
  <si>
    <t>King Yuan Electronics Co. Ltd.(2449)</t>
  </si>
  <si>
    <t>Thermon Group Holdings Inc.(THR)</t>
  </si>
  <si>
    <t>Metallurgical Corp. of China Ltd.(1618)</t>
  </si>
  <si>
    <t>Hyundai Rotem Co. Ltd.(064350)</t>
  </si>
  <si>
    <t>Kforce Inc.(KFRC)</t>
  </si>
  <si>
    <t>Hyundai Wia Corp.(011210)</t>
  </si>
  <si>
    <t>Topre Corp.(5975)</t>
  </si>
  <si>
    <t>KWS Saat SE(KWS)</t>
  </si>
  <si>
    <t>M/I Homes Inc.(MHO)</t>
  </si>
  <si>
    <t>McCarthy &amp; Stone plc(MCS)</t>
  </si>
  <si>
    <t>Accell Group NV(ACCEL)</t>
  </si>
  <si>
    <t>Allakos Inc.(ALLK)</t>
  </si>
  <si>
    <t>BioCryst Pharmaceuticals Inc.(BCRX)</t>
  </si>
  <si>
    <t>ZERIA Pharmaceutical Co. Ltd.(4559)</t>
  </si>
  <si>
    <t>cocokara fine Inc.(3098)</t>
  </si>
  <si>
    <t>Card Factory plc(CARD)</t>
  </si>
  <si>
    <t>Hanjin Kal Corp.(180640)</t>
  </si>
  <si>
    <t>Virtus Investment Partners Inc.(VRTS)</t>
  </si>
  <si>
    <t>Hamilton Lane Inc. Class A(HLNE)</t>
  </si>
  <si>
    <t>Srisawad Corp. PCL(SAWAD-F)</t>
  </si>
  <si>
    <t>Bursa Malaysia Bhd.(BURSA)</t>
  </si>
  <si>
    <t>Douzone Bizon Co. Ltd.(012510)</t>
  </si>
  <si>
    <t>Fuji Soft Inc.(9749)</t>
  </si>
  <si>
    <t>DTS Corp.(9682)</t>
  </si>
  <si>
    <t>Grupo Cementos de Chihuahua SAB de CV(GCC*)</t>
  </si>
  <si>
    <t>Siam Cement PCL(SCC)</t>
  </si>
  <si>
    <t>Bharat Heavy Electricals Ltd.(BHEL)</t>
  </si>
  <si>
    <t>AIA Engineering Ltd.(AIAENG)</t>
  </si>
  <si>
    <t>Tsubaki Nakashima Co. Ltd.(6464)</t>
  </si>
  <si>
    <t>Senko Group Holdings Co. Ltd.(9069)</t>
  </si>
  <si>
    <t>Shenzhen Expressway Co. Ltd.(548)</t>
  </si>
  <si>
    <t>Heartland Express Inc.(HTLD)</t>
  </si>
  <si>
    <t>Taiwan Secom Co. Ltd.(9917)</t>
  </si>
  <si>
    <t>Vina Concha y Toro SA(CONCHATORO)</t>
  </si>
  <si>
    <t>Genting Plantations Bhd.(GENP)</t>
  </si>
  <si>
    <t>Pioneer Foods Group Ltd.(PFG)</t>
  </si>
  <si>
    <t>GUD Holdings Ltd.(GUD)</t>
  </si>
  <si>
    <t>Fortis Healthcare Ltd.(FORTIS)</t>
  </si>
  <si>
    <t>Fate Therapeutics Inc.(FATE)</t>
  </si>
  <si>
    <t>Tricida Inc.(TCDA)</t>
  </si>
  <si>
    <t>Celltrion Pharm Inc.(068760)</t>
  </si>
  <si>
    <t>San-A Co. Ltd.(2659)</t>
  </si>
  <si>
    <t>Super Retail Group Ltd.(SUL)</t>
  </si>
  <si>
    <t>EDION Corp.(2730)</t>
  </si>
  <si>
    <t>Connecticut Water Service Inc.(CTWS)</t>
  </si>
  <si>
    <t>JB Financial Group Co. Ltd.(175330)</t>
  </si>
  <si>
    <t>Central Pacific Financial Corp.(CPF)</t>
  </si>
  <si>
    <t>Chesnara plc(CSN)</t>
  </si>
  <si>
    <t>Emaar Development PJSC(EMAARDEV)</t>
  </si>
  <si>
    <t>WisdomTree Investments Inc.(WETF)</t>
  </si>
  <si>
    <t>Daishin Securities Co. Ltd.(003540)</t>
  </si>
  <si>
    <t>Inari Amertron Bhd.(INARI)</t>
  </si>
  <si>
    <t>Canadian Solar Inc.(CSIQ)</t>
  </si>
  <si>
    <t>Saudi Arabian Fertilizer Co.(2020)</t>
  </si>
  <si>
    <t>US Concrete Inc.(USCR)</t>
  </si>
  <si>
    <t>Noritz Corp.(5943)</t>
  </si>
  <si>
    <t>DMCI Holdings Inc.(DMC)</t>
  </si>
  <si>
    <t>LS Corp.(006260)</t>
  </si>
  <si>
    <t>Construcciones y Auxiliar de Ferrocarriles SA(CAF)</t>
  </si>
  <si>
    <t>Standex International Corp.(SXI)</t>
  </si>
  <si>
    <t>Nikkiso Co. Ltd.(6376)</t>
  </si>
  <si>
    <t>CKD Corp.(6407)</t>
  </si>
  <si>
    <t>Pacific Basin Shipping Ltd.(2343)</t>
  </si>
  <si>
    <t>Posco International Corp.(047050)</t>
  </si>
  <si>
    <t>Musashi Seimitsu Industry Co. Ltd.(7220)</t>
  </si>
  <si>
    <t>S Foods Inc.(2292)</t>
  </si>
  <si>
    <t>Nobia AB(NOBI)</t>
  </si>
  <si>
    <t>Raffles Medical Group Ltd.(BSL)</t>
  </si>
  <si>
    <t>Tactile Systems Technology Inc.(TCMD)</t>
  </si>
  <si>
    <t>Veracyte Inc.(VCYT)</t>
  </si>
  <si>
    <t>NanoString Technologies Inc.(NSTG)</t>
  </si>
  <si>
    <t>Aimmune Therapeutics Inc.(AIMT)</t>
  </si>
  <si>
    <t>Genexine Co. Ltd.(095700)</t>
  </si>
  <si>
    <t>Vanda Pharmaceuticals Inc.(VNDA)</t>
  </si>
  <si>
    <t>Chefs' Warehouse Inc.(CHEF)</t>
  </si>
  <si>
    <t>Valora Holding AG(VALN)</t>
  </si>
  <si>
    <t>Hyundai Greenfood Co. Ltd.(005440)</t>
  </si>
  <si>
    <t>Saga plc(SAGA)</t>
  </si>
  <si>
    <t>Bilibili Inc. ADR(BILI)</t>
  </si>
  <si>
    <t>Liberty Broadband Corp. Class A(LBRDA)</t>
  </si>
  <si>
    <t>Saudi Electricity Co.(5110)</t>
  </si>
  <si>
    <t>Unitil Corp.(UTL)</t>
  </si>
  <si>
    <t>Cia Paranaense de Energia ADR(ELP)</t>
  </si>
  <si>
    <t>Liechtensteinische Landesbank AG(LLBN)</t>
  </si>
  <si>
    <t>LT Group Inc.(LTG)</t>
  </si>
  <si>
    <t>Starts Corp. Inc.(8850)</t>
  </si>
  <si>
    <t>Kaisa Group Holdings Ltd.(1638)</t>
  </si>
  <si>
    <t>Robinsons Land Corp.(RLC)</t>
  </si>
  <si>
    <t>Vukile Property Fund Ltd.(VKE)</t>
  </si>
  <si>
    <t>Sunlight REIT(435)</t>
  </si>
  <si>
    <t>Innovative Industrial Properties Inc.(IIPR)</t>
  </si>
  <si>
    <t>Carbonite Inc.(CARB)</t>
  </si>
  <si>
    <t>WONIK IPS Co. Ltd.(240810)</t>
  </si>
  <si>
    <t>Pabrik Kertas Tjiwi Kimia Tbk PT(TKIM)</t>
  </si>
  <si>
    <t>Sandfire Resources NL(SFR)</t>
  </si>
  <si>
    <t>Daiwabo Holdings Co. Ltd.(3107)</t>
  </si>
  <si>
    <t>Washtec AG(WSU)</t>
  </si>
  <si>
    <t>Komax Holding AG(KOMN)</t>
  </si>
  <si>
    <t>Kitz Corp.(6498)</t>
  </si>
  <si>
    <t>Equiniti Group plc(EQN)</t>
  </si>
  <si>
    <t>Showa Corp.(7274)</t>
  </si>
  <si>
    <t>Ottogi Corp.(007310)</t>
  </si>
  <si>
    <t>Tassal Group Ltd.(TGR)</t>
  </si>
  <si>
    <t>NHN Corp.(181710)</t>
  </si>
  <si>
    <t>Levi Strauss &amp; Co. Class A(LEVI)</t>
  </si>
  <si>
    <t>Takara Bio Inc.(4974)</t>
  </si>
  <si>
    <t>Green Cross Corp./South Korea(006280)</t>
  </si>
  <si>
    <t>Boot Barn Holdings Inc.(BOOT)</t>
  </si>
  <si>
    <t>Nippon Television Holdings Inc.(9404)</t>
  </si>
  <si>
    <t>Modern Times Group MTG AB Class B(MTG B)</t>
  </si>
  <si>
    <t>Kinepolis Group NV(KIN)</t>
  </si>
  <si>
    <t>United States Cellular Corp.(USM)</t>
  </si>
  <si>
    <t>Ambac Financial Group Inc.(AMBC)</t>
  </si>
  <si>
    <t>MBIA Inc.(MBI)</t>
  </si>
  <si>
    <t>Times China Holdings Ltd.(1233)</t>
  </si>
  <si>
    <t>Corp Inmobiliaria Vesta SAB de CV(VESTA*)</t>
  </si>
  <si>
    <t>KLCCP Stapled Group Bhd.(KLCC)</t>
  </si>
  <si>
    <t>Hersha Hospitality Trust Class A(HT)</t>
  </si>
  <si>
    <t>Muthoot Finance Ltd.(MUTHOOTFIN)</t>
  </si>
  <si>
    <t>Upland Software Inc.(UPLD)</t>
  </si>
  <si>
    <t>Appian Corp. Class A(APPN)</t>
  </si>
  <si>
    <t>Hua Hong Semiconductor Ltd.(1347)</t>
  </si>
  <si>
    <t>Aselsan Elektronik Sanayi Ve Ticaret AS(ASELS)</t>
  </si>
  <si>
    <t>Japan Petroleum Exploration Co. Ltd.(1662)</t>
  </si>
  <si>
    <t>Sembcorp Marine Ltd.(S51)</t>
  </si>
  <si>
    <t>Nippon Soda Co. Ltd.(4041)</t>
  </si>
  <si>
    <t>Kumiai Chemical Industry Co. Ltd.(4996)</t>
  </si>
  <si>
    <t>Israel Corp. Ltd.(ILCO)</t>
  </si>
  <si>
    <t>Fufeng Group Ltd.(546)</t>
  </si>
  <si>
    <t>Nichiha Corp.(7943)</t>
  </si>
  <si>
    <t>PGT Innovations Inc.(PGTI)</t>
  </si>
  <si>
    <t>Tutor Perini Corp.(TPC)</t>
  </si>
  <si>
    <t>Jeol Ltd.(6951)</t>
  </si>
  <si>
    <t>Voltas Ltd.(VOLTAS)</t>
  </si>
  <si>
    <t>Morita Holdings Corp.(6455)</t>
  </si>
  <si>
    <t>Takara Standard Co. Ltd.(7981)</t>
  </si>
  <si>
    <t>Acushnet Holdings Corp.(GOLF)</t>
  </si>
  <si>
    <t>DoubleUGames Co. Ltd.(192080)</t>
  </si>
  <si>
    <t>Inspire Medical Systems Inc.(INSP)</t>
  </si>
  <si>
    <t>Axogen Inc.(AXGN)</t>
  </si>
  <si>
    <t>St. Shine Optical Co. Ltd.(1565)</t>
  </si>
  <si>
    <t>Retrophin Inc.(RTRX)</t>
  </si>
  <si>
    <t>Daewoong Pharmaceutical Co. Ltd.(069620)</t>
  </si>
  <si>
    <t>Arcs Co. Ltd.(9948)</t>
  </si>
  <si>
    <t>Tokyo Broadcasting System Holdings Inc.(9401)</t>
  </si>
  <si>
    <t>Sanoma Oyj(SAA1V)</t>
  </si>
  <si>
    <t>Bloomberry Resorts Corp.(BLOOM)</t>
  </si>
  <si>
    <t>Betsson AB(BETS B)</t>
  </si>
  <si>
    <t>Marcus Corp.(MCS)</t>
  </si>
  <si>
    <t>Okinawa Electric Power Co. Inc.(9511)</t>
  </si>
  <si>
    <t>Krung Thai Bank PCL(KTB-R)</t>
  </si>
  <si>
    <t>Clal Insurance Enterprises Holdings Ltd.(CLIS)</t>
  </si>
  <si>
    <t>Vastned Retail NV(VASTN)</t>
  </si>
  <si>
    <t>Capstead Mortgage Corp.(CMO)</t>
  </si>
  <si>
    <t>PJT Partners Inc.(PJT)</t>
  </si>
  <si>
    <t>Capital Securities Corp.(6005)</t>
  </si>
  <si>
    <t>Shutterstock Inc.(SSTK)</t>
  </si>
  <si>
    <t>Hilan Ltd.(HLAN)</t>
  </si>
  <si>
    <t>Antero Midstream Corp.(AM)</t>
  </si>
  <si>
    <t>GCL-Poly Energy Holdings Ltd.(3800)</t>
  </si>
  <si>
    <t>Xinjiang Goldwind Science &amp; Technology Co. Ltd.(2208)</t>
  </si>
  <si>
    <t>Scatec Solar ASA(SSO)</t>
  </si>
  <si>
    <t>TPI Composites Inc.(TPIC)</t>
  </si>
  <si>
    <t>CONSOL Energy Inc.(CEIX)</t>
  </si>
  <si>
    <t>Lynas Corp. Ltd.(LYC)</t>
  </si>
  <si>
    <t>Wabash National Corp.(WNC)</t>
  </si>
  <si>
    <t>Nippon Seiki Co. Ltd.(7287)</t>
  </si>
  <si>
    <t>Becle SAB de CV(CUERVO*)</t>
  </si>
  <si>
    <t>Tong Ren Tang Technologies Co. Ltd.(1666)</t>
  </si>
  <si>
    <t>Stamps.com Inc.(STMP)</t>
  </si>
  <si>
    <t>Adevinta ASA Class A(ADEA)</t>
  </si>
  <si>
    <t>China Yongda Automobiles Services Holdings Ltd.(3669)</t>
  </si>
  <si>
    <t>China Airlines Ltd.(2610)</t>
  </si>
  <si>
    <t>Tsogo Sun Holdings Ltd.(TSH)</t>
  </si>
  <si>
    <t>KCOM Group plc(KCOM)</t>
  </si>
  <si>
    <t>Altice Europe NV Class B(ATCB)</t>
  </si>
  <si>
    <t>Datang International Power Generation Co. Ltd.(991)</t>
  </si>
  <si>
    <t>Max Financial Services Ltd.(MFSL)</t>
  </si>
  <si>
    <t>China Life Insurance Co. Ltd. Class A(601628)</t>
  </si>
  <si>
    <t>PATRIZIA Immobilien AG(PAT)</t>
  </si>
  <si>
    <t>Far East Consortium International Ltd./HK(35)</t>
  </si>
  <si>
    <t>InfraREIT Inc.(HIFR)</t>
  </si>
  <si>
    <t>L&amp;T Finance Holdings Ltd.(L&amp;TFH)</t>
  </si>
  <si>
    <t>Systena Corp.(2317)</t>
  </si>
  <si>
    <t>AECI Ltd.(AFE)</t>
  </si>
  <si>
    <t>Angang Steel Co. Ltd.(347)</t>
  </si>
  <si>
    <t>Steel Authority of India Ltd.(SAIL)</t>
  </si>
  <si>
    <t>Multi-Color Corp.(LABL)</t>
  </si>
  <si>
    <t>Zoomlion Heavy Industry Science and Technology Co. Ltd.(1157)</t>
  </si>
  <si>
    <t>Douglas Dynamics Inc.(PLOW)</t>
  </si>
  <si>
    <t>ASTM SPA(AT)</t>
  </si>
  <si>
    <t>Funai Soken Holdings Inc.(9757)</t>
  </si>
  <si>
    <t>KEPCO Plant Service &amp; Engineering Co. Ltd.(051600)</t>
  </si>
  <si>
    <t>TVS Motor Co. Ltd.(TVSMOTOR)</t>
  </si>
  <si>
    <t>Gunze Ltd.(3002)</t>
  </si>
  <si>
    <t>Cosmax Inc.(192820)</t>
  </si>
  <si>
    <t>Towa Pharmaceutical Co. Ltd.(4553)</t>
  </si>
  <si>
    <t>SP Plus Corp.(SP)</t>
  </si>
  <si>
    <t>Orange Polska SA(OPL)</t>
  </si>
  <si>
    <t>Towngas China Co. Ltd.(1083)</t>
  </si>
  <si>
    <t>Senshu Ikeda Holdings Inc.(8714)</t>
  </si>
  <si>
    <t>Hastings Group Holdings plc(HSTG)</t>
  </si>
  <si>
    <t>Fullshare Holdings Ltd.(607)</t>
  </si>
  <si>
    <t>Supalai PCL(SPALI-F)</t>
  </si>
  <si>
    <t>NS Solutions Corp.(2327)</t>
  </si>
  <si>
    <t>Verso Corp.(VRS)</t>
  </si>
  <si>
    <t>Nippon Steel Trading Corp.(9810)</t>
  </si>
  <si>
    <t>Kloeckner &amp; Co. SE(KCO)</t>
  </si>
  <si>
    <t>Cie d'Entreprises CFE(CFEB)</t>
  </si>
  <si>
    <t>Nitto Kogyo Corp.(6651)</t>
  </si>
  <si>
    <t>Sinbon Electronics Co. Ltd.(3023)</t>
  </si>
  <si>
    <t>Pacific Industrial Co. Ltd.(7250)</t>
  </si>
  <si>
    <t>Basilea Pharmaceutica AG(BSLN)</t>
  </si>
  <si>
    <t>Apellis Pharmaceuticals Inc.(APLS)</t>
  </si>
  <si>
    <t>Dillard's Inc. Class A(DDS)</t>
  </si>
  <si>
    <t>Sports Direct International plc(SPD)</t>
  </si>
  <si>
    <t>Restaurant Group plc(RTN)</t>
  </si>
  <si>
    <t>Europcar Mobility Group(EUCAR)</t>
  </si>
  <si>
    <t>TBC Bank Group plc(TBCG)</t>
  </si>
  <si>
    <t>Metro Bank plc(MTRO)</t>
  </si>
  <si>
    <t>Carolina Financial Corp.(CARO)</t>
  </si>
  <si>
    <t>Summarecon Agung Tbk PT(SMRA)</t>
  </si>
  <si>
    <t>Intershop Holding AG(ISN)</t>
  </si>
  <si>
    <t>Melisron Ltd.(MLSR)</t>
  </si>
  <si>
    <t>Jerusalem Economy Ltd.(ECJM)</t>
  </si>
  <si>
    <t>RE/MAX Holdings Inc. Class A(RMAX)</t>
  </si>
  <si>
    <t>Alexander's Inc.(ALX)</t>
  </si>
  <si>
    <t>Altarea SCA(ALTA)</t>
  </si>
  <si>
    <t>Investors Real Estate Trust(IRET)</t>
  </si>
  <si>
    <t>Ence Energia y Celulosa SA(ENC)</t>
  </si>
  <si>
    <t>NRW Holdings Ltd.(NWH)</t>
  </si>
  <si>
    <t>Hollysys Automation Technologies Ltd.(HOLI)</t>
  </si>
  <si>
    <t>Mesa Laboratories Inc.(MLAB)</t>
  </si>
  <si>
    <t>Noritake Co. Ltd./Nagoya Japan(5331)</t>
  </si>
  <si>
    <t>Komori Corp.(6349)</t>
  </si>
  <si>
    <t>SFA Engineering Corp.(056190)</t>
  </si>
  <si>
    <t>Marten Transport Ltd.(MRTN)</t>
  </si>
  <si>
    <t>ArcBest Corp.(ARCB)</t>
  </si>
  <si>
    <t>ADT Inc.(ADT)</t>
  </si>
  <si>
    <t>Industrias Bachoco SAB de CV Class B(BACHOCOB)</t>
  </si>
  <si>
    <t>Cloetta AB Class B(CLA B)</t>
  </si>
  <si>
    <t>Galliford Try plc(GFRD)</t>
  </si>
  <si>
    <t>Pearl Abyss Corp.(263750)</t>
  </si>
  <si>
    <t>Eastern Co. SAE(EAST)</t>
  </si>
  <si>
    <t>Menicon Co. Ltd.(7780)</t>
  </si>
  <si>
    <t>Allogene Therapeutics Inc.(ALLO)</t>
  </si>
  <si>
    <t>Genfit(GNFT)</t>
  </si>
  <si>
    <t>BK Brasil Operacao e Assessoria a Restaurantes SA(BKBR3)</t>
  </si>
  <si>
    <t>Hanmi Financial Corp.(HAFC)</t>
  </si>
  <si>
    <t>HomeStreet Inc.(HMST)</t>
  </si>
  <si>
    <t>Berner Kantonalbank AG(BEKN)</t>
  </si>
  <si>
    <t>Lakeland Bancorp Inc.(LBAI)</t>
  </si>
  <si>
    <t>Citycon Oyj(CTY1S)</t>
  </si>
  <si>
    <t>CapitaLand Retail China Trust(AU8U)</t>
  </si>
  <si>
    <t>Plus500 Ltd.(PLUS)</t>
  </si>
  <si>
    <t>Digital Garage Inc.(4819)</t>
  </si>
  <si>
    <t>Domo Inc.(DOMO)</t>
  </si>
  <si>
    <t>Oil Refineries Ltd.(ORL)</t>
  </si>
  <si>
    <t>Yodogawa Steel Works Ltd.(5451)</t>
  </si>
  <si>
    <t>Usinas Siderurgicas de Minas Gerais SA Preference Shares(USIM5)</t>
  </si>
  <si>
    <t>Ausdrill Ltd.(ASL)</t>
  </si>
  <si>
    <t>Zhaojin Mining Industry Co. Ltd.(1818)</t>
  </si>
  <si>
    <t>Lindab International AB(LIAB)</t>
  </si>
  <si>
    <t>Schouw &amp; Co. A/S(SCHO)</t>
  </si>
  <si>
    <t>Siix Corp.(7613)</t>
  </si>
  <si>
    <t>AGFA-Gevaert NV(AGFB)</t>
  </si>
  <si>
    <t>Toshiba Plant Systems &amp; Services Corp.(1983)</t>
  </si>
  <si>
    <t>Pushpay Holdings Ltd.(PPH)</t>
  </si>
  <si>
    <t>MRF Ltd.(MRF)</t>
  </si>
  <si>
    <t>Inghams Group Ltd.(ING)</t>
  </si>
  <si>
    <t>Nisshin Oillio Group Ltd.(2602)</t>
  </si>
  <si>
    <t>Onward Holdings Co. Ltd.(8016)</t>
  </si>
  <si>
    <t>Arjo AB(ARJO B)</t>
  </si>
  <si>
    <t>Amphastar Pharmaceuticals Inc.(AMPH)</t>
  </si>
  <si>
    <t>Yondoshi Holdings Inc.(8008)</t>
  </si>
  <si>
    <t>United Arrows Ltd.(7606)</t>
  </si>
  <si>
    <t>Poya International Co. Ltd.(5904)</t>
  </si>
  <si>
    <t>Kohnan Shoji Co. Ltd.(7516)</t>
  </si>
  <si>
    <t>Euromoney Institutional Investor plc(ERM)</t>
  </si>
  <si>
    <t>Telekom Malaysia Bhd.(TM)</t>
  </si>
  <si>
    <t>Qatar International Islamic Bank QSC(QIIK)</t>
  </si>
  <si>
    <t>Suruga Bank Ltd.(8358)</t>
  </si>
  <si>
    <t>Iguatemi Empresa de Shopping Centers SA(IGTA3)</t>
  </si>
  <si>
    <t>Northern Oil and Gas Inc.(NOG)</t>
  </si>
  <si>
    <t>Seadrill Ltd.(SDRLo)</t>
  </si>
  <si>
    <t>Tidewater Inc.(TDW)</t>
  </si>
  <si>
    <t>Taekwang Industrial Co. Ltd.(003240)</t>
  </si>
  <si>
    <t>Engro Corp. Ltd./Pakistan(ENGRO)</t>
  </si>
  <si>
    <t>China Zhongwang Holdings Ltd.(1333)</t>
  </si>
  <si>
    <t>Jastrzebska Spolka Weglowa SA(JSW)</t>
  </si>
  <si>
    <t>GWA Group Ltd.(GWA)</t>
  </si>
  <si>
    <t>Daewoo Engineering &amp; Construction Co. Ltd.(047040)</t>
  </si>
  <si>
    <t>Fomento de Construcciones y Contratas SA(FCC)</t>
  </si>
  <si>
    <t>Comet Holding AG(COTN)</t>
  </si>
  <si>
    <t>Taiwan Union Technology Corp.(6274)</t>
  </si>
  <si>
    <t>Astec Industries Inc.(ASTE)</t>
  </si>
  <si>
    <t>Hyundai Merchant Marine Co. Ltd.(011200)</t>
  </si>
  <si>
    <t>Japan Elevator Service Holdings Co. Ltd.(6544)</t>
  </si>
  <si>
    <t>SK Networks Co. Ltd.(001740)</t>
  </si>
  <si>
    <t>Muyuan Foodstuff Co. Ltd. Class A(002714)</t>
  </si>
  <si>
    <t>COFCO Meat Holdings Ltd.(1610)</t>
  </si>
  <si>
    <t>Japan Wool Textile Co. Ltd.(3201)</t>
  </si>
  <si>
    <t>Hugel Inc.(145020)</t>
  </si>
  <si>
    <t>Bavarian Nordic A/S(BAVA)</t>
  </si>
  <si>
    <t>MARR SPA(MARR)</t>
  </si>
  <si>
    <t>Robinsons Retail Holdings Inc.(RRHI)</t>
  </si>
  <si>
    <t>Mega Expo Holdings Ltd.(1360)</t>
  </si>
  <si>
    <t>Surya Citra Media Tbk PT(SCMA)</t>
  </si>
  <si>
    <t>Quotient Technology Inc.(QUOT)</t>
  </si>
  <si>
    <t>Adani Transmission Ltd.(ADANITRANS)</t>
  </si>
  <si>
    <t>Bank of Shanghai Co. Ltd. Class A(601229)</t>
  </si>
  <si>
    <t>Abu Dhabi Islamic Bank PJSC(ADIB)</t>
  </si>
  <si>
    <t>Bryn Mawr Bank Corp.(BMTC)</t>
  </si>
  <si>
    <t>Atrium Ljungberg AB(ATRLJ B)</t>
  </si>
  <si>
    <t>Fortress REIT Ltd. Class B(FFB)</t>
  </si>
  <si>
    <t>Platinum Asset Management Ltd.(PTM)</t>
  </si>
  <si>
    <t>Elastic NV(ESTC)</t>
  </si>
  <si>
    <t>eMemory Technology Inc.(3529)</t>
  </si>
  <si>
    <t>Hokuetsu Corp.(3865)</t>
  </si>
  <si>
    <t>Qatar Aluminum Manufacturing Co.(QAMC)</t>
  </si>
  <si>
    <t>BBMG Corp.(2009)</t>
  </si>
  <si>
    <t>Tekfen Holding AS(TKFEN)</t>
  </si>
  <si>
    <t>Sacyr SA(SCYR)</t>
  </si>
  <si>
    <t>Astronics Corp.(ATRO)</t>
  </si>
  <si>
    <t>Shibuya Corp.(6340)</t>
  </si>
  <si>
    <t>Unipres Corp.(5949)</t>
  </si>
  <si>
    <t>Ausnutria Dairy Corp. Ltd.(1717)</t>
  </si>
  <si>
    <t>Com2uSCorp(078340)</t>
  </si>
  <si>
    <t>TSI Holdings Co. Ltd.(3608)</t>
  </si>
  <si>
    <t>Vericel Corp.(VCEL)</t>
  </si>
  <si>
    <t>Mayne Pharma Group Ltd.(MYX)</t>
  </si>
  <si>
    <t>Ace Hardware Indonesia Tbk PT(ACES)</t>
  </si>
  <si>
    <t>Providence Service Corp.(PRSC)</t>
  </si>
  <si>
    <t>ITE Group plc(ITE)</t>
  </si>
  <si>
    <t>Paradise Co. Ltd.(034230)</t>
  </si>
  <si>
    <t>AmRest Holdings SE(EAT)</t>
  </si>
  <si>
    <t>Vodafone Qatar QSC(VFQS)</t>
  </si>
  <si>
    <t>ACEA SPA(ACE)</t>
  </si>
  <si>
    <t>Triumph Bancorp Inc.(TBK)</t>
  </si>
  <si>
    <t>Anicom Holdings Inc.(8715)</t>
  </si>
  <si>
    <t>Growthpoint Properties Australia Ltd.(GOZ)</t>
  </si>
  <si>
    <t>Viva Energy REIT(VVR)</t>
  </si>
  <si>
    <t>National Storage REIT(NSR)</t>
  </si>
  <si>
    <t>Orchid Island Capital Inc.(ORC)</t>
  </si>
  <si>
    <t>Value Partners Group Ltd.(806)</t>
  </si>
  <si>
    <t>Edelweiss Financial Services Ltd.(EDELWEISS)</t>
  </si>
  <si>
    <t>Tucows Inc. Class A(TCX)</t>
  </si>
  <si>
    <t>Green Plains Inc.(GPRE)</t>
  </si>
  <si>
    <t>Earth Corp.(4985)</t>
  </si>
  <si>
    <t>GrafTech International Ltd.(EAF)</t>
  </si>
  <si>
    <t>Toshiba TEC Corp.(6588)</t>
  </si>
  <si>
    <t>Frontline Ltd./Bermuda(FROo)</t>
  </si>
  <si>
    <t>Caverion Oyj(CAV1V)</t>
  </si>
  <si>
    <t>Everi Holdings Inc.(EVRI)</t>
  </si>
  <si>
    <t>Exedy Corp.(7278)</t>
  </si>
  <si>
    <t>TPR Co. Ltd.(6463)</t>
  </si>
  <si>
    <t>Embotelladora Andina SA Preference Shares(ANDINA-B)</t>
  </si>
  <si>
    <t>Standard Foods Corp.(1227)</t>
  </si>
  <si>
    <t>Sao Martinho SA(SMTO3)</t>
  </si>
  <si>
    <t>GoPro Inc. Class A(GPRO)</t>
  </si>
  <si>
    <t>Descente Ltd.(8114)</t>
  </si>
  <si>
    <t>AngioDynamics Inc.(ANGO)</t>
  </si>
  <si>
    <t>Hansa Biopharma AB(HNSA)</t>
  </si>
  <si>
    <t>Green Cross Holdings Corp.(005250)</t>
  </si>
  <si>
    <t>Television Broadcasts Ltd.(511)</t>
  </si>
  <si>
    <t>Atom Corp.(7412)</t>
  </si>
  <si>
    <t>AES Gener SA(AESGENER)</t>
  </si>
  <si>
    <t>Dah Sing Banking Group Ltd.(2356)</t>
  </si>
  <si>
    <t>TOMONY Holdings Inc.(8600)</t>
  </si>
  <si>
    <t>Just Group plc(JUST)</t>
  </si>
  <si>
    <t>Gemdale Properties &amp; Investment Corp. Ltd.(535)</t>
  </si>
  <si>
    <t>Jiangxi Bank Co. Ltd.(1916)</t>
  </si>
  <si>
    <t>Gazit-Globe Ltd.(GZT)</t>
  </si>
  <si>
    <t>Amot Investments Ltd.(AMOT)</t>
  </si>
  <si>
    <t>Suncity Group Holdings Ltd.(1383)</t>
  </si>
  <si>
    <t>Ichigo Inc.(2337)</t>
  </si>
  <si>
    <t>Nelnet Inc. Class A(NNI)</t>
  </si>
  <si>
    <t>Manappuram Finance Ltd.(MANAPPURAM)</t>
  </si>
  <si>
    <t>Mitac Holdings Corp.(3706)</t>
  </si>
  <si>
    <t>Gigabyte Technology Co. Ltd.(2376)</t>
  </si>
  <si>
    <t>Extraction Oil &amp; Gas Inc.(XOG)</t>
  </si>
  <si>
    <t>Petroleum Geo-Services ASA(PGS)</t>
  </si>
  <si>
    <t>Ahlstrom-Munksjo Oyj(AM1)</t>
  </si>
  <si>
    <t>Fluidra SA(FDR)</t>
  </si>
  <si>
    <t>Argan Inc.(AGX)</t>
  </si>
  <si>
    <t>Keller Group plc(KLR)</t>
  </si>
  <si>
    <t>Ryobi Ltd.(5851)</t>
  </si>
  <si>
    <t>Kintetsu World Express Inc.(9375)</t>
  </si>
  <si>
    <t>My EG Services Bhd.(MYEG)</t>
  </si>
  <si>
    <t>Northgate plc(NTG)</t>
  </si>
  <si>
    <t>TKC Corp.(9746)</t>
  </si>
  <si>
    <t>Gates Industrial Corp. plc(GTES)</t>
  </si>
  <si>
    <t>Carlsberg Brewery Malaysia Bhd.(CARLSBG)</t>
  </si>
  <si>
    <t>Phibro Animal Health Corp. Class A(PAHC)</t>
  </si>
  <si>
    <t>Blackmores Ltd.(BKL)</t>
  </si>
  <si>
    <t>Seiko Holdings Corp.(8050)</t>
  </si>
  <si>
    <t>Addus HomeCare Corp.(ADUS)</t>
  </si>
  <si>
    <t>Madrigal Pharmaceuticals Inc.(MDGL)</t>
  </si>
  <si>
    <t>Fu Shou Yuan International Group Ltd.(1448)</t>
  </si>
  <si>
    <t>NHPC Ltd.(NHPC)</t>
  </si>
  <si>
    <t>Dana Gas PJSC(DANA)</t>
  </si>
  <si>
    <t>Road King Infrastructure Ltd.(1098)</t>
  </si>
  <si>
    <t>Bumi Serpong Damai Tbk PT(BSDE)</t>
  </si>
  <si>
    <t>Hopson Development Holdings Ltd.(754)</t>
  </si>
  <si>
    <t>Cholamandalam Investment and Finance Co. Ltd.(CHOLAFIN)</t>
  </si>
  <si>
    <t>SUNeVision Holdings Ltd.(1686)</t>
  </si>
  <si>
    <t>Epistar Corp.(2448)</t>
  </si>
  <si>
    <t>Nova Measuring Instruments Ltd.(NVMI)</t>
  </si>
  <si>
    <t>Western Areas Ltd.(WSA)</t>
  </si>
  <si>
    <t>Harmony Gold Mining Co. Ltd.(HAR)</t>
  </si>
  <si>
    <t>Siam Global House PCL(GLOBAL-F)</t>
  </si>
  <si>
    <t>Voltronic Power Technology Corp.(6409)</t>
  </si>
  <si>
    <t>V Technology Co. Ltd.(7717)</t>
  </si>
  <si>
    <t>DXP Enterprises Inc./TX(DXPE)</t>
  </si>
  <si>
    <t>UMW Holdings Bhd.(UMW)</t>
  </si>
  <si>
    <t>Modine Manufacturing Co.(MOD)</t>
  </si>
  <si>
    <t>FCC Co. Ltd.(7296)</t>
  </si>
  <si>
    <t>Hota Industrial Manufacturing Co. Ltd.(1536)</t>
  </si>
  <si>
    <t>Grape King Bio Ltd.(1707)</t>
  </si>
  <si>
    <t>Century Communities Inc.(CCS)</t>
  </si>
  <si>
    <t>PZ Cussons plc(PZC)</t>
  </si>
  <si>
    <t>Vectura Group plc(VEC)</t>
  </si>
  <si>
    <t>Adastria Co. Ltd.(2685)</t>
  </si>
  <si>
    <t>L'Occitane International SA(973)</t>
  </si>
  <si>
    <t>Innocean Worldwide Inc.(214320)</t>
  </si>
  <si>
    <t>Ruth's Hospitality Group Inc.(RUTH)</t>
  </si>
  <si>
    <t>Korea Electric Power Corp. ADR(KEP)</t>
  </si>
  <si>
    <t>Univest Financial Corp.(UVSP)</t>
  </si>
  <si>
    <t>Bank of Ningbo Co. Ltd. Class A(002142)</t>
  </si>
  <si>
    <t>ConnectOne Bancorp Inc.(CNOB)</t>
  </si>
  <si>
    <t>Poly Developments and Holdings Group Co. Ltd. Class A(600048)</t>
  </si>
  <si>
    <t>ESR-REIT(J91U)</t>
  </si>
  <si>
    <t>Aventus Group(AVN)</t>
  </si>
  <si>
    <t>Community Healthcare Trust Inc.(CHCT)</t>
  </si>
  <si>
    <t>KRUK SA(KRU)</t>
  </si>
  <si>
    <t>GRUH Finance Ltd.(GRUH)</t>
  </si>
  <si>
    <t>Elecom Co. Ltd.(6750)</t>
  </si>
  <si>
    <t>Cooper Energy Ltd.(COE)</t>
  </si>
  <si>
    <t>PI Industries Ltd.(PIIND)</t>
  </si>
  <si>
    <t>Idec Corp./Japan(6652)</t>
  </si>
  <si>
    <t>Mitsui E&amp;S Holdings Co. Ltd.(7003)</t>
  </si>
  <si>
    <t>Cummins India Ltd.(CUMMINSIND)</t>
  </si>
  <si>
    <t>Nitta Corp.(5186)</t>
  </si>
  <si>
    <t>Doosan Bobcat Inc.(241560)</t>
  </si>
  <si>
    <t>SEACOR Holdings Inc.(CKH)</t>
  </si>
  <si>
    <t>TAV Havalimanlari Holding AS(TAVHL)</t>
  </si>
  <si>
    <t>Nissin Kogyo Co. Ltd.(7230)</t>
  </si>
  <si>
    <t>Nan Kang Rubber Tire Co. Ltd.(2101)</t>
  </si>
  <si>
    <t>Katitas Co. Ltd.(8919)</t>
  </si>
  <si>
    <t>Bosideng International Holdings Ltd.(3998)</t>
  </si>
  <si>
    <t>CorVel Corp.(CRVL)</t>
  </si>
  <si>
    <t>Ping An Healthcare and Technology Co. Ltd.(1833)</t>
  </si>
  <si>
    <t>Orange Belgium SA(OBEL)</t>
  </si>
  <si>
    <t>Punjab National Bank(PNB)</t>
  </si>
  <si>
    <t>Washington Trust Bancorp Inc.(WASH)</t>
  </si>
  <si>
    <t>Unizo Holdings Co. Ltd.(3258)</t>
  </si>
  <si>
    <t>China Overseas Grand Oceans Group Ltd.(81)</t>
  </si>
  <si>
    <t>China Overseas Property Holdings Ltd.(2669)</t>
  </si>
  <si>
    <t>Prologis Property Mexico SA de CV(FIBRAPL14)</t>
  </si>
  <si>
    <t>NexPoint Residential Trust Inc.(NXRT)</t>
  </si>
  <si>
    <t>OUE Hospitality Trust(SK7)</t>
  </si>
  <si>
    <t>Evry AS(EVRY)</t>
  </si>
  <si>
    <t>Shinko Electric Industries Co. Ltd.(6967)</t>
  </si>
  <si>
    <t>Axcelis Technologies Inc.(ACLS)</t>
  </si>
  <si>
    <t>NEC Networks &amp; System Integration Corp.(1973)</t>
  </si>
  <si>
    <t>Berry Petroleum Corp.(BRY)</t>
  </si>
  <si>
    <t>LOTTE Fine Chemical Co. Ltd.(004000)</t>
  </si>
  <si>
    <t>UACJ Corp.(5741)</t>
  </si>
  <si>
    <t>Ferrexpo plc(FXPO)</t>
  </si>
  <si>
    <t>Maanshan Iron &amp; Steel Co. Ltd.(323)</t>
  </si>
  <si>
    <t>Uponor Oyj(UPONOR)</t>
  </si>
  <si>
    <t>Bharat Electronics Ltd.(BEL)</t>
  </si>
  <si>
    <t>Vetropack Holding AG(VET)</t>
  </si>
  <si>
    <t>Nolato AB Class B(NOLA B)</t>
  </si>
  <si>
    <t>Vicor Corp.(VICR)</t>
  </si>
  <si>
    <t>Nichicon Corp.(6996)</t>
  </si>
  <si>
    <t>General Interface Solution Holding Ltd.(6456)</t>
  </si>
  <si>
    <t>Manitowoc Co. Inc.(MTW)</t>
  </si>
  <si>
    <t>Concentric AB(COIC)</t>
  </si>
  <si>
    <t>CIRCOR International Inc.(CIR)</t>
  </si>
  <si>
    <t>NIO Inc. ADR(NIO)</t>
  </si>
  <si>
    <t>Great Wall Enterprise Co. Ltd.(1210)</t>
  </si>
  <si>
    <t>Inner Mongolia Yili Industrial Group Co. Ltd. Class A(600887)</t>
  </si>
  <si>
    <t>Grupo Lala SAB de CV(LALAB)</t>
  </si>
  <si>
    <t>National HealthCare Corp.(NHC)</t>
  </si>
  <si>
    <t>New Media Investment Group Inc.(NEWM)</t>
  </si>
  <si>
    <t>Hiday Hidaka Corp.(7611)</t>
  </si>
  <si>
    <t>Stagecoach Group plc(SGC)</t>
  </si>
  <si>
    <t>Federal Grid Co. Unified Energy System PJSC(FEES)</t>
  </si>
  <si>
    <t>TrustCo Bank Corp. NY(TRST)</t>
  </si>
  <si>
    <t>Fidelity Southern Corp.(LION)</t>
  </si>
  <si>
    <t>Mercialys SA(MERY)</t>
  </si>
  <si>
    <t>Attacq Ltd.(ATT)</t>
  </si>
  <si>
    <t>UK Commercial Property REIT Ltd.(UKCM)</t>
  </si>
  <si>
    <t>iStar Inc.(STAR)</t>
  </si>
  <si>
    <t>Orient Corp.(8585)</t>
  </si>
  <si>
    <t>Banca Farmafactoring SPA(BFF)</t>
  </si>
  <si>
    <t>WillScot Corp. Class A(WSC)</t>
  </si>
  <si>
    <t>Presidio Inc.(PSDO)</t>
  </si>
  <si>
    <t>Monotype Imaging Holdings Inc.(TYPE)</t>
  </si>
  <si>
    <t>Transcend Information Inc.(2451)</t>
  </si>
  <si>
    <t>Rudolph Technologies Inc.(RTEC)</t>
  </si>
  <si>
    <t>Dongyue Group Ltd.(189)</t>
  </si>
  <si>
    <t>Griffon Corp.(GFF)</t>
  </si>
  <si>
    <t>Kansai Nerolac Paints Ltd.(KANSAINER)</t>
  </si>
  <si>
    <t>Odisha Cement Ltd.(DALBHARAT)</t>
  </si>
  <si>
    <t>Shin Nippon Air Technologies Co. Ltd.(1952)</t>
  </si>
  <si>
    <t>Raito Kogyo Co. Ltd.(1926)</t>
  </si>
  <si>
    <t>Imperial Logistics Ltd.(IPL)</t>
  </si>
  <si>
    <t>Kelly Services Inc. Class A(KELYA)</t>
  </si>
  <si>
    <t>Cass Information Systems Inc.(CASS)</t>
  </si>
  <si>
    <t>Nissan Shatai Co. Ltd.(7222)</t>
  </si>
  <si>
    <t>Kernel Holding SA(KER)</t>
  </si>
  <si>
    <t>Tootsie Roll Industries Inc.(TR)</t>
  </si>
  <si>
    <t>China Agri-Industries Holdings Ltd.(606)</t>
  </si>
  <si>
    <t>zooplus AG(ZO1)</t>
  </si>
  <si>
    <t>Gillette India Ltd.(GILLETTE)</t>
  </si>
  <si>
    <t>Cara Therapeutics Inc.(CARA)</t>
  </si>
  <si>
    <t>YiChang HEC ChangJiang Pharmaceutical Co. Ltd.(1558)</t>
  </si>
  <si>
    <t>Puregold Price Club Inc.(PGOLD)</t>
  </si>
  <si>
    <t>Heiwado Co. Ltd.(8276)</t>
  </si>
  <si>
    <t>Grupo Comercial Chedraui SA de CV(CHDRAUIB)</t>
  </si>
  <si>
    <t>Bilia AB(BILI A)</t>
  </si>
  <si>
    <t>Toei Co. Ltd.(9605)</t>
  </si>
  <si>
    <t>Prestige International Inc.(4290)</t>
  </si>
  <si>
    <t>MOS Food Services Inc.(8153)</t>
  </si>
  <si>
    <t>Banc of California Inc.(BANC)</t>
  </si>
  <si>
    <t>Customers Bancorp Inc.(CUBI)</t>
  </si>
  <si>
    <t>Resurs Holding AB(RESURS)</t>
  </si>
  <si>
    <t>Stock Yards Bancorp Inc.(SYBT)</t>
  </si>
  <si>
    <t>Carmila SA(CARM)</t>
  </si>
  <si>
    <t>Sunway REIT(SUNREIT)</t>
  </si>
  <si>
    <t>Gladstone Commercial Corp.(GOOD)</t>
  </si>
  <si>
    <t>Digital Arts Inc.(2326)</t>
  </si>
  <si>
    <t>Jubilant Life Sciences Ltd.(JUBILANT)</t>
  </si>
  <si>
    <t>Schnitzer Steel Industries Inc.(SCHN)</t>
  </si>
  <si>
    <t>Kier Group plc(KIE)</t>
  </si>
  <si>
    <t>LS Industrial Systems Co. Ltd.(010120)</t>
  </si>
  <si>
    <t>Outotec Oyj(OTE1V)</t>
  </si>
  <si>
    <t>Heidrick &amp; Struggles International Inc.(HSII)</t>
  </si>
  <si>
    <t>Exide Industries Ltd.(EXIDEIND)</t>
  </si>
  <si>
    <t>Dongsuh Cos. Inc.(026960)</t>
  </si>
  <si>
    <t>Bega Cheese Ltd.(BGA)</t>
  </si>
  <si>
    <t>Prima Meat Packers Ltd.(2281)</t>
  </si>
  <si>
    <t>Qingdao Haier Co. Ltd. Class A(600690)</t>
  </si>
  <si>
    <t>NetDragon Websoft Holdings Ltd.(777)</t>
  </si>
  <si>
    <t>Seiren Co. Ltd.(3569)</t>
  </si>
  <si>
    <t>Zai Lab Ltd. ADR(ZLAB)</t>
  </si>
  <si>
    <t>TG Therapeutics Inc.(TGTX)</t>
  </si>
  <si>
    <t>Ripley Corp. SA(RIPLEY)</t>
  </si>
  <si>
    <t>Massmart Holdings Ltd.(MSM)</t>
  </si>
  <si>
    <t>Jarir Marketing Co.(4190)</t>
  </si>
  <si>
    <t>Sun TV Network Ltd.(SUNTV)</t>
  </si>
  <si>
    <t>Fuji Media Holdings Inc.(4676)</t>
  </si>
  <si>
    <t>Air Arabia PJSC(AIRARABIA)</t>
  </si>
  <si>
    <t>StarHub Ltd.(CC3)</t>
  </si>
  <si>
    <t>Turkiye Vakiflar Bankasi TAO(VAKBN)</t>
  </si>
  <si>
    <t>City Union Bank Ltd.(CUB)</t>
  </si>
  <si>
    <t>Talaat Moustafa Group(TMGH)</t>
  </si>
  <si>
    <t>Preferred Apartment Communities Inc. Class A(APTS)</t>
  </si>
  <si>
    <t>eGuarantee Inc.(8771)</t>
  </si>
  <si>
    <t>Elan Microelectronics Corp.(2458)</t>
  </si>
  <si>
    <t>Nanometrics Inc.(NANO)</t>
  </si>
  <si>
    <t>Luxshare Precision Industry Co. Ltd. Class A(002475)</t>
  </si>
  <si>
    <t>China Petroleum &amp; Chemical Corp. Class A(600028)</t>
  </si>
  <si>
    <t>Chase Corp.(CCF)</t>
  </si>
  <si>
    <t>Sanyo Chemical Industries Ltd.(4471)</t>
  </si>
  <si>
    <t>Asahi Holdings Inc.(5857)</t>
  </si>
  <si>
    <t>Berli Jucker PCL(BJC-F)</t>
  </si>
  <si>
    <t>Bizlink Holding Inc.(3665)</t>
  </si>
  <si>
    <t>Daihen Corp.(6622)</t>
  </si>
  <si>
    <t>Bobst Group SA(BOBNN)</t>
  </si>
  <si>
    <t>Tong Yang Industry Co. Ltd.(1319)</t>
  </si>
  <si>
    <t>Apollo Tyres Ltd.(APOLLOTYRE)</t>
  </si>
  <si>
    <t>Anadolu Efes Biracilik Ve Malt Sanayii AS(AEFES)</t>
  </si>
  <si>
    <t>AG Barr plc(BAG)</t>
  </si>
  <si>
    <t>EPS Holdings Inc.(4282)</t>
  </si>
  <si>
    <t>COSMO Pharmaceuticals NV(COPN)</t>
  </si>
  <si>
    <t>Dis-Chem Pharmacies Ltd.(DCP)</t>
  </si>
  <si>
    <t>Smiles Fidelidade SA(SMLS3)</t>
  </si>
  <si>
    <t>Zenrin Co. Ltd.(9474)</t>
  </si>
  <si>
    <t>Koshidaka Holdings Co. Ltd.(2157)</t>
  </si>
  <si>
    <t>Consolidated Communications Holdings Inc.(CNSL)</t>
  </si>
  <si>
    <t>SpeedCast International Ltd.(SDA)</t>
  </si>
  <si>
    <t>TIM Participacoes SA ADR(TSU)</t>
  </si>
  <si>
    <t>Taichung Commercial Bank Co. Ltd.(2812)</t>
  </si>
  <si>
    <t>Powerlong Real Estate Holdings Ltd.(1238)</t>
  </si>
  <si>
    <t>United Development Co. QSC(UDCD)</t>
  </si>
  <si>
    <t>Cathay Real Estate Development Co. Ltd.(2501)</t>
  </si>
  <si>
    <t>Urstadt Biddle Properties Inc. Class A(UBA)</t>
  </si>
  <si>
    <t>Artisan Partners Asset Management Inc. Class A(APAM)</t>
  </si>
  <si>
    <t>Flow Traders(FLOW)</t>
  </si>
  <si>
    <t>kabu.com Securities Co. Ltd.(8703)</t>
  </si>
  <si>
    <t>nLight Inc.(LASR)</t>
  </si>
  <si>
    <t>Amkor Technology Inc.(AMKR)</t>
  </si>
  <si>
    <t>Pakistan Petroleum Ltd.(PPL)</t>
  </si>
  <si>
    <t>Oil India Ltd.(OIL)</t>
  </si>
  <si>
    <t>Par Pacific Holdings Inc.(PARR)</t>
  </si>
  <si>
    <t>Fugro NV(FUR)</t>
  </si>
  <si>
    <t>GMS Inc.(GMS)</t>
  </si>
  <si>
    <t>ElSewedy Electric Co.(SWDY)</t>
  </si>
  <si>
    <t>Danieli &amp; C Officine Meccaniche SPA(DANR)</t>
  </si>
  <si>
    <t>Qingdao Port International Co. Ltd.(6198)</t>
  </si>
  <si>
    <t>Fossil Group Inc.(FOSL)</t>
  </si>
  <si>
    <t>Tod's SPA(TOD)</t>
  </si>
  <si>
    <t>Interparfums SA(ITP)</t>
  </si>
  <si>
    <t>Hanger Inc.(HNGR)</t>
  </si>
  <si>
    <t>Nagaileben Co. Ltd.(7447)</t>
  </si>
  <si>
    <t>Natco Pharma Ltd.(NATCOPHARM)</t>
  </si>
  <si>
    <t>Radius Health Inc.(RDUS)</t>
  </si>
  <si>
    <t>Eagle Pharmaceuticals Inc./DE(EGRX)</t>
  </si>
  <si>
    <t>SpartanNash Co.(SPTN)</t>
  </si>
  <si>
    <t>XL Axiata Tbk PT(EXCL)</t>
  </si>
  <si>
    <t>ATN International Inc.(ATNI)</t>
  </si>
  <si>
    <t>Alupar Investimento SA(ALUP11)</t>
  </si>
  <si>
    <t>YTL Power International Bhd.(YTLPOWR)</t>
  </si>
  <si>
    <t>Habib Bank Ltd.(HBL)</t>
  </si>
  <si>
    <t>IDI Insurance Co. Ltd.(IDIN)</t>
  </si>
  <si>
    <t>SOHO China Ltd.(410)</t>
  </si>
  <si>
    <t>AIMS APAC REIT(O5RU)</t>
  </si>
  <si>
    <t>Saul Centers Inc.(BFS)</t>
  </si>
  <si>
    <t>Financial Products Group Co. Ltd.(7148)</t>
  </si>
  <si>
    <t>Ascom Holding AG(ASCN)</t>
  </si>
  <si>
    <t>Wistron NeWeb Corp.(6285)</t>
  </si>
  <si>
    <t>Surgutneftegas PJSC(SNGS)</t>
  </si>
  <si>
    <t>Modec Inc.(6269)</t>
  </si>
  <si>
    <t>Takasago International Corp.(4914)</t>
  </si>
  <si>
    <t>SunCoke Energy Inc.(SXC)</t>
  </si>
  <si>
    <t>Brickworks Ltd.(BKW)</t>
  </si>
  <si>
    <t>Leoni AG(LEO)</t>
  </si>
  <si>
    <t>Hyster-Yale Materials Handling Inc.(HY)</t>
  </si>
  <si>
    <t>Showa Sangyo Co. Ltd.(2004)</t>
  </si>
  <si>
    <t>HealthStream Inc.(HSTM)</t>
  </si>
  <si>
    <t>ZIOPHARM Oncology Inc.(ZIOP)</t>
  </si>
  <si>
    <t>Komipharm International Co. Ltd.(041960)</t>
  </si>
  <si>
    <t>Mallinckrodt plc(MNK)</t>
  </si>
  <si>
    <t>America's Car-Mart Inc./TX(CRMT)</t>
  </si>
  <si>
    <t>JYP Entertainment Corp.(035900)</t>
  </si>
  <si>
    <t>PlayAGS Inc.(AGS)</t>
  </si>
  <si>
    <t>Tata Communications Ltd.(TATACOMM)</t>
  </si>
  <si>
    <t>CITIC Telecom International Holdings Ltd.(1883)</t>
  </si>
  <si>
    <t>Allegiance Bancshares Inc.(ABTX)</t>
  </si>
  <si>
    <t>Warba Bank KSCP(WARBABANK)</t>
  </si>
  <si>
    <t>Quality Houses PCL(QH-F)</t>
  </si>
  <si>
    <t>Ashford Hospitality Trust Inc.(AHT)</t>
  </si>
  <si>
    <t>Shenwan Hongyuan Group Co. Ltd. Class A(000166)</t>
  </si>
  <si>
    <t>Egyptian Financial Group-Hermes Holding Co.(HRHO)</t>
  </si>
  <si>
    <t>Pro Medicus Ltd.(PME)</t>
  </si>
  <si>
    <t>Sato Holdings Corp.(6287)</t>
  </si>
  <si>
    <t>W&amp;T Offshore Inc.(WTI)</t>
  </si>
  <si>
    <t>Select Energy Services Inc. Class A(WTTR)</t>
  </si>
  <si>
    <t>Plug Power Inc.(PLUG)</t>
  </si>
  <si>
    <t>China BlueChemical Ltd.(3983)</t>
  </si>
  <si>
    <t>Innophos Holdings Inc.(IPHS)</t>
  </si>
  <si>
    <t>PH Glatfelter Co.(GLT)</t>
  </si>
  <si>
    <t>Duratex SA(DTEX3)</t>
  </si>
  <si>
    <t>Echo Global Logistics Inc.(ECHO)</t>
  </si>
  <si>
    <t>Wessanen(WES)</t>
  </si>
  <si>
    <t>Lennar Corp. Class B(LEN.B)</t>
  </si>
  <si>
    <t>Trigano SA(TRI)</t>
  </si>
  <si>
    <t>Alpargatas SA Preference Shares(ALPA4)</t>
  </si>
  <si>
    <t>ArQule Inc.(ARQL)</t>
  </si>
  <si>
    <t>Clinuvel Pharmaceuticals Ltd.(CUV)</t>
  </si>
  <si>
    <t>Nichi-iko Pharmaceutical Co. Ltd.(4541)</t>
  </si>
  <si>
    <t>Shinsegae International Inc.(031430)</t>
  </si>
  <si>
    <t>Hornbach Holding AG &amp; Co. KGaA(HBH)</t>
  </si>
  <si>
    <t>SODEXO PRIME FIDELITY COMMON STOCK(null)</t>
  </si>
  <si>
    <t>CESC Ltd.(CESC)</t>
  </si>
  <si>
    <t>Global Power Synergy PCL(GPSC-F)</t>
  </si>
  <si>
    <t>Vector Ltd.(VCT)</t>
  </si>
  <si>
    <t>Dime Community Bancshares Inc.(DCOM)</t>
  </si>
  <si>
    <t>VTB Bank PJSC GDR(VTBR)</t>
  </si>
  <si>
    <t>Grivalia Properties REIC AE(GRIV)</t>
  </si>
  <si>
    <t>Rural Funds Group(RFF)</t>
  </si>
  <si>
    <t>Monex Group Inc.(8698)</t>
  </si>
  <si>
    <t>Transcosmos Inc.(9715)</t>
  </si>
  <si>
    <t>NCC Group plc(NCC)</t>
  </si>
  <si>
    <t>Diebold Nixdorf Inc.(DBD)</t>
  </si>
  <si>
    <t>RIB Software SE(RIB)</t>
  </si>
  <si>
    <t>Primax Electronics Ltd.(4915)</t>
  </si>
  <si>
    <t>Telcon RF Pharmaceutical Inc.(200230)</t>
  </si>
  <si>
    <t>Weatherford International plc(WFT)</t>
  </si>
  <si>
    <t>TSRC Corp.(2103)</t>
  </si>
  <si>
    <t>Taiwan Glass Industry Corp.(1802)</t>
  </si>
  <si>
    <t>Carel Industries SPA(CRL)</t>
  </si>
  <si>
    <t>Turkiye Sise ve Cam Fabrikalari AS(SISE)</t>
  </si>
  <si>
    <t>Ssangyong Cement Industrial Co. Ltd.(003410)</t>
  </si>
  <si>
    <t>United Integrated Services Co. Ltd.(2404)</t>
  </si>
  <si>
    <t>Kanamoto Co. Ltd.(9678)</t>
  </si>
  <si>
    <t>Tokyu Construction Co. Ltd.(1720)</t>
  </si>
  <si>
    <t>Greatview Aseptic Packaging Co. Ltd.(468)</t>
  </si>
  <si>
    <t>China Lesso Group Holdings Ltd.(2128)</t>
  </si>
  <si>
    <t>King Slide Works Co. Ltd.(2059)</t>
  </si>
  <si>
    <t>Aeon Delight Co. Ltd.(9787)</t>
  </si>
  <si>
    <t>NV5 Global Inc.(NVEE)</t>
  </si>
  <si>
    <t>Bellamy's Australia Ltd.(BAL)</t>
  </si>
  <si>
    <t>Wuxi Little Swan Co. Ltd. Class A(000418)</t>
  </si>
  <si>
    <t>Lao Feng Xiang Co. Ltd. Class B(900905)</t>
  </si>
  <si>
    <t>Aier Eye Hospital Group Co. Ltd. Class A(300015)</t>
  </si>
  <si>
    <t>Fluidigm Corp.(FLDM)</t>
  </si>
  <si>
    <t>Rhythm Pharmaceuticals Inc.(RYTM)</t>
  </si>
  <si>
    <t>Revance Therapeutics Inc.(RVNC)</t>
  </si>
  <si>
    <t>Oscotec Inc.(039200)</t>
  </si>
  <si>
    <t>Weis Markets Inc.(WMK)</t>
  </si>
  <si>
    <t>Mandarin Oriental International Ltd.(M04)</t>
  </si>
  <si>
    <t>Huadian Power International Corp. Ltd.(1071)</t>
  </si>
  <si>
    <t>Oritani Financial Corp.(ORIT)</t>
  </si>
  <si>
    <t>Columbia Financial Inc.(CLBK)</t>
  </si>
  <si>
    <t>Greentown China Holdings Ltd.(3900)</t>
  </si>
  <si>
    <t>Guotai Junan International Holdings Ltd.(1788)</t>
  </si>
  <si>
    <t>ASPEED Technology Inc.(5274)</t>
  </si>
  <si>
    <t>Nordic Semiconductor ASA(NOD)</t>
  </si>
  <si>
    <t>Quantenna Communications Inc.(QTNA)</t>
  </si>
  <si>
    <t>Meitu Inc.(1357)</t>
  </si>
  <si>
    <t>RPC Inc.(RES)</t>
  </si>
  <si>
    <t>SK Materials Co. Ltd.(036490)</t>
  </si>
  <si>
    <t>Altri SGPS SA(ALTR)</t>
  </si>
  <si>
    <t>Aegion Corp. Class A(AEGN)</t>
  </si>
  <si>
    <t>Vallourec SA(VK)</t>
  </si>
  <si>
    <t>Mitie Group plc(MTO)</t>
  </si>
  <si>
    <t>NichiiGakkan Co. Ltd.(9792)</t>
  </si>
  <si>
    <t>Synlait Milk Ltd.(SML)</t>
  </si>
  <si>
    <t>Kameda Seika Co. Ltd.(2220)</t>
  </si>
  <si>
    <t>YETI Holdings Inc.(YETI)</t>
  </si>
  <si>
    <t>Ted Baker plc(TED)</t>
  </si>
  <si>
    <t>Rubius Therapeutics Inc.(RUBY)</t>
  </si>
  <si>
    <t>Chong Kun Dang Pharmaceutical Corp.(185750)</t>
  </si>
  <si>
    <t>China Maple Leaf Educational Systems Ltd.(1317)</t>
  </si>
  <si>
    <t>Dignity plc(DTY)</t>
  </si>
  <si>
    <t>Aeroflot PJSC(AFLT)</t>
  </si>
  <si>
    <t>Scandic Hotels Group AB(SHOT)</t>
  </si>
  <si>
    <t>Collins Foods Ltd.(CKF)</t>
  </si>
  <si>
    <t>United Financial Bancorp Inc.(UBNK)</t>
  </si>
  <si>
    <t>Camden National Corp.(CAC)</t>
  </si>
  <si>
    <t>Liberbank SA(LBK)</t>
  </si>
  <si>
    <t>Huaku Development Co. Ltd.(2548)</t>
  </si>
  <si>
    <t>VZ Holding AG(VZN)</t>
  </si>
  <si>
    <t>HUB24 Ltd.(HUB)</t>
  </si>
  <si>
    <t>Seoul Semiconductor Co. Ltd.(046890)</t>
  </si>
  <si>
    <t>Oil &amp; Gas Development Co. Ltd.(OGDC)</t>
  </si>
  <si>
    <t>Newpark Resources Inc.(NR)</t>
  </si>
  <si>
    <t>Oriental Union Chemical Corp.(1710)</t>
  </si>
  <si>
    <t>Pilbara Minerals Ltd.(PLS)</t>
  </si>
  <si>
    <t>HDC Holdings Co. Ltd.(012630)</t>
  </si>
  <si>
    <t>LISI(FII)</t>
  </si>
  <si>
    <t>Chemring Group plc(CHG)</t>
  </si>
  <si>
    <t>Chilisin Electronics Corp.(2456)</t>
  </si>
  <si>
    <t>Asia Optical Co. Inc.(3019)</t>
  </si>
  <si>
    <t>Lonking Holdings Ltd.(3339)</t>
  </si>
  <si>
    <t>Grieg Seafood ASA(GSF)</t>
  </si>
  <si>
    <t>Varta AG(VAR1)</t>
  </si>
  <si>
    <t>Solasto Corp.(6197)</t>
  </si>
  <si>
    <t>Buckle Inc.(BKE)</t>
  </si>
  <si>
    <t>Komeri Co. Ltd.(8218)</t>
  </si>
  <si>
    <t>China Travel International Investment Hong Kong Ltd.(308)</t>
  </si>
  <si>
    <t>China United Network Communications Ltd. Class A(600050)</t>
  </si>
  <si>
    <t>Community Trust Bancorp Inc.(CTBI)</t>
  </si>
  <si>
    <t>Aveo Group(AOG)</t>
  </si>
  <si>
    <t>St. Joe Co.(JOE)</t>
  </si>
  <si>
    <t>Sunway Bhd.(SUNWAY)</t>
  </si>
  <si>
    <t>Corp Financiera Colombiana SA(CORFICOLCF)</t>
  </si>
  <si>
    <t>Dubai Investments PJSC(DIC)</t>
  </si>
  <si>
    <t>Aditya Birla Capital Ltd.(ABCAPITAL)</t>
  </si>
  <si>
    <t>Bank Tabungan Negara Persero Tbk PT(BBTN)</t>
  </si>
  <si>
    <t>Eizo Corp.(6737)</t>
  </si>
  <si>
    <t>MCJ Co. Ltd.(6670)</t>
  </si>
  <si>
    <t>Photronics Inc.(PLAB)</t>
  </si>
  <si>
    <t>Sangsangin Co. Ltd.(038540)</t>
  </si>
  <si>
    <t>PQ Group Holdings Inc.(PQG)</t>
  </si>
  <si>
    <t>Hochschild Mining plc(HOC)</t>
  </si>
  <si>
    <t>MACOM Technology Solutions Holdings Inc.(MTSI)</t>
  </si>
  <si>
    <t>Coretronic Corp.(5371)</t>
  </si>
  <si>
    <t>Takeuchi Manufacturing Co. Ltd.(6432)</t>
  </si>
  <si>
    <t>COSCO SHIPPING Development Co. Ltd.(2866)</t>
  </si>
  <si>
    <t>Hamburger Hafen und Logistik AG(HHFA)</t>
  </si>
  <si>
    <t>Cub Elecparts Inc.(2231)</t>
  </si>
  <si>
    <t>Balkrishna Industries Ltd.(BALKRISIND)</t>
  </si>
  <si>
    <t>Distell Group Holdings Ltd.(DGH)</t>
  </si>
  <si>
    <t>Primo Water Corp.(PRMW)</t>
  </si>
  <si>
    <t>Handsome Co. Ltd.(020000)</t>
  </si>
  <si>
    <t>Emami Ltd.(EMAMILTD)</t>
  </si>
  <si>
    <t>Attendo AB(ATT)</t>
  </si>
  <si>
    <t>Osstem Implant Co. Ltd.(048260)</t>
  </si>
  <si>
    <t>Intra-Cellular Therapies Inc.(ITCI)</t>
  </si>
  <si>
    <t>PharmaEssentia Corp.(6446)</t>
  </si>
  <si>
    <t>G1 Therapeutics Inc.(GTHX)</t>
  </si>
  <si>
    <t>CrystalGenomics Inc.(083790)</t>
  </si>
  <si>
    <t>China Grand Pharmaceutical and Healthcare Holdings Ltd.(512)</t>
  </si>
  <si>
    <t>La Comer SAB de CV(LACOMERUBC)</t>
  </si>
  <si>
    <t>Halfords Group plc(HFD)</t>
  </si>
  <si>
    <t>RAI Way SPA(RWAY)</t>
  </si>
  <si>
    <t>QuinStreet Inc.(QNST)</t>
  </si>
  <si>
    <t>comScore Inc.(SCOR)</t>
  </si>
  <si>
    <t>SAS AB(SAS)</t>
  </si>
  <si>
    <t>Berjaya Sports Toto Bhd.(BJTOTO)</t>
  </si>
  <si>
    <t>CJ CGV Co. Ltd.(079160)</t>
  </si>
  <si>
    <t>Great Southern Bancorp Inc.(GSBC)</t>
  </si>
  <si>
    <t>State Auto Financial Corp.(STFC)</t>
  </si>
  <si>
    <t>Yanlord Land Group Ltd.(Z25)</t>
  </si>
  <si>
    <t>Aedas Homes SAU(AEDAS)</t>
  </si>
  <si>
    <t>Pennsylvania REIT(PEI)</t>
  </si>
  <si>
    <t>McMillan Shakespeare Ltd.(MMS)</t>
  </si>
  <si>
    <t>INTL. FCStone Inc.(INTL)</t>
  </si>
  <si>
    <t>National Energy Services Reunited Corp.(NESR)</t>
  </si>
  <si>
    <t>SONDA SA(SONDA)</t>
  </si>
  <si>
    <t>Larsen &amp; Toubro Infotech Ltd.(LTI)</t>
  </si>
  <si>
    <t>Ai Holdings Corp.(3076)</t>
  </si>
  <si>
    <t>Jagged Peak Energy Inc.(JAG)</t>
  </si>
  <si>
    <t>Talos Energy Inc.(TALO)</t>
  </si>
  <si>
    <t>Pilipinas Shell Petroleum Corp.(SHLPH)</t>
  </si>
  <si>
    <t>Unit Corp.(UNT)</t>
  </si>
  <si>
    <t>Baoshan Iron &amp; Steel Co. Ltd. Class A(600019)</t>
  </si>
  <si>
    <t>Mount Gibson Iron Ltd.(MGX)</t>
  </si>
  <si>
    <t>Polyus PJSC(PLZL)</t>
  </si>
  <si>
    <t>Siam City Cement PCL (Foreign)(SCCC-F)</t>
  </si>
  <si>
    <t>China International Marine Containers Group Co. Ltd.(2039)</t>
  </si>
  <si>
    <t>Schaeffler AG Preference Shares(SHA)</t>
  </si>
  <si>
    <t>Tianneng Power International Ltd.(819)</t>
  </si>
  <si>
    <t>John B Sanfilippo &amp; Son Inc.(JBSS)</t>
  </si>
  <si>
    <t>ANI Pharmaceuticals Inc.(ANIP)</t>
  </si>
  <si>
    <t>Ra Pharmaceuticals Inc.(RARX)</t>
  </si>
  <si>
    <t>Genomma Lab Internacional SAB de CV Class B(LABB)</t>
  </si>
  <si>
    <t>Matahari Department Store Tbk PT(LPPF)</t>
  </si>
  <si>
    <t>PLAY Communications SA(PLY)</t>
  </si>
  <si>
    <t>Tisco Financial Group PCL(TISCO-R)</t>
  </si>
  <si>
    <t>TriState Capital Holdings Inc.(TSC)</t>
  </si>
  <si>
    <t>Northfield Bancorp Inc.(NFBK)</t>
  </si>
  <si>
    <t>Flushing Financial Corp.(FFIC)</t>
  </si>
  <si>
    <t>VP Bank AG(VPBN)</t>
  </si>
  <si>
    <t>Bangkok Land PCL(BLAND-F)</t>
  </si>
  <si>
    <t>Hemfosa Fastigheter AB Preference Shares(HEMF PREF)</t>
  </si>
  <si>
    <t>Red Star Macalline Group Corp. Ltd.(1528)</t>
  </si>
  <si>
    <t>SP Setia Bhd Group(SPSETIA)</t>
  </si>
  <si>
    <t>Chong Hong Construction Co. Ltd.(5534)</t>
  </si>
  <si>
    <t>Greentown Service Group Co. Ltd.(2869)</t>
  </si>
  <si>
    <t>Sohu.com Ltd. ADR(SOHU)</t>
  </si>
  <si>
    <t>21Vianet Group Inc. ADR(VNET)</t>
  </si>
  <si>
    <t>OneSpan Inc.(OSPN)</t>
  </si>
  <si>
    <t>Isra Vision AG(ISR)</t>
  </si>
  <si>
    <t>Cohu Inc.(COHU)</t>
  </si>
  <si>
    <t>CIMC Enric Holdings Ltd.(3899)</t>
  </si>
  <si>
    <t>Coeur Mining Inc.(CDE)</t>
  </si>
  <si>
    <t>Ramco Cements Ltd.(RAMCOCEM)</t>
  </si>
  <si>
    <t>Great Lakes Dredge &amp; Dock Corp.(GLDD)</t>
  </si>
  <si>
    <t>Shikun &amp; Binui Ltd.(SKBN)</t>
  </si>
  <si>
    <t>Koninklijke Volkerwessels NV(KVW)</t>
  </si>
  <si>
    <t>Waskita Karya Persero Tbk PT(WSKT)</t>
  </si>
  <si>
    <t>Iljin Materials Co. Ltd.(020150)</t>
  </si>
  <si>
    <t>Gorman-Rupp Co.(GRC)</t>
  </si>
  <si>
    <t>Stobart Group Ltd.(STOB)</t>
  </si>
  <si>
    <t>RPS Group plc(RPS)</t>
  </si>
  <si>
    <t>China Motor Corp.(2204)</t>
  </si>
  <si>
    <t>Press Kogyo Co. Ltd.(7246)</t>
  </si>
  <si>
    <t>Daikyonishikawa Corp.(4246)</t>
  </si>
  <si>
    <t>Freedom Foods Group Ltd.(FNP)</t>
  </si>
  <si>
    <t>Kimball International Inc. Class B(KBAL)</t>
  </si>
  <si>
    <t>American Outdoor Brands Corp.(AOBC)</t>
  </si>
  <si>
    <t>OraSure Technologies Inc.(OSUR)</t>
  </si>
  <si>
    <t>Dicerna Pharmaceuticals Inc.(DRNA)</t>
  </si>
  <si>
    <t>Mezzion Pharma Co. Ltd.(140410)</t>
  </si>
  <si>
    <t>Stemline Therapeutics Inc.(STML)</t>
  </si>
  <si>
    <t>Catalyst Pharmaceuticals Inc.(CPRX)</t>
  </si>
  <si>
    <t>Jeil Pharmaceutical Co. Ltd.(271980)</t>
  </si>
  <si>
    <t>Suning.com Co. Ltd. Class A(002024)</t>
  </si>
  <si>
    <t>PVR Ltd.(PVR)</t>
  </si>
  <si>
    <t>Xiabuxiabu Catering Management China Holdings Co. Ltd.(520)</t>
  </si>
  <si>
    <t>doBank SPA(DOB)</t>
  </si>
  <si>
    <t>Bank AlBilad(1140)</t>
  </si>
  <si>
    <t>Bank of Cyprus Holdings plc(BOCH)</t>
  </si>
  <si>
    <t>Turkiye Halk Bankasi AS(HALKB)</t>
  </si>
  <si>
    <t>Ronshine China Holdings Ltd.(3301)</t>
  </si>
  <si>
    <t>Franklin Street Properties Corp.(FSP)</t>
  </si>
  <si>
    <t>Washington Prime Group Inc.(WPG)</t>
  </si>
  <si>
    <t>Amigo Holdings plc(AMGO)</t>
  </si>
  <si>
    <t>National Industries Group Holding SAK(NIND)</t>
  </si>
  <si>
    <t>Clearway Energy Inc. Class A(CWEN.A)</t>
  </si>
  <si>
    <t>IMF Bentham Ltd.(IMF)</t>
  </si>
  <si>
    <t>KeyW Holding Corp.(KEYW)</t>
  </si>
  <si>
    <t>Shanghai Baosight Software Co. Ltd. Class B(900926)</t>
  </si>
  <si>
    <t>Eo Technics Co. Ltd.(039030)</t>
  </si>
  <si>
    <t>QEP Resources Inc.(QEP)</t>
  </si>
  <si>
    <t>Sapura Energy Bhd.(SAPNRG)</t>
  </si>
  <si>
    <t>SK Chemicals Co. Ltd.(285130)</t>
  </si>
  <si>
    <t>Quanex Building Products Corp.(NX)</t>
  </si>
  <si>
    <t>Shapir Engineering and Industry Ltd.(SPEN)</t>
  </si>
  <si>
    <t>NCC AB Class A(NCC A)</t>
  </si>
  <si>
    <t>Hana Microelectronics PCL (Foreign)(null)</t>
  </si>
  <si>
    <t>BOE Technology Group Co. Ltd. Class B(200725)</t>
  </si>
  <si>
    <t>Veeco Instruments Inc.(VECO)</t>
  </si>
  <si>
    <t>Fincantieri SPA(FCT)</t>
  </si>
  <si>
    <t>SmartGroup Corp. Ltd.(SIQ)</t>
  </si>
  <si>
    <t>Takkt AG(TTK)</t>
  </si>
  <si>
    <t>Arezzo Industria e Comercio SA(ARZZ3)</t>
  </si>
  <si>
    <t>Bangkok Chain Hospital PCL(BCH-F)</t>
  </si>
  <si>
    <t>Eiken Chemical Co. Ltd.(4549)</t>
  </si>
  <si>
    <t>Clovis Oncology Inc.(CLVS)</t>
  </si>
  <si>
    <t>TTY Biopharm Co. Ltd.(4105)</t>
  </si>
  <si>
    <t>Centrais Eletricas Brasileiras SA ADR(EBR.B)</t>
  </si>
  <si>
    <t>China Everbright Bank Co. Ltd. Class A(601818)</t>
  </si>
  <si>
    <t>Horizon Bancorp Inc./IN(HBNC)</t>
  </si>
  <si>
    <t>Banca Monte dei Paschi di Siena SPA(BMPS)</t>
  </si>
  <si>
    <t>FBL Financial Group Inc. Class A(FFG)</t>
  </si>
  <si>
    <t>IOI Properties Group Bhd.(IOIPG)</t>
  </si>
  <si>
    <t>Catena AB(CATE)</t>
  </si>
  <si>
    <t>CatchMark Timber Trust Inc. Class A(CTT)</t>
  </si>
  <si>
    <t>Forrester Research Inc.(FORR)</t>
  </si>
  <si>
    <t>Miroku Jyoho Service Co. Ltd.(9928)</t>
  </si>
  <si>
    <t>u-blox Holding AG(UBXN)</t>
  </si>
  <si>
    <t>Bashneft PJSC(BANE)</t>
  </si>
  <si>
    <t>CNX Resources Corp.(CNX)</t>
  </si>
  <si>
    <t>Penn Virginia Corp.(PVAC)</t>
  </si>
  <si>
    <t>China Steel Chemical Corp.(1723)</t>
  </si>
  <si>
    <t>LandMark Optoelectronics Corp.(3081)</t>
  </si>
  <si>
    <t>FIT Hon Teng Ltd.(6088)</t>
  </si>
  <si>
    <t>Global Dominion Access SA(DOM)</t>
  </si>
  <si>
    <t>Fraser &amp; Neave Holdings Bhd.(F&amp;N)</t>
  </si>
  <si>
    <t>Raisio Oyj(RAIVV)</t>
  </si>
  <si>
    <t>Whirlpool of India Ltd.(WHIRLPOOL)</t>
  </si>
  <si>
    <t>World Co. Ltd.(3612)</t>
  </si>
  <si>
    <t>Intellia Therapeutics Inc.(NTLA)</t>
  </si>
  <si>
    <t>OBI Pharma Inc.(4174)</t>
  </si>
  <si>
    <t>SM Entertainment Co. Ltd.(041510)</t>
  </si>
  <si>
    <t>Controladora Vuela Cia de Aviacion SAB de CV Class A(VOLARA)</t>
  </si>
  <si>
    <t>Major Cineplex Group PCL(MAJOR-F)</t>
  </si>
  <si>
    <t>Telefonica Brasil SA ADR(VIV)</t>
  </si>
  <si>
    <t>CK Power PCL(CKP-F)</t>
  </si>
  <si>
    <t>FB Financial Corp.(FBK)</t>
  </si>
  <si>
    <t>AG Mortgage Investment Trust Inc.(MITT)</t>
  </si>
  <si>
    <t>GAM Holding AG(GAM)</t>
  </si>
  <si>
    <t>Indiabulls Ventures Ltd.(IBVENTURES)</t>
  </si>
  <si>
    <t>Vectrus Inc.(VEC)</t>
  </si>
  <si>
    <t>HannStar Display Corp.(6116)</t>
  </si>
  <si>
    <t>Wafer Works Corp.(6182)</t>
  </si>
  <si>
    <t>Ichor Holdings Ltd.(ICHR)</t>
  </si>
  <si>
    <t>Petkim Petrokimya Holding AS(PETKM)</t>
  </si>
  <si>
    <t>Grand Pacific Petrochemical(1312)</t>
  </si>
  <si>
    <t>Cheng Loong Corp.(1904)</t>
  </si>
  <si>
    <t>YFY Inc.(1907)</t>
  </si>
  <si>
    <t>Kajaria Ceramics Ltd.(KAJARIACER)</t>
  </si>
  <si>
    <t>Asia Cement China Holdings Corp.(743)</t>
  </si>
  <si>
    <t>Yokogawa Bridge Holdings Corp.(5911)</t>
  </si>
  <si>
    <t>Myers Industries Inc.(MYE)</t>
  </si>
  <si>
    <t>Barrett Business Services Inc.(BBSI)</t>
  </si>
  <si>
    <t>Iochpe Maxion SA(MYPK3)</t>
  </si>
  <si>
    <t>Luzhou Laojiao Co. Ltd. Class A(000568)</t>
  </si>
  <si>
    <t>Scales Corp. Ltd.(SCL)</t>
  </si>
  <si>
    <t>Hansae Co. Ltd.(105630)</t>
  </si>
  <si>
    <t>Spire Healthcare Group plc(SPI)</t>
  </si>
  <si>
    <t>ViewRay Inc.(VRAY)</t>
  </si>
  <si>
    <t>Rocket Pharmaceuticals Inc.(RCKT)</t>
  </si>
  <si>
    <t>Center Laboratories Inc.(4123)</t>
  </si>
  <si>
    <t>Dermapharm Holding SE(DMP)</t>
  </si>
  <si>
    <t>DO &amp; CO AG(DOC)</t>
  </si>
  <si>
    <t>Cia de Locacao das Americas(LCAM3)</t>
  </si>
  <si>
    <t>TIME dotCom Bhd.(TIMECOM)</t>
  </si>
  <si>
    <t>Magyar Telekom Telecommunications plc(MTELEKOM)</t>
  </si>
  <si>
    <t>Tauron Polska Energia SA(TPE)</t>
  </si>
  <si>
    <t>Shizuoka Gas Co. Ltd.(9543)</t>
  </si>
  <si>
    <t>Saibu Gas Co. Ltd.(9536)</t>
  </si>
  <si>
    <t>TTW PCL(TTW-F)</t>
  </si>
  <si>
    <t>German American Bancorp Inc.(GABC)</t>
  </si>
  <si>
    <t>China Pacific Insurance Group Co. Ltd. Class A(601601)</t>
  </si>
  <si>
    <t>Hiag Immobilien Holding AG(HIAG)</t>
  </si>
  <si>
    <t>DAMAC Properties Dubai Co. PJSC(DAMAC)</t>
  </si>
  <si>
    <t>Federal Agricultural Mortgage Corp.(AGM)</t>
  </si>
  <si>
    <t>LEENO Industrial Inc.(058470)</t>
  </si>
  <si>
    <t>WT Microelectronics Co. Ltd.(3036)</t>
  </si>
  <si>
    <t>CEVA Inc.(CEVA)</t>
  </si>
  <si>
    <t>Liberty Oilfield Services Inc. Class A(LBRT)</t>
  </si>
  <si>
    <t>United Renewable Energy Co. Ltd./Taiwan(3576)</t>
  </si>
  <si>
    <t>Okamoto Industries Inc.(5122)</t>
  </si>
  <si>
    <t>Century Aluminum Co.(CENX)</t>
  </si>
  <si>
    <t>Gold Road Resources Ltd.(GOR)</t>
  </si>
  <si>
    <t>Anhui Conch Cement Co. Ltd. Class A(600585)</t>
  </si>
  <si>
    <t>Hyundai Construction Equipment Co. Ltd.(267270)</t>
  </si>
  <si>
    <t>NCC Ltd./India(NCC)</t>
  </si>
  <si>
    <t>MYR Group Inc.(MYRG)</t>
  </si>
  <si>
    <t>NKT A/S(NKT)</t>
  </si>
  <si>
    <t>Heidelberger Druckmaschinen AG(HDD)</t>
  </si>
  <si>
    <t>Hirata Corp.(6258)</t>
  </si>
  <si>
    <t>Yuexiu Transport Infrastructure Ltd.(1052)</t>
  </si>
  <si>
    <t>Esmo Corp.(073070)</t>
  </si>
  <si>
    <t>Tata Global Beverages Ltd.(TATAGLOBAL)</t>
  </si>
  <si>
    <t>Godrej Industries Ltd.(GODREJIND)</t>
  </si>
  <si>
    <t>National Presto Industries Inc.(NPK)</t>
  </si>
  <si>
    <t>Ethan Allen Interiors Inc.(ETH)</t>
  </si>
  <si>
    <t>HengTen Networks Group Ltd.(136)</t>
  </si>
  <si>
    <t>Superdry plc(SDRY)</t>
  </si>
  <si>
    <t>Bukwang Pharmaceutical Co. Ltd.(003000)</t>
  </si>
  <si>
    <t>China Dongxiang Group Co. Ltd.(3818)</t>
  </si>
  <si>
    <t>Nojima Corp.(7419)</t>
  </si>
  <si>
    <t>Lojas Americanas SA(LAME3)</t>
  </si>
  <si>
    <t>Conn's Inc.(CONN)</t>
  </si>
  <si>
    <t>Houghton Mifflin Harcourt Co.(HMHC)</t>
  </si>
  <si>
    <t>Sun International Ltd./South Africa(SUI)</t>
  </si>
  <si>
    <t>888 Holdings plc(888)</t>
  </si>
  <si>
    <t>Tokyotokeiba Co. Ltd.(9672)</t>
  </si>
  <si>
    <t>B Grimm Power PCL(BGRIM-F)</t>
  </si>
  <si>
    <t>Preferred Bank/Los Angeles CA(PFBC)</t>
  </si>
  <si>
    <t>NIBC Holding NV(NIBC)</t>
  </si>
  <si>
    <t>Chinese Estates Holdings Ltd.(127)</t>
  </si>
  <si>
    <t>AP Thailand PCL(AP)</t>
  </si>
  <si>
    <t>China SCE Group Holdings Ltd.(1966)</t>
  </si>
  <si>
    <t>Lar Espana Real Estate Socimi SA(LRE)</t>
  </si>
  <si>
    <t>Genertec Universal Medical Group Co. Ltd.(2666)</t>
  </si>
  <si>
    <t>Unisys Corp.(UIS)</t>
  </si>
  <si>
    <t>Econocom Group SA/NV(ECONB)</t>
  </si>
  <si>
    <t>Argo Graphics Inc.(7595)</t>
  </si>
  <si>
    <t>Clevo Co.(2362)</t>
  </si>
  <si>
    <t>Comtech Telecommunications Corp.(CMTL)</t>
  </si>
  <si>
    <t>Hellenic Petroleum SA(ELPE)</t>
  </si>
  <si>
    <t>Malaysian Resources Corp. Bhd.(MRCB)</t>
  </si>
  <si>
    <t>KCE Electronics PCL(KCE-F)</t>
  </si>
  <si>
    <t>TPK Holding Co. Ltd.(3673)</t>
  </si>
  <si>
    <t>SBS Holdings Inc.(2384)</t>
  </si>
  <si>
    <t>Pacific Textiles Holdings Ltd.(1382)</t>
  </si>
  <si>
    <t>Movado Group Inc.(MOV)</t>
  </si>
  <si>
    <t>Surmodics Inc.(SRDX)</t>
  </si>
  <si>
    <t>Pharmicell Co. Ltd.(005690)</t>
  </si>
  <si>
    <t>Accelerate Diagnostics Inc.(AXDX)</t>
  </si>
  <si>
    <t>Heska Corp.(HSKA)</t>
  </si>
  <si>
    <t>Alder Biopharmaceuticals Inc.(ALDR)</t>
  </si>
  <si>
    <t>Rite Aid Corp.(RAD)</t>
  </si>
  <si>
    <t>Regis Corp.(RGS)</t>
  </si>
  <si>
    <t>Global Telecom Holding SAE(GTHE)</t>
  </si>
  <si>
    <t>Adani Power Ltd.(ADANIPOWER)</t>
  </si>
  <si>
    <t>Huadian Fuxin Energy Corp. Ltd.(816)</t>
  </si>
  <si>
    <t>Cia Energetica de Minas Gerais ADR(CIG)</t>
  </si>
  <si>
    <t>Amalgamated Bank Class A(AMAL)</t>
  </si>
  <si>
    <t>Piraeus Bank SA(TPEIR)</t>
  </si>
  <si>
    <t>National Western Life Group Inc. Class A(NWLI)</t>
  </si>
  <si>
    <t>SAMTY Co. Ltd.(3244)</t>
  </si>
  <si>
    <t>Retail Value Inc.(RVI)</t>
  </si>
  <si>
    <t>ZIGExN Co. Ltd.(3679)</t>
  </si>
  <si>
    <t>Internet Initiative Japan Inc.(3774)</t>
  </si>
  <si>
    <t>Wacom Co. Ltd.(6727)</t>
  </si>
  <si>
    <t>Digital China Holdings Ltd.(861)</t>
  </si>
  <si>
    <t>Ophir Energy plc(OPHR)</t>
  </si>
  <si>
    <t>KLX Energy Services Holdings Inc.(KLXE)</t>
  </si>
  <si>
    <t>SunPower Corp. Class A(SPWR)</t>
  </si>
  <si>
    <t>Tredegar Corp.(TG)</t>
  </si>
  <si>
    <t>Semirara Mining &amp; Power Corp. Class A(SCC)</t>
  </si>
  <si>
    <t>Implenia AG(IMPN)</t>
  </si>
  <si>
    <t>Samwha Capacitor Co. Ltd.(001820)</t>
  </si>
  <si>
    <t>TTEC Holdings Inc.(TTEC)</t>
  </si>
  <si>
    <t>Ford Otomotiv Sanayi AS(FROTO)</t>
  </si>
  <si>
    <t>William Lyon Homes Class A(WLH)</t>
  </si>
  <si>
    <t>Sonos Inc.(SONO)</t>
  </si>
  <si>
    <t>Skyworth Digital Holdings Ltd.(751)</t>
  </si>
  <si>
    <t>Beneteau SA(BEN)</t>
  </si>
  <si>
    <t>Taiwan Paiho Ltd.(9938)</t>
  </si>
  <si>
    <t>Triple-S Management Corp. Class B(GTS)</t>
  </si>
  <si>
    <t>Dynavax Technologies Corp.(DVAX)</t>
  </si>
  <si>
    <t>Voyager Therapeutics Inc.(VYGR)</t>
  </si>
  <si>
    <t>Dermira Inc.(DERM)</t>
  </si>
  <si>
    <t>Mesoblast Ltd.(MSB)</t>
  </si>
  <si>
    <t>Ipca Laboratories Ltd.(IPCALAB)</t>
  </si>
  <si>
    <t>Kobe Bussan Co. Ltd.(3038)</t>
  </si>
  <si>
    <t>1-800-Flowers.com Inc. Class A(FLWS)</t>
  </si>
  <si>
    <t>KFC Holdings Japan Ltd.(9873)</t>
  </si>
  <si>
    <t>Enel Chile SA ADR(ENIC)</t>
  </si>
  <si>
    <t>Light SA(LIGT3)</t>
  </si>
  <si>
    <t>EVN AG(EVN)</t>
  </si>
  <si>
    <t>CBTX Inc.(CBTX)</t>
  </si>
  <si>
    <t>Yapi ve Kredi Bankasi AS(YKBNK)</t>
  </si>
  <si>
    <t>Opus Bank(OPB)</t>
  </si>
  <si>
    <t>First Community Bankshares Inc.(FCBC)</t>
  </si>
  <si>
    <t>First Foundation Inc.(FFWM)</t>
  </si>
  <si>
    <t>Godrej Properties Ltd.(GODREJPROP)</t>
  </si>
  <si>
    <t>Oberoi Realty Ltd.(OBEROIRLTY)</t>
  </si>
  <si>
    <t>CorEnergy Infrastructure Trust Inc.(CORR)</t>
  </si>
  <si>
    <t>KKR Real Estate Finance Trust Inc.(KREF)</t>
  </si>
  <si>
    <t>HDFC Asset Management Co. Ltd.(HDFCAMC)</t>
  </si>
  <si>
    <t>EZCORP Inc. Class A(EZPW)</t>
  </si>
  <si>
    <t>International Personal Finance plc(IPF)</t>
  </si>
  <si>
    <t>Inversiones La Construccion SA(ILC)</t>
  </si>
  <si>
    <t>Netwealth Group Ltd.(NWL)</t>
  </si>
  <si>
    <t>Daishin Securities Co. Ltd. Preference Shares(003545)</t>
  </si>
  <si>
    <t>Carbon Black Inc.(CBLK)</t>
  </si>
  <si>
    <t>Rosetta Stone Inc.(RST)</t>
  </si>
  <si>
    <t>VSTECS Holdings Ltd.(856)</t>
  </si>
  <si>
    <t>Saudi Kayan Petrochemical Co.(2350)</t>
  </si>
  <si>
    <t>Svenska Cellulosa AB SCA Class A(SCA A)</t>
  </si>
  <si>
    <t>Nishio Rent All Co. Ltd.(9699)</t>
  </si>
  <si>
    <t>Strabag SE(STR)</t>
  </si>
  <si>
    <t>Briggs &amp; Stratton Corp.(BGG)</t>
  </si>
  <si>
    <t>Tsukishima Kikai Co. Ltd.(6332)</t>
  </si>
  <si>
    <t>Savola Group(2050)</t>
  </si>
  <si>
    <t>Nissin Sugar Co. Ltd.(2117)</t>
  </si>
  <si>
    <t>F&amp;F Co. Ltd.(007700)</t>
  </si>
  <si>
    <t>Kura Oncology Inc.(KURA)</t>
  </si>
  <si>
    <t>Enzychem Lifesciences Corp.(183490)</t>
  </si>
  <si>
    <t>GlaxoSmithKline Pharmaceuticals Ltd.(GLAXO)</t>
  </si>
  <si>
    <t>PetIQ Inc. Class A(PETQ)</t>
  </si>
  <si>
    <t>Zumiez Inc.(ZUMZ)</t>
  </si>
  <si>
    <t>CAR Inc.(699)</t>
  </si>
  <si>
    <t>pdvWireless Inc.(PDVW)</t>
  </si>
  <si>
    <t>Enea SA(ENA)</t>
  </si>
  <si>
    <t>ROSSETI PJSC(RSTI)</t>
  </si>
  <si>
    <t>Bank of Communications Co. Ltd. Class A(601328)</t>
  </si>
  <si>
    <t>Whitestone REIT(WSR)</t>
  </si>
  <si>
    <t>Dynex Capital Inc.(DX)</t>
  </si>
  <si>
    <t>Noah Holdings Ltd. ADR(NOAH)</t>
  </si>
  <si>
    <t>Getac Technology Corp.(3005)</t>
  </si>
  <si>
    <t>Global Unichip Corp.(3443)</t>
  </si>
  <si>
    <t>Infinera Corp.(INFN)</t>
  </si>
  <si>
    <t>ZTE Corp. Class A(000063)</t>
  </si>
  <si>
    <t>Southwestern Energy Co.(SWN)</t>
  </si>
  <si>
    <t>PetroChina Co. Ltd. Class A(601857)</t>
  </si>
  <si>
    <t>Koppers Holdings Inc.(KOP)</t>
  </si>
  <si>
    <t>PPC Ltd.(PPC)</t>
  </si>
  <si>
    <t>Supreme Industries Ltd.(SUPREMEIND)</t>
  </si>
  <si>
    <t>Camsing International Holding Ltd.(2662)</t>
  </si>
  <si>
    <t>Shanghai International Airport Co. Ltd. Class A(600009)</t>
  </si>
  <si>
    <t>Sumitomo Warehouse Co. Ltd.(9303)</t>
  </si>
  <si>
    <t>FGV Holdings Bhd.(FGV)</t>
  </si>
  <si>
    <t>Ulker Biskuvi Sanayi AS(ULKER)</t>
  </si>
  <si>
    <t>Henan Shuanghui Investment &amp; Development Co. Ltd. Class A(000895)</t>
  </si>
  <si>
    <t>SMCP SA(SMCP)</t>
  </si>
  <si>
    <t>Lovisa Holdings Ltd.(LOV)</t>
  </si>
  <si>
    <t>Viking Therapeutics Inc.(VKTX)</t>
  </si>
  <si>
    <t>CytomX Therapeutics Inc.(CTMX)</t>
  </si>
  <si>
    <t>Yunnan Baiyao Group Co. Ltd. Class A(000538)</t>
  </si>
  <si>
    <t>China ZhengTong Auto Services Holdings Ltd.(1728)</t>
  </si>
  <si>
    <t>Astro Malaysia Holdings Bhd.(ASTRO)</t>
  </si>
  <si>
    <t>Ardent Leisure Group Ltd.(ALG)</t>
  </si>
  <si>
    <t>Pareteum Corp.(TEUM)</t>
  </si>
  <si>
    <t>Asia Pacific Telecom Co. Ltd.(3682)</t>
  </si>
  <si>
    <t>Inversiones Aguas Metropolitanas SA(IAM)</t>
  </si>
  <si>
    <t>Bancorp Inc.(TBBK)</t>
  </si>
  <si>
    <t>Bridge Bancorp Inc.(BDGE)</t>
  </si>
  <si>
    <t>Mercantile Bank Corp.(MBWM)</t>
  </si>
  <si>
    <t>Amata Corp. PCL(AMATA-F)</t>
  </si>
  <si>
    <t>IGB REIT(IGBREIT)</t>
  </si>
  <si>
    <t>SA Corporate Real Estate Ltd.(SAC)</t>
  </si>
  <si>
    <t>Ready Capital Corp.(RC)</t>
  </si>
  <si>
    <t>Oshidori International Holdings Ltd.(622)</t>
  </si>
  <si>
    <t>Tower Bersama Infrastructure Tbk PT(TBIG)</t>
  </si>
  <si>
    <t>Whiting Petroleum Corp.(WLL)</t>
  </si>
  <si>
    <t>Keane Group Inc.(FRAC)</t>
  </si>
  <si>
    <t>Maire Tecnimont SPA(MT)</t>
  </si>
  <si>
    <t>Matrix Service Co.(MTRX)</t>
  </si>
  <si>
    <t>Tianhe Chemicals Group Ltd.(1619)</t>
  </si>
  <si>
    <t>TPI Polene PCL(TPIPL-F)</t>
  </si>
  <si>
    <t>Doosan Corp.(000150)</t>
  </si>
  <si>
    <t>Giken Ltd.(6289)</t>
  </si>
  <si>
    <t>SGL Carbon SE(SGL)</t>
  </si>
  <si>
    <t>Donnelley Financial Solutions Inc.(DFIN)</t>
  </si>
  <si>
    <t>Resources Connection Inc.(RECN)</t>
  </si>
  <si>
    <t>Ennis Inc.(EBF)</t>
  </si>
  <si>
    <t>W-Scope Corp.(6619)</t>
  </si>
  <si>
    <t>Sunny Friend Environmental Technology Co. Ltd.(8341)</t>
  </si>
  <si>
    <t>Yulon Motor Co. Ltd.(2201)</t>
  </si>
  <si>
    <t>Piolax Inc.(5988)</t>
  </si>
  <si>
    <t>KYB Corp.(7242)</t>
  </si>
  <si>
    <t>Astral Foods Ltd.(ARL)</t>
  </si>
  <si>
    <t>Arcelik AS(ARCLK)</t>
  </si>
  <si>
    <t>LeMaitre Vascular Inc.(LMAT)</t>
  </si>
  <si>
    <t>Akebia Therapeutics Inc.(AKBA)</t>
  </si>
  <si>
    <t>American Public Education Inc.(APEI)</t>
  </si>
  <si>
    <t>China Education Group Holdings Ltd.(839)</t>
  </si>
  <si>
    <t>Gol Linhas Aereas Inteligentes SA Preference Shares(GOLL4)</t>
  </si>
  <si>
    <t>Peoples Bancorp Inc./OH(PEBO)</t>
  </si>
  <si>
    <t>MAS Real Estate Inc.(MSP)</t>
  </si>
  <si>
    <t>Front Yard Residential Corp.(RESI)</t>
  </si>
  <si>
    <t>Redefine International plc/Isle of Man(RDI)</t>
  </si>
  <si>
    <t>Kresna Graha Investama Tbk PT(KREN)</t>
  </si>
  <si>
    <t>CalAmp Corp.(CAMP)</t>
  </si>
  <si>
    <t>ADTRAN Inc.(ADTN)</t>
  </si>
  <si>
    <t>ALBIOMA COMMON STOCK(null)</t>
  </si>
  <si>
    <t>Bonanza Creek Energy Inc.(BCEI)</t>
  </si>
  <si>
    <t>REX American Resources Corp.(REX)</t>
  </si>
  <si>
    <t>Grupa Azoty SA(ATT)</t>
  </si>
  <si>
    <t>Huabao International Holdings Ltd.(336)</t>
  </si>
  <si>
    <t>Resolute Forest Products Inc.(RFP)</t>
  </si>
  <si>
    <t>Advanced Ceramic X Corp.(3152)</t>
  </si>
  <si>
    <t>SF Holding Co. Ltd. Class A(002352)</t>
  </si>
  <si>
    <t>Cheng Uei Precision Industry Co. Ltd.(2392)</t>
  </si>
  <si>
    <t>Optex Group Co. Ltd.(6914)</t>
  </si>
  <si>
    <t>Chiyoda Corp.(6366)</t>
  </si>
  <si>
    <t>Team Inc.(TISI)</t>
  </si>
  <si>
    <t>AA plc(AA.)</t>
  </si>
  <si>
    <t>Yinson Holdings Bhd.(YINSON)</t>
  </si>
  <si>
    <t>AKR Corporindo Tbk PT(AKRA)</t>
  </si>
  <si>
    <t>National Beverage Corp.(FIZZ)</t>
  </si>
  <si>
    <t>iNtRON Biotechnology Inc.(048530)</t>
  </si>
  <si>
    <t>PDL BioPharma Inc.(PDLI)</t>
  </si>
  <si>
    <t>LegoChem Biosciences Inc.(141080)</t>
  </si>
  <si>
    <t>Finnair Oyj(FIA1S)</t>
  </si>
  <si>
    <t>NetEnt AB(NET B)</t>
  </si>
  <si>
    <t>Juventus Football Club SPA(JUVE)</t>
  </si>
  <si>
    <t>Etihad Etisalat Co.(7020)</t>
  </si>
  <si>
    <t>Energa SA(ENG)</t>
  </si>
  <si>
    <t>Unipro PJSC(UPRO)</t>
  </si>
  <si>
    <t>First Gen Corp.(FGEN)</t>
  </si>
  <si>
    <t>First of Long Island Corp.(FLIC)</t>
  </si>
  <si>
    <t>First Defiance Financial Corp.(FDEF)</t>
  </si>
  <si>
    <t>Bank of Marin Bancorp(BMRC)</t>
  </si>
  <si>
    <t>UMH Properties Inc.(UMH)</t>
  </si>
  <si>
    <t>Ratos AB(RATO B)</t>
  </si>
  <si>
    <t>Brait SE(BAT)</t>
  </si>
  <si>
    <t>Model N Inc.(MODN)</t>
  </si>
  <si>
    <t>ASMedia Technology Inc.(5269)</t>
  </si>
  <si>
    <t>Harmonic Inc.(HLIT)</t>
  </si>
  <si>
    <t>Solaris Oilfield Infrastructure Inc. Class A(SOI)</t>
  </si>
  <si>
    <t>HLB Life Science CO Ltd.(067630)</t>
  </si>
  <si>
    <t>Eramet(ERA)</t>
  </si>
  <si>
    <t>Indo Tambangraya Megah Tbk PT(ITMG)</t>
  </si>
  <si>
    <t>Aneka Tambang Tbk(ANTM)</t>
  </si>
  <si>
    <t>Mersen SA(MRN)</t>
  </si>
  <si>
    <t>Shin Zu Shing Co. Ltd.(3376)</t>
  </si>
  <si>
    <t>Control4 Corp.(CTRL)</t>
  </si>
  <si>
    <t>Emeco Holdings Ltd.(EHL)</t>
  </si>
  <si>
    <t>Derichebourg SA(DBG)</t>
  </si>
  <si>
    <t>CMBC Capital Holdings Ltd.(1141)</t>
  </si>
  <si>
    <t>Heritage-Crystal Clean Inc.(HCCI)</t>
  </si>
  <si>
    <t>Kenda Rubber Industrial Co. Ltd.(2106)</t>
  </si>
  <si>
    <t>Yantai Changyu Pioneer Wine Co. Ltd. Class B(200869)</t>
  </si>
  <si>
    <t>MasterCraft Boat Holdings Inc.(MCFT)</t>
  </si>
  <si>
    <t>Oriflame Holding AG(ORI)</t>
  </si>
  <si>
    <t>Apollo Medical Holdings Inc.(AMEH)</t>
  </si>
  <si>
    <t>BrightView Holdings Inc.(BV)</t>
  </si>
  <si>
    <t>Care.com Inc.(CRCM)</t>
  </si>
  <si>
    <t>Domain Holdings Australia Ltd.(DHG)</t>
  </si>
  <si>
    <t>SkiStar AB(SKIS B)</t>
  </si>
  <si>
    <t>Tosho Co. Ltd.(8920)</t>
  </si>
  <si>
    <t>Malakoff Corp. Bhd.(MALAKOF)</t>
  </si>
  <si>
    <t>Kuwait International Bank KSCP(KIB)</t>
  </si>
  <si>
    <t>Metrovacesa SA(MVC)</t>
  </si>
  <si>
    <t>A-Living Services Co. Ltd.(3319)</t>
  </si>
  <si>
    <t>Egypt Kuwait Holding Co. SAE(EKHO)</t>
  </si>
  <si>
    <t>Waterland Financial Holdings Co. Ltd.(2889)</t>
  </si>
  <si>
    <t>President Securities Corp.(2855)</t>
  </si>
  <si>
    <t>Egis Technology Inc.(6462)</t>
  </si>
  <si>
    <t>Sercomm Corp.(5388)</t>
  </si>
  <si>
    <t>San-Ai Oil Co. Ltd.(8097)</t>
  </si>
  <si>
    <t>Clearwater Paper Corp.(CLW)</t>
  </si>
  <si>
    <t>New Hope Corp. Ltd.(NHC)</t>
  </si>
  <si>
    <t>Lucky Cement Ltd.(LUCK)</t>
  </si>
  <si>
    <t>Nampak Ltd.(NPK)</t>
  </si>
  <si>
    <t>Taiwan Hon Chuan Enterprise Co. Ltd.(9939)</t>
  </si>
  <si>
    <t>3M India Ltd.(3MINDIA)</t>
  </si>
  <si>
    <t>Lotes Co. Ltd.(3533)</t>
  </si>
  <si>
    <t>Marcopolo SA Preference Shares(POMO4)</t>
  </si>
  <si>
    <t>Sany Heavy Equipment International Holdings Co. Ltd.(631)</t>
  </si>
  <si>
    <t>U-Ming Marine Transport Corp.(2606)</t>
  </si>
  <si>
    <t>Wens Foodstuffs Group Co. Ltd.(300498)</t>
  </si>
  <si>
    <t>Teikoku Sen-I Co. Ltd.(3302)</t>
  </si>
  <si>
    <t>Xtep International Holdings Ltd.(1368)</t>
  </si>
  <si>
    <t>Aditya Birla Fashion and Retail Ltd.(ABFRL)</t>
  </si>
  <si>
    <t>RadNet Inc.(RDNT)</t>
  </si>
  <si>
    <t>China Resources Medical Holdings Co. Ltd.(1515)</t>
  </si>
  <si>
    <t>Amicogen Inc.(092040)</t>
  </si>
  <si>
    <t>JC Penney Co. Inc.(JCP)</t>
  </si>
  <si>
    <t>MarineMax Inc.(HZO)</t>
  </si>
  <si>
    <t>Famous Brands Ltd.(FBR)</t>
  </si>
  <si>
    <t>JSW Energy Ltd.(JSWENERGY)</t>
  </si>
  <si>
    <t>Hub Power Co. Ltd.(HUBC)</t>
  </si>
  <si>
    <t>China Suntien Green Energy Corp. Ltd.(956)</t>
  </si>
  <si>
    <t>Zhongyu Gas Holdings Ltd.(3633)</t>
  </si>
  <si>
    <t>Indraprastha Gas Ltd.(IGL)</t>
  </si>
  <si>
    <t>Midland States Bancorp Inc.(MSBI)</t>
  </si>
  <si>
    <t>Canara Bank(CANBK)</t>
  </si>
  <si>
    <t>Ezdan Holding Group QSC(ERES)</t>
  </si>
  <si>
    <t>City Office REIT Inc.(CIO)</t>
  </si>
  <si>
    <t>Tesco Lotus Retail Growth Freehold &amp; Leasehold Property Fund(TLGF)</t>
  </si>
  <si>
    <t>Jernigan Capital Inc.(JCAP)</t>
  </si>
  <si>
    <t>Braemar Hotels &amp; Resorts Inc.(BHR)</t>
  </si>
  <si>
    <t>Diebold Nixdorf AG(WIN)</t>
  </si>
  <si>
    <t>STCUBE(052020)</t>
  </si>
  <si>
    <t>Tatneft PAO Preference Shares(TATNP)</t>
  </si>
  <si>
    <t>Soda Sanayii AS(SODA)</t>
  </si>
  <si>
    <t>Severstal PJSC GDR(SVST)</t>
  </si>
  <si>
    <t>Adani Enterprises Ltd.(ADANIENT)</t>
  </si>
  <si>
    <t>Resolute Mining Ltd.(RSG)</t>
  </si>
  <si>
    <t>Ducommun Inc.(DCO)</t>
  </si>
  <si>
    <t>Pact Group Holdings Ltd.(PGH)</t>
  </si>
  <si>
    <t>CryoPort Inc.(CYRX)</t>
  </si>
  <si>
    <t>BOE Technology Group Co. Ltd. Class A(000725)</t>
  </si>
  <si>
    <t>Nippon Carbon Co. Ltd.(5302)</t>
  </si>
  <si>
    <t>Datalogic SPA(DAL)</t>
  </si>
  <si>
    <t>Escorts Ltd.(ESCORTS)</t>
  </si>
  <si>
    <t>CRRC Corp. Ltd. Class A(601766)</t>
  </si>
  <si>
    <t>GLOBERIDE Inc.(7990)</t>
  </si>
  <si>
    <t>Anika Therapeutics Inc.(ANIK)</t>
  </si>
  <si>
    <t>Gourmet Master Co. Ltd.(2723)</t>
  </si>
  <si>
    <t>Kura Sushi Inc.(2695)</t>
  </si>
  <si>
    <t>Engie Energia Chile SA(ECL)</t>
  </si>
  <si>
    <t>AES Tiete Energia SA(TIET11)</t>
  </si>
  <si>
    <t>RENOVA Inc.(9519)</t>
  </si>
  <si>
    <t>Heritage Commerce Corp.(HTBK)</t>
  </si>
  <si>
    <t>Independent Bank Corp./MI(IBCP)</t>
  </si>
  <si>
    <t>Diamond Hill Investment Group Inc.(DHIL)</t>
  </si>
  <si>
    <t>Malaysia Building Society Bhd.(MBSB)</t>
  </si>
  <si>
    <t>Hexaware Technologies Ltd.(HEXAWARE)</t>
  </si>
  <si>
    <t>Mitek Systems Inc.(MITK)</t>
  </si>
  <si>
    <t>QAD Inc. Class A(QADA)</t>
  </si>
  <si>
    <t>Ultra Clean Holdings Inc.(UCTT)</t>
  </si>
  <si>
    <t>Tong Hsing Electronic Industries Ltd.(6271)</t>
  </si>
  <si>
    <t>Loral Space &amp; Communications Inc.(LORL)</t>
  </si>
  <si>
    <t>G-treeBNT Co. Ltd.(115450)</t>
  </si>
  <si>
    <t>Star Petroleum Refining PCL(null)</t>
  </si>
  <si>
    <t>JinkoSolar Holding Co. Ltd. ADR(JKS)</t>
  </si>
  <si>
    <t>Orocobre Ltd.(ORE)</t>
  </si>
  <si>
    <t>Aurelia Metals Ltd.(AMI)</t>
  </si>
  <si>
    <t>Wijaya Karya Persero Tbk PT(WIKA)</t>
  </si>
  <si>
    <t>PKP Cargo SA(PKP)</t>
  </si>
  <si>
    <t>Tata Motors Ltd. Class A(TATAMTRDVR)</t>
  </si>
  <si>
    <t>Tower International Inc.(TOWR)</t>
  </si>
  <si>
    <t>Varun Beverages Ltd.(VBL)</t>
  </si>
  <si>
    <t>SLC Agricola SA(SLCE3)</t>
  </si>
  <si>
    <t>Vista Outdoor Inc.(VSTO)</t>
  </si>
  <si>
    <t>China Lilang Ltd.(1234)</t>
  </si>
  <si>
    <t>Meridian Bioscience Inc.(VIVO)</t>
  </si>
  <si>
    <t>Corbus Pharmaceuticals Holdings Inc.(CRBP)</t>
  </si>
  <si>
    <t>PetMed Express Inc.(PETS)</t>
  </si>
  <si>
    <t>Party City Holdco Inc.(PRTY)</t>
  </si>
  <si>
    <t>Cincinnati Bell Inc.(CBB)</t>
  </si>
  <si>
    <t>Torrent Power Ltd.(TORNTPOWER)</t>
  </si>
  <si>
    <t>York Water Co.(YORW)</t>
  </si>
  <si>
    <t>Peapack Gladstone Financial Corp.(PGC)</t>
  </si>
  <si>
    <t>MCB Bank Ltd.(MCB)</t>
  </si>
  <si>
    <t>MBK PCL(MBK-F)</t>
  </si>
  <si>
    <t>Vista Land &amp; Lifescapes Inc.(VLL)</t>
  </si>
  <si>
    <t>Jiayuan International Group Ltd.(2768)</t>
  </si>
  <si>
    <t>Beijing Capital Land Ltd.(2868)</t>
  </si>
  <si>
    <t>Corestate Capital Holding SA(CCAP)</t>
  </si>
  <si>
    <t>Seazen Holdings Co. Ltd. Class A(601155)</t>
  </si>
  <si>
    <t>Emlak Konut Gayrimenkul Yatirim Ortakligi AS(EKGYO)</t>
  </si>
  <si>
    <t>Yulon Finance Corp.(9941)</t>
  </si>
  <si>
    <t>Grupo Aval Acciones y Valores SA ADR(AVAL)</t>
  </si>
  <si>
    <t>China Bills Finance Corp.(2820)</t>
  </si>
  <si>
    <t>Warsaw Stock Exchange(GPW)</t>
  </si>
  <si>
    <t>Zix Corp.(ZIXI)</t>
  </si>
  <si>
    <t>Focus Media Information Technology Co. Ltd. Class A(002027)</t>
  </si>
  <si>
    <t>Pakistan State Oil Co. Ltd.(PSO)</t>
  </si>
  <si>
    <t>Sinopec Kantons Holdings Ltd.(934)</t>
  </si>
  <si>
    <t>Fauji Fertilizer Co. Ltd.(FFC)</t>
  </si>
  <si>
    <t>American Vanguard Corp.(AVD)</t>
  </si>
  <si>
    <t>AK Steel Holding Corp.(AKS)</t>
  </si>
  <si>
    <t>Wilson Bayly Holmes-Ovcon Ltd.(WBO)</t>
  </si>
  <si>
    <t>Hyosung Corp.(004800)</t>
  </si>
  <si>
    <t>Chin-Poon Industrial Co. Ltd.(2355)</t>
  </si>
  <si>
    <t>CAI International Inc.(CAI)</t>
  </si>
  <si>
    <t>Chongqing Changan Automobile Co. Ltd. Class B(200625)</t>
  </si>
  <si>
    <t>Carabao Group PCL(CBG-F)</t>
  </si>
  <si>
    <t>Charoen Pokphand Enterprise(1215)</t>
  </si>
  <si>
    <t>Elders Ltd.(ELD)</t>
  </si>
  <si>
    <t>Kossan Rubber Industries(KOSSAN)</t>
  </si>
  <si>
    <t>OPKO Health Inc.(OPK)</t>
  </si>
  <si>
    <t>Lumber Liquidators Holdings Inc.(LL)</t>
  </si>
  <si>
    <t>Overstock.com Inc.(OSTK)</t>
  </si>
  <si>
    <t>Clean Energy Fuels Corp.(CLNE)</t>
  </si>
  <si>
    <t>Studio Dragon Corp.(253450)</t>
  </si>
  <si>
    <t>Monarch Casino &amp; Resort Inc.(MCRI)</t>
  </si>
  <si>
    <t>Ananti Inc.(025980)</t>
  </si>
  <si>
    <t>Dazhong Transportation Group Co. Ltd. Class B(900903)</t>
  </si>
  <si>
    <t>Guangshen Railway Co. Ltd.(525)</t>
  </si>
  <si>
    <t>HomeTrust Bancshares Inc.(HTBI)</t>
  </si>
  <si>
    <t>Bank Handlowy w Warszawie SA(BHW)</t>
  </si>
  <si>
    <t>Origin Bancorp Inc.(OBNK)</t>
  </si>
  <si>
    <t>Qualitas Controladora SAB de CV(Q*)</t>
  </si>
  <si>
    <t>New China Life Insurance Co. Ltd. Class A(601336)</t>
  </si>
  <si>
    <t>Bangkok Life Assurance PCL(BLA-F)</t>
  </si>
  <si>
    <t>Hoosiers Holdings(3284)</t>
  </si>
  <si>
    <t>RMR Group Inc. Class A(RMR)</t>
  </si>
  <si>
    <t>Global Medical REIT Inc.(GMRE)</t>
  </si>
  <si>
    <t>Banca IFIS SPA(IF)</t>
  </si>
  <si>
    <t>Cowen Inc. Class A(COWN)</t>
  </si>
  <si>
    <t>Aruhi Corp.(7198)</t>
  </si>
  <si>
    <t>Funding Circle Holdings plc(FCH)</t>
  </si>
  <si>
    <t>Long Chen Paper Co. Ltd.(1909)</t>
  </si>
  <si>
    <t>Cia de Minas Buenaventura SAA(BUENAVC1)</t>
  </si>
  <si>
    <t>Enka Insaat ve Sanayi AS(ENKAI)</t>
  </si>
  <si>
    <t>Arabtec Holding PJSC(ARTC)</t>
  </si>
  <si>
    <t>China Shipbuilding Industry Co. Ltd. Class A(601989)</t>
  </si>
  <si>
    <t>Weichai Power Co. Ltd. Class A(000338)</t>
  </si>
  <si>
    <t>Meyer Burger Technology AG(MBTN)</t>
  </si>
  <si>
    <t>Wan Hai Lines Ltd.(2615)</t>
  </si>
  <si>
    <t>Daqin Railway Co. Ltd. Class A(601006)</t>
  </si>
  <si>
    <t>Elis SA(0RA8)</t>
  </si>
  <si>
    <t>Wemade Co. Ltd.(112040)</t>
  </si>
  <si>
    <t>Bata India Ltd.(BATAINDIA)</t>
  </si>
  <si>
    <t>RHOEN-KLINIKUM AG(RHK)</t>
  </si>
  <si>
    <t>Cytokinetics Inc.(CYTK)</t>
  </si>
  <si>
    <t>Assembly Biosciences Inc.(ASMB)</t>
  </si>
  <si>
    <t>Sigma Healthcare Ltd.(SIG)</t>
  </si>
  <si>
    <t>Advtech Ltd.(ADH)</t>
  </si>
  <si>
    <t>Winmark Corp.(WINA)</t>
  </si>
  <si>
    <t>National CineMedia Inc.(NCMI)</t>
  </si>
  <si>
    <t>Red Robin Gourmet Burgers Inc.(RRGB)</t>
  </si>
  <si>
    <t>China National Nuclear Power Co. Ltd. Class A(601985)</t>
  </si>
  <si>
    <t>Republic Bancorp Inc./KY Class A(RBCAA)</t>
  </si>
  <si>
    <t>Live Oak Bancshares Inc.(LOB)</t>
  </si>
  <si>
    <t>Bank of Beijing Co. Ltd. Class A(601169)</t>
  </si>
  <si>
    <t>Nicolet Bankshares Inc.(NCBS)</t>
  </si>
  <si>
    <t>Sansiri PCL (Foreign)(SIRI-F)</t>
  </si>
  <si>
    <t>Zhenro Properties Group Ltd.(6158)</t>
  </si>
  <si>
    <t>Aliansce Shopping Centers SA(ALSC3)</t>
  </si>
  <si>
    <t>DataTec Ltd.(DTC)</t>
  </si>
  <si>
    <t>Sourcenext Corp.(4344)</t>
  </si>
  <si>
    <t>MobileIron Inc.(MOBL)</t>
  </si>
  <si>
    <t>SVMK Inc.(SVMK)</t>
  </si>
  <si>
    <t>Jasmine International PCL(JAS-F)</t>
  </si>
  <si>
    <t>Pakistan Oilfields Ltd.(POL)</t>
  </si>
  <si>
    <t>Exterran Corp.(EXTN)</t>
  </si>
  <si>
    <t>Shikoku Chemicals Corp.(4099)</t>
  </si>
  <si>
    <t>Alpek SAB de CV(ALPEKA)</t>
  </si>
  <si>
    <t>Bayer CropScience Ltd./India(BAYERCROP)</t>
  </si>
  <si>
    <t>Taiwan Surface Mounting Technology Corp.(6278)</t>
  </si>
  <si>
    <t>Japan Display Inc.(6740)</t>
  </si>
  <si>
    <t>NVE Corp.(NVEC)</t>
  </si>
  <si>
    <t>International Seaways Inc.(INSW)</t>
  </si>
  <si>
    <t>National Research Corp.(NRC)</t>
  </si>
  <si>
    <t>SEB SA FRF20(PRIME FIDELITE)(REGD)(null)</t>
  </si>
  <si>
    <t>Kinpo Electronics(2312)</t>
  </si>
  <si>
    <t>Community Health Systems Inc.(CYH)</t>
  </si>
  <si>
    <t>Draegerwerk AG &amp; Co. KGaA(DRW8)</t>
  </si>
  <si>
    <t>Microport Scientific Corp.(853)</t>
  </si>
  <si>
    <t>Pfizer Ltd./India(PFIZER)</t>
  </si>
  <si>
    <t>Eurocash SA(EUR)</t>
  </si>
  <si>
    <t>Haverty Furniture Cos. Inc.(HVT)</t>
  </si>
  <si>
    <t>Riso Kyoiku Co. Ltd.(4714)</t>
  </si>
  <si>
    <t>Sonic Automotive Inc. Class A(SAH)</t>
  </si>
  <si>
    <t>Technicolor SA(TCH)</t>
  </si>
  <si>
    <t>Shanghai Jinjiang International Hotels Development Co. Ltd. Class B(900934)</t>
  </si>
  <si>
    <t>China CITIC Bank Corp. Ltd. Class A(601998)</t>
  </si>
  <si>
    <t>QCR Holdings Inc.(QCRH)</t>
  </si>
  <si>
    <t>Ares Commercial Real Estate Corp.(ACRE)</t>
  </si>
  <si>
    <t>One Liberty Properties Inc.(OLP)</t>
  </si>
  <si>
    <t>New Senior Investment Group Inc.(SNR)</t>
  </si>
  <si>
    <t>Anworth Mortgage Asset Corp.(ANH)</t>
  </si>
  <si>
    <t>Western Asset Mortgage Capital Corp.(WMC)</t>
  </si>
  <si>
    <t>Sundaram Finance Ltd.(SUNDARMFIN)</t>
  </si>
  <si>
    <t>Ellington Financial Inc.(EFC)</t>
  </si>
  <si>
    <t>OBIC Business Consultants Co. Ltd.(4733)</t>
  </si>
  <si>
    <t>Vakrangee Ltd.(VAKRANGEE)</t>
  </si>
  <si>
    <t>Daea TI Co. Ltd.(045390)</t>
  </si>
  <si>
    <t>Ryosan Co. Ltd.(8140)</t>
  </si>
  <si>
    <t>Esso Thailand PCL(null)</t>
  </si>
  <si>
    <t>FTS International Inc.(FTSI)</t>
  </si>
  <si>
    <t>Serba Dinamik Holdings Bhd.(SERBADK)</t>
  </si>
  <si>
    <t>Budimex SA(BDX)</t>
  </si>
  <si>
    <t>DRB-Hicom Bhd.(DRBHCOM)</t>
  </si>
  <si>
    <t>GMR Infrastructure Ltd.(GMRINFRA)</t>
  </si>
  <si>
    <t>China Logistics Property Holdings Co. Ltd.(1589)</t>
  </si>
  <si>
    <t>Quad/Graphics Inc.(QUAD)</t>
  </si>
  <si>
    <t>KRBL Ltd.(KRBL)</t>
  </si>
  <si>
    <t>Central Garden &amp; Pet Co. Class A(CENT)</t>
  </si>
  <si>
    <t>Vinda International Holdings Ltd.(3331)</t>
  </si>
  <si>
    <t>Beazer Homes USA Inc.(BZH)</t>
  </si>
  <si>
    <t>Phoenix Mills Ltd.(PHOENIXLTD)</t>
  </si>
  <si>
    <t>Lifetech Scientific Corp.(1302)</t>
  </si>
  <si>
    <t>Athenex Inc.(ATNX)</t>
  </si>
  <si>
    <t>Achillion Pharmaceuticals Inc.(ACHN)</t>
  </si>
  <si>
    <t>GlycoMimetics Inc.(GLYC)</t>
  </si>
  <si>
    <t>DBV Technologies SA(DBV)</t>
  </si>
  <si>
    <t>Progenics Pharmaceuticals Inc.(PGNX)</t>
  </si>
  <si>
    <t>Flexion Therapeutics Inc.(FLXN)</t>
  </si>
  <si>
    <t>Hibbett Sports Inc.(HIBB)</t>
  </si>
  <si>
    <t>Thai Airways International PCL(THAI)</t>
  </si>
  <si>
    <t>Shenzhen Overseas Chinese Town Co. Ltd. Class A(000069)</t>
  </si>
  <si>
    <t>Manila Water Co. Inc.(MWC)</t>
  </si>
  <si>
    <t>Atlantic Capital Bancshares Inc.(ACBI)</t>
  </si>
  <si>
    <t>People's Utah Bancorp(PUB)</t>
  </si>
  <si>
    <t>China Merchants Securities Co. Ltd. Class A(600999)</t>
  </si>
  <si>
    <t>Computer Programs &amp; Systems Inc.(CPSI)</t>
  </si>
  <si>
    <t>Visual Photonics Epitaxy Co. Ltd.(2455)</t>
  </si>
  <si>
    <t>Zhejiang Longsheng Group Co. Ltd. Class A(600352)</t>
  </si>
  <si>
    <t>Ciech SA(CIE)</t>
  </si>
  <si>
    <t>Poongsan Corp.(103140)</t>
  </si>
  <si>
    <t>Yieh Phui Enterprise Co. Ltd.(2023)</t>
  </si>
  <si>
    <t>Tung Ho Steel Enterprise Corp.(2006)</t>
  </si>
  <si>
    <t>PP Persero Tbk PT(PTPP)</t>
  </si>
  <si>
    <t>GEK Terna Holding Real Estate Construction SA(GEKTERNA)</t>
  </si>
  <si>
    <t>Korea Electric Terminal Co. Ltd.(025540)</t>
  </si>
  <si>
    <t>Holy Stone Enterprise Co. Ltd.(3026)</t>
  </si>
  <si>
    <t>Shanghai Mechanical and Electrical Industry Co. Ltd. Class B(900925)</t>
  </si>
  <si>
    <t>Cia Sud Americana de Vapores SA(VAPORES)</t>
  </si>
  <si>
    <t>Hanjin Transportation Co. Ltd.(002320)</t>
  </si>
  <si>
    <t>CRA International Inc.(CRAI)</t>
  </si>
  <si>
    <t>Zhou Hei Ya International Holdings Co. Ltd.(1458)</t>
  </si>
  <si>
    <t>Universal Electronics Inc.(UEIC)</t>
  </si>
  <si>
    <t>International Games System Co. Ltd.(3293)</t>
  </si>
  <si>
    <t>Texhong Textile Group Ltd.(2678)</t>
  </si>
  <si>
    <t>Mithra Pharmaceuticals SA(MITRA)</t>
  </si>
  <si>
    <t>Collegium Pharmaceutical Inc.(COLL)</t>
  </si>
  <si>
    <t>Shoe Carnival Inc.(SCVL)</t>
  </si>
  <si>
    <t>Mitra Adiperkasa Tbk PT(MAPI)</t>
  </si>
  <si>
    <t>Thomson Medical Group Ltd.(A50)</t>
  </si>
  <si>
    <t>Lindblad Expeditions Holdings Inc.(LIND)</t>
  </si>
  <si>
    <t>First Financial Corp./IN(THFF)</t>
  </si>
  <si>
    <t>Heiwa Real Estate Co. Ltd.(8803)</t>
  </si>
  <si>
    <t>Lippo Karawaci Tbk PT(LPKR)</t>
  </si>
  <si>
    <t>Landing International Development Ltd.(582)</t>
  </si>
  <si>
    <t>Realogy Holdings Corp.(RLGY)</t>
  </si>
  <si>
    <t>Switch Inc.(SWCH)</t>
  </si>
  <si>
    <t>VirnetX Holding Corp.(VHC)</t>
  </si>
  <si>
    <t>Agilysys Inc.(AGYS)</t>
  </si>
  <si>
    <t>Ring Energy Inc.(REI)</t>
  </si>
  <si>
    <t>Advanced Petrochemical Co.(2330)</t>
  </si>
  <si>
    <t>Lotte Chemical Titan Holding Bhd.(LCTITAN)</t>
  </si>
  <si>
    <t>FutureFuel Corp.(FF)</t>
  </si>
  <si>
    <t>Coromandel International Ltd.(COROMANDEL)</t>
  </si>
  <si>
    <t>Kidman Resources Ltd.(KDR)</t>
  </si>
  <si>
    <t>Sterling Construction Co. Inc.(STRL)</t>
  </si>
  <si>
    <t>China Machinery Engineering Corp.(1829)</t>
  </si>
  <si>
    <t>Career Technology MFG. Co. Ltd.(6153)</t>
  </si>
  <si>
    <t>Miller Industries Inc./TN(MLR)</t>
  </si>
  <si>
    <t>Shanghai Zhenhua Heavy Industries Co. Ltd. Class B(900947)</t>
  </si>
  <si>
    <t>Energy Recovery Inc.(ERII)</t>
  </si>
  <si>
    <t>Wesco Aircraft Holdings Inc.(WAIR)</t>
  </si>
  <si>
    <t>Willdan Group Inc.(WLDN)</t>
  </si>
  <si>
    <t>Adani Gas Ltd.(ADANIGAS)</t>
  </si>
  <si>
    <t>Shinkong Synthetic Fibers Corp.(1409)</t>
  </si>
  <si>
    <t>Grendene SA(GRND3)</t>
  </si>
  <si>
    <t>KPJ Healthcare Bhd.(KPJ)</t>
  </si>
  <si>
    <t>BioSpecifics Technologies Corp.(BSTC)</t>
  </si>
  <si>
    <t>Esprit Holdings Ltd.(330)</t>
  </si>
  <si>
    <t>GameStop Corp. Class A(GME)</t>
  </si>
  <si>
    <t>SKY Network Television Ltd.(SKT)</t>
  </si>
  <si>
    <t>First Mid Bancshares Inc.(FMBH)</t>
  </si>
  <si>
    <t>Arrow Financial Corp.(AROW)</t>
  </si>
  <si>
    <t>1st Source Corp.(SRCE)</t>
  </si>
  <si>
    <t>First Bancshares Inc.(FBMS)</t>
  </si>
  <si>
    <t>Panin Financial Tbk PT(PNLF)</t>
  </si>
  <si>
    <t>Skyfame Realty Holdings Ltd.(59)</t>
  </si>
  <si>
    <t>Waddell &amp; Reed Financial Inc. Class A(WDR)</t>
  </si>
  <si>
    <t>Aiful Corp.(8515)</t>
  </si>
  <si>
    <t>Amanat Holdings PJSC(AMANAT)</t>
  </si>
  <si>
    <t>Cafe24 Corp.(042000)</t>
  </si>
  <si>
    <t>Meet Group Inc.(MEET)</t>
  </si>
  <si>
    <t>PC Connection Inc.(CNXN)</t>
  </si>
  <si>
    <t>DSP Group Inc.(DSPG)</t>
  </si>
  <si>
    <t>Yangtze Optical Fibre and Cable Joint Stock Ltd. Co.(6869)</t>
  </si>
  <si>
    <t>Taiwan Styrene Monomer(1310)</t>
  </si>
  <si>
    <t>SRF Ltd.(SRF)</t>
  </si>
  <si>
    <t>Shandong Chenming Paper Holdings Ltd. Class B(200488)</t>
  </si>
  <si>
    <t>Vale Indonesia Tbk PT(INCO)</t>
  </si>
  <si>
    <t>Salini Impregilo SPA(SAL)</t>
  </si>
  <si>
    <t>Hamakyorex Co. Ltd.(9037)</t>
  </si>
  <si>
    <t>RR Donnelley &amp; Sons Co.(RRD)</t>
  </si>
  <si>
    <t>OrthoPediatrics Corp.(KIDS)</t>
  </si>
  <si>
    <t>Safmar Financial Investment(SFIN)</t>
  </si>
  <si>
    <t>AO World plc(AO.)</t>
  </si>
  <si>
    <t>TechTarget Inc.(TTGT)</t>
  </si>
  <si>
    <t>Royal Holdings Co. Ltd.(8179)</t>
  </si>
  <si>
    <t>Cia Energetica de Minas Gerais(CMIG3)</t>
  </si>
  <si>
    <t>Byline Bancorp Inc.(BY)</t>
  </si>
  <si>
    <t>United Community Financial Corp./OH(UCFC)</t>
  </si>
  <si>
    <t>UEM Sunrise Bhd.(UEMS)</t>
  </si>
  <si>
    <t>Prestige Estates Projects Ltd.(PRESTIGE)</t>
  </si>
  <si>
    <t>Exantas Capital Corp.(XAN)</t>
  </si>
  <si>
    <t>Okasan Securities Group Inc.(8609)</t>
  </si>
  <si>
    <t>Dubai Financial Market PJSC(DFM)</t>
  </si>
  <si>
    <t>NIIT Technologies Ltd.(NIITTECH)</t>
  </si>
  <si>
    <t>PDF Solutions Inc.(PDFS)</t>
  </si>
  <si>
    <t>Ennoconn Corp.(6414)</t>
  </si>
  <si>
    <t>Ardentec Corp.(3264)</t>
  </si>
  <si>
    <t>Restar Holdings Corp.(3156)</t>
  </si>
  <si>
    <t>Hawkins Inc.(HWKN)</t>
  </si>
  <si>
    <t>China Railway Construction Corp. Ltd. Class A(601186)</t>
  </si>
  <si>
    <t>Integrated Holding Co. KCSC(INTEGRATED)</t>
  </si>
  <si>
    <t>Vishay Precision Group Inc.(VPG)</t>
  </si>
  <si>
    <t>Kimball Electronics Inc.(KE)</t>
  </si>
  <si>
    <t>Lydall Inc.(LDL)</t>
  </si>
  <si>
    <t>Meidensha Corp.(6508)</t>
  </si>
  <si>
    <t>GMexico Transportes SAB de CV(GMXT*)</t>
  </si>
  <si>
    <t>ShotSpotter Inc.(SSTI)</t>
  </si>
  <si>
    <t>Central Security Patrols Co. Ltd.(9740)</t>
  </si>
  <si>
    <t>Quess Corp. Ltd.(QUESS)</t>
  </si>
  <si>
    <t>Tofas Turk Otomobil Fabrikasi AS(TOASO)</t>
  </si>
  <si>
    <t>Sanyang Motor Co. Ltd.(2206)</t>
  </si>
  <si>
    <t>Motorcar Parts of America Inc.(MPAA)</t>
  </si>
  <si>
    <t>Thai Vegetable Oil PCL(TVO-F)</t>
  </si>
  <si>
    <t>Antares Pharma Inc.(ATRS)</t>
  </si>
  <si>
    <t>Deciphera Pharmaceuticals Inc.(DCPH)</t>
  </si>
  <si>
    <t>ChemoCentryx Inc.(CCXI)</t>
  </si>
  <si>
    <t>Indivior plc(INDV)</t>
  </si>
  <si>
    <t>Far Eastern Department Stores Ltd.(2903)</t>
  </si>
  <si>
    <t>Franklin Financial Network Inc.(FSB)</t>
  </si>
  <si>
    <t>Equity Bancshares Inc. Class A(EQBK)</t>
  </si>
  <si>
    <t>Waterstone Financial Inc.(WSBF)</t>
  </si>
  <si>
    <t>China South City Holdings Ltd.(1668)</t>
  </si>
  <si>
    <t>Hung Sheng Construction Ltd.(2534)</t>
  </si>
  <si>
    <t>Endurance International Group Holdings Inc.(EIGI)</t>
  </si>
  <si>
    <t>Brightcove Inc.(BCOV)</t>
  </si>
  <si>
    <t>Gogo Inc.(GOGO)</t>
  </si>
  <si>
    <t>ChipMOS Technologies Inc.(8150)</t>
  </si>
  <si>
    <t>Medco Energi Internasional Tbk PT(MEDC)</t>
  </si>
  <si>
    <t>Superior Energy Services Inc.(SPN)</t>
  </si>
  <si>
    <t>Saudi Industrial Investment Group(2250)</t>
  </si>
  <si>
    <t>China Man-Made Fiber Corp.(1718)</t>
  </si>
  <si>
    <t>Industrias CH SAB de CV Class B(ICHB)</t>
  </si>
  <si>
    <t>China Shenhua Energy Co. Ltd. Class A(601088)</t>
  </si>
  <si>
    <t>Galaxy Resources Ltd.(GXY)</t>
  </si>
  <si>
    <t>NCI Building Systems Inc.(NCS)</t>
  </si>
  <si>
    <t>Insteel Industries Inc.(IIIN)</t>
  </si>
  <si>
    <t>Pan-International Industrial Corp.(2328)</t>
  </si>
  <si>
    <t>Asia Vital Components Co. Ltd.(3017)</t>
  </si>
  <si>
    <t>Gunkul Engineering PCL(GUNKUL-F)</t>
  </si>
  <si>
    <t>Harbin Electric Co. Ltd.(1133)</t>
  </si>
  <si>
    <t>Beijing Sports and Entertainment Industry Group Ltd.(1803)</t>
  </si>
  <si>
    <t>EcoRodovias Infraestrutura e Logistica SA(ECOR3)</t>
  </si>
  <si>
    <t>Bingo Industries Ltd.(BIN)</t>
  </si>
  <si>
    <t>Coca-Cola Icecek AS(CCOLA)</t>
  </si>
  <si>
    <t>Taiwan TEA Corp.(2913)</t>
  </si>
  <si>
    <t>BML Inc.(4694)</t>
  </si>
  <si>
    <t>GenMark Diagnostics Inc.(GNMK)</t>
  </si>
  <si>
    <t>Anterogen Co. Ltd.(065660)</t>
  </si>
  <si>
    <t>Axsome Therapeutics Inc.(AXSM)</t>
  </si>
  <si>
    <t>Geron Corp.(GERN)</t>
  </si>
  <si>
    <t>Lannett Co. Inc.(LCI)</t>
  </si>
  <si>
    <t>Ingles Markets Inc. Class A(IMKTA)</t>
  </si>
  <si>
    <t>B&amp;S Group Sarl(BSGR)</t>
  </si>
  <si>
    <t>Upwork Inc.(UPWK)</t>
  </si>
  <si>
    <t>Thomas Cook Group plc(TCG)</t>
  </si>
  <si>
    <t>Merchants Bancorp/IN(MBIN)</t>
  </si>
  <si>
    <t>Huaxia Bank Co. Ltd. Class A(600015)</t>
  </si>
  <si>
    <t>CNB Financial Corp./PA(CCNE)</t>
  </si>
  <si>
    <t>Old Second Bancorp Inc.(OSBC)</t>
  </si>
  <si>
    <t>Financial Institutions Inc.(FISI)</t>
  </si>
  <si>
    <t>United Bank Ltd./Pakistan(UBL)</t>
  </si>
  <si>
    <t>Banco Inter SA Preference Shares(BIDI4)</t>
  </si>
  <si>
    <t>Pruksa Holding PCL(PSH)</t>
  </si>
  <si>
    <t>LIFULL Co. Ltd.(2120)</t>
  </si>
  <si>
    <t>Cherry Hill Mortgage Investment Corp.(CHMI)</t>
  </si>
  <si>
    <t>Great Ajax Corp.(AJX)</t>
  </si>
  <si>
    <t>Credit Corp. Group Ltd.(CCP)</t>
  </si>
  <si>
    <t>IBJ Leasing Co. Ltd.(8425)</t>
  </si>
  <si>
    <t>PNB Housing Finance Ltd.(PNBHOUSING)</t>
  </si>
  <si>
    <t>CMC Magnetics Corp.(2323)</t>
  </si>
  <si>
    <t>Topco Scientific Co. Ltd.(5434)</t>
  </si>
  <si>
    <t>OMNOVA Solutions Inc.(OMN)</t>
  </si>
  <si>
    <t>Gujarat Fluorochemicals Ltd.(GUJFLUORO)</t>
  </si>
  <si>
    <t>D&amp;L Industries Inc.(DNL)</t>
  </si>
  <si>
    <t>Intrepid Potash Inc.(IPI)</t>
  </si>
  <si>
    <t>TimkenSteel Corp.(TMST)</t>
  </si>
  <si>
    <t>TOA Paint Thailand PCL(TOA-F)</t>
  </si>
  <si>
    <t>CSG Holding Co. Ltd. Class B(200012)</t>
  </si>
  <si>
    <t>China Fortune Land Development Co. Ltd. Class A(600340)</t>
  </si>
  <si>
    <t>Randon Participacoes SA Preference Shares(RAPT4)</t>
  </si>
  <si>
    <t>Doosan Heavy Industries &amp; Construction Co. Ltd.(034020)</t>
  </si>
  <si>
    <t>Toshiba Machine Co. Ltd.(6104)</t>
  </si>
  <si>
    <t>Max Co. Ltd.(6454)</t>
  </si>
  <si>
    <t>B. Riley Financial Inc.(RILY)</t>
  </si>
  <si>
    <t>TeamLease Services Ltd.(TEAMLEASE)</t>
  </si>
  <si>
    <t>ASKUL Corp.(2678)</t>
  </si>
  <si>
    <t>Endurance Technologies Ltd.(ENDURANCE)</t>
  </si>
  <si>
    <t>WABCO India Ltd.(WABCOINDIA)</t>
  </si>
  <si>
    <t>New Hope Liuhe Co. Ltd. Class A(000876)</t>
  </si>
  <si>
    <t>BRF SA ADR(BRFS)</t>
  </si>
  <si>
    <t>Marfrig Global Foods SA(MRFG3)</t>
  </si>
  <si>
    <t>Hisense Home Appliances Group Co. Ltd. Class A(000921)</t>
  </si>
  <si>
    <t>Hooker Furniture Corp.(HOFT)</t>
  </si>
  <si>
    <t>TCL Electronics Holdings Ltd.(1070)</t>
  </si>
  <si>
    <t>JNBY Design Ltd.(3306)</t>
  </si>
  <si>
    <t>Dr Lal PathLabs Ltd.(LALPATHLAB)</t>
  </si>
  <si>
    <t>Utah Medical Products Inc.(UTMD)</t>
  </si>
  <si>
    <t>Homology Medicines Inc.(FIXX)</t>
  </si>
  <si>
    <t>MediciNova Inc.(MNOV)</t>
  </si>
  <si>
    <t>Sanofi India Ltd.(SANOFI)</t>
  </si>
  <si>
    <t>Sok Marketler Ticaret AS(SOKM)</t>
  </si>
  <si>
    <t>Emerald Expositions Events Inc.(EEX)</t>
  </si>
  <si>
    <t>China Yuhua Education Corp. Ltd.(6169)</t>
  </si>
  <si>
    <t>Waitr Holdings Inc.(WTRH)</t>
  </si>
  <si>
    <t>PChome Online Inc.(8044)</t>
  </si>
  <si>
    <t>East Money Information Co. Ltd. Class A(300059)</t>
  </si>
  <si>
    <t>Golden Entertainment Inc.(GDEN)</t>
  </si>
  <si>
    <t>Saizeriya Co. Ltd.(7581)</t>
  </si>
  <si>
    <t>Vision Inc./Tokyo Japan(9416)</t>
  </si>
  <si>
    <t>China Tian Lun Gas Holdings Ltd.(1600)</t>
  </si>
  <si>
    <t>Territorial Bancorp Inc.(TBNK)</t>
  </si>
  <si>
    <t>Bupa Arabia for Cooperative Insurance Co.(8210)</t>
  </si>
  <si>
    <t>Mercuries Life Insurance Co. Ltd.(2867)</t>
  </si>
  <si>
    <t>Jinchuan Group International Resources Co. Ltd.(2362)</t>
  </si>
  <si>
    <t>Emira Property Fund Ltd.(EMI)</t>
  </si>
  <si>
    <t>Qudian Inc. ADR(QD)</t>
  </si>
  <si>
    <t>Arlington Asset Investment Corp. Class A(AI)</t>
  </si>
  <si>
    <t>Everbright Securities Co. Ltd. Class A(601788)</t>
  </si>
  <si>
    <t>Persistent Systems Ltd.(PERSISTENT)</t>
  </si>
  <si>
    <t>Change Inc.(3962)</t>
  </si>
  <si>
    <t>Just Dial Ltd.(JUSTDIAL)</t>
  </si>
  <si>
    <t>American Software Inc./GA Class A(AMSWA)</t>
  </si>
  <si>
    <t>Systemax Inc.(SYX)</t>
  </si>
  <si>
    <t>Ton Yi Industrial Corp.(9907)</t>
  </si>
  <si>
    <t>NBCC India Ltd.(NBCC)</t>
  </si>
  <si>
    <t>Ritek Corp.(2349)</t>
  </si>
  <si>
    <t>Anhui Expressway Co. Ltd.(995)</t>
  </si>
  <si>
    <t>Guangdong Provincial Expressway Development Co. Ltd. Class B(200429)</t>
  </si>
  <si>
    <t>Contemporary Amperex Technology Co. Ltd. Class A(300750)</t>
  </si>
  <si>
    <t>Lotte Chilsung Beverage Co. Ltd.(005300)</t>
  </si>
  <si>
    <t>Limoneira Co.(LMNR)</t>
  </si>
  <si>
    <t>Oceana Group Ltd.(OCE)</t>
  </si>
  <si>
    <t>Shoei Co. Ltd.(7839)</t>
  </si>
  <si>
    <t>Clarus Corp.(CLAR)</t>
  </si>
  <si>
    <t>Inovio Pharmaceuticals Inc.(INO)</t>
  </si>
  <si>
    <t>Huadong Medicine Co. Ltd. Class A(000963)</t>
  </si>
  <si>
    <t>Lung Yen Life Service Corp.(5530)</t>
  </si>
  <si>
    <t>Mahanagar Gas Ltd.(MGL)</t>
  </si>
  <si>
    <t>Cambridge Bancorp(CATC)</t>
  </si>
  <si>
    <t>Nanto Bank Ltd.(8367)</t>
  </si>
  <si>
    <t>Karur Vysya Bank Ltd.(KARURVYSYA)</t>
  </si>
  <si>
    <t>Bank Pembangunan Daerah Jawa Barat Dan Banten Tbk PT(BJBR)</t>
  </si>
  <si>
    <t>Shanghai Jinqiao Export Processing Zone Development Co. Ltd. Class B(900911)</t>
  </si>
  <si>
    <t>Plaza SA(MALLPLAZA)</t>
  </si>
  <si>
    <t>Farglory Land Development Co. Ltd.(5522)</t>
  </si>
  <si>
    <t>AEON Thana Sinsap Thailand PCL(AEONTS-F)</t>
  </si>
  <si>
    <t>Hackett Group Inc.(HCKT)</t>
  </si>
  <si>
    <t>Gunosy Inc.(6047)</t>
  </si>
  <si>
    <t>ChannelAdvisor Corp.(ECOM)</t>
  </si>
  <si>
    <t>Digi International Inc.(DGII)</t>
  </si>
  <si>
    <t>Nabors Industries Ltd.(NBR)</t>
  </si>
  <si>
    <t>Sri Trang Agro-Industry PCL(STA-F)</t>
  </si>
  <si>
    <t>Unipar Carbocloro SA Preference Shares(UNIP6)</t>
  </si>
  <si>
    <t>New Century Resources Ltd.(NCZ)</t>
  </si>
  <si>
    <t>Dacian Gold Ltd.(DCN)</t>
  </si>
  <si>
    <t>Huaxin Cement Co. Ltd. Class B(900933)</t>
  </si>
  <si>
    <t>Tipco Asphalt PCL(TASCO-F)</t>
  </si>
  <si>
    <t>Unitech Printed Circuit Board Corp.(2367)</t>
  </si>
  <si>
    <t>Futaba Corp.(6986)</t>
  </si>
  <si>
    <t>Taiwan PCB Techvest Co. Ltd.(8213)</t>
  </si>
  <si>
    <t>Amara Raja Batteries Ltd.(AMARAJABAT)</t>
  </si>
  <si>
    <t>Machvision Inc.(3563)</t>
  </si>
  <si>
    <t>VS Industry Bhd.(VS)</t>
  </si>
  <si>
    <t>Nemak SAB de CV(NEMAKA)</t>
  </si>
  <si>
    <t>Tsingtao Brewery Co. Ltd. Class A(600600)</t>
  </si>
  <si>
    <t>Naturecell Co. Ltd.(007390)</t>
  </si>
  <si>
    <t>Foshan Haitian Flavouring &amp; Food Co. Ltd. Class A(603288)</t>
  </si>
  <si>
    <t>Turning Point Brands Inc.(TPB)</t>
  </si>
  <si>
    <t>Mouwasat Medical Services Co.(4002)</t>
  </si>
  <si>
    <t>Akcea Therapeutics Inc.(AKCA)</t>
  </si>
  <si>
    <t>BioDelivery Sciences International Inc.(BDSI)</t>
  </si>
  <si>
    <t>Via Varejo SA(VVAR3)</t>
  </si>
  <si>
    <t>KOMEDA Holdings Co. Ltd.(3543)</t>
  </si>
  <si>
    <t>Frontier Communications Corp.(FTR)</t>
  </si>
  <si>
    <t>Turk Telekomunikasyon AS(TTKOM)</t>
  </si>
  <si>
    <t>Bank of Nagoya Ltd.(8522)</t>
  </si>
  <si>
    <t>Civista Bancshares Inc.(CIVB)</t>
  </si>
  <si>
    <t>PCSB Financial Corp.(PCSB)</t>
  </si>
  <si>
    <t>Bar Harbor Bankshares(BHB)</t>
  </si>
  <si>
    <t>Samsung Fire &amp; Marine Insurance Co. Ltd. Preference Shares(000815)</t>
  </si>
  <si>
    <t>Consolidated-Tomoka Land Co.(CTO)</t>
  </si>
  <si>
    <t>Concentradora Fibra Danhos SA de CV(DANHOS13)</t>
  </si>
  <si>
    <t>Spirit MTA REIT(SMTA)</t>
  </si>
  <si>
    <t>Investec Property Fund Ltd.(IPF)</t>
  </si>
  <si>
    <t>Charter Hall Education Trust(CQE)</t>
  </si>
  <si>
    <t>M&amp;A Capital Partners Co. Ltd.(6080)</t>
  </si>
  <si>
    <t>FFP(FFP)</t>
  </si>
  <si>
    <t>Ladenburg Thalmann Financial Services Inc.(LTS)</t>
  </si>
  <si>
    <t>USA Technologies Inc.(USAT)</t>
  </si>
  <si>
    <t>Sanken Electric Co. Ltd.(6707)</t>
  </si>
  <si>
    <t>Kinsus Interconnect Technology Corp.(3189)</t>
  </si>
  <si>
    <t>Eastern Communications Co. Ltd. Class A(600776)</t>
  </si>
  <si>
    <t>TransEnterix Inc.(TRXC)</t>
  </si>
  <si>
    <t>Gujarat State Petronet Ltd.(GSPL)</t>
  </si>
  <si>
    <t>Shanghai Chlor-Alkali Chemical Co. Ltd. Class B(900908)</t>
  </si>
  <si>
    <t>Aarti Industries Ltd.(AARTIIND)</t>
  </si>
  <si>
    <t>Aluminum Corp. of China Ltd. Class A(601600)</t>
  </si>
  <si>
    <t>Shaanxi Coal Industry Co. Ltd. Class A(601225)</t>
  </si>
  <si>
    <t>Acacia Mining plc(ACA)</t>
  </si>
  <si>
    <t>Nitto Boseki Co. Ltd.(3110)</t>
  </si>
  <si>
    <t>Salfacorp SA(SALFACORP)</t>
  </si>
  <si>
    <t>Landec Corp.(LNDC)</t>
  </si>
  <si>
    <t>Q Technology Group Co. Ltd.(1478)</t>
  </si>
  <si>
    <t>Tongda Group Holdings Ltd.(698)</t>
  </si>
  <si>
    <t>Dongfang Electric Corp. Ltd.(1072)</t>
  </si>
  <si>
    <t>Strike Co. Ltd.(6196)</t>
  </si>
  <si>
    <t>Huayu Automotive Systems Co. Ltd. Class A(600741)</t>
  </si>
  <si>
    <t>New Age Beverages Corp.(NBEV)</t>
  </si>
  <si>
    <t>Bang &amp; Olufsen A/S(BO)</t>
  </si>
  <si>
    <t>Pyxus International Inc.(PYX)</t>
  </si>
  <si>
    <t>Chularat Hospital PCL(CHG-F)</t>
  </si>
  <si>
    <t>Metlifecare Ltd.(MET)</t>
  </si>
  <si>
    <t>Zynerba Pharmaceuticals Inc.(ZYNE)</t>
  </si>
  <si>
    <t>Giordano International Ltd.(709)</t>
  </si>
  <si>
    <t>Carriage Services Inc. Class A(CSV)</t>
  </si>
  <si>
    <t>Avid Technology Inc.(AVID)</t>
  </si>
  <si>
    <t>Macromill Inc.(3978)</t>
  </si>
  <si>
    <t>ValueCommerce Co. Ltd.(2491)</t>
  </si>
  <si>
    <t>Kadokawa Dwango Corp.(9468)</t>
  </si>
  <si>
    <t>Drive Shack Inc.(DS)</t>
  </si>
  <si>
    <t>Carrols Restaurant Group Inc.(TAST)</t>
  </si>
  <si>
    <t>O2 Czech Republic AS(TELEC)</t>
  </si>
  <si>
    <t>Beijing Jingneng Clean Energy Co. Ltd.(579)</t>
  </si>
  <si>
    <t>Hyakujushi Bank Ltd.(8386)</t>
  </si>
  <si>
    <t>BBX Capital Corp. Class A(BBX)</t>
  </si>
  <si>
    <t>American National Bankshares Inc.(AMNB)</t>
  </si>
  <si>
    <t>United Insurance Holdings Corp.(UIHC)</t>
  </si>
  <si>
    <t>Leopalace21 Corp.(8848)</t>
  </si>
  <si>
    <t>FRP Holdings Inc.(FRPH)</t>
  </si>
  <si>
    <t>Cache Logistics Trust(K2LU)</t>
  </si>
  <si>
    <t>Ascendas Hospitality Trust(Q1P)</t>
  </si>
  <si>
    <t>Dewan Housing Finance Corp. Ltd.(DHFL)</t>
  </si>
  <si>
    <t>Systex Corp.(6214)</t>
  </si>
  <si>
    <t>Hi Sun Technology China Ltd.(818)</t>
  </si>
  <si>
    <t>Limelight Networks Inc.(LLNW)</t>
  </si>
  <si>
    <t>Taiwan Semiconductor Co. Ltd.(5425)</t>
  </si>
  <si>
    <t>Hanergy Thin Film Power Group Ltd.(566)</t>
  </si>
  <si>
    <t>Inabata &amp; Co. Ltd.(8098)</t>
  </si>
  <si>
    <t>Gloria Material Technology Corp.(5009)</t>
  </si>
  <si>
    <t>Kardemir Karabuk Demir Celik Sanayi ve Ticaret AS(KRDMD)</t>
  </si>
  <si>
    <t>Feelux Co. Ltd.(033180)</t>
  </si>
  <si>
    <t>Century Textiles &amp; Industries Ltd.(CENTURYTEX)</t>
  </si>
  <si>
    <t>Cahya Mata Sarawak Bhd.(CMSB)</t>
  </si>
  <si>
    <t>Chudenko Corp.(1941)</t>
  </si>
  <si>
    <t>HEG Ltd.(HEG)</t>
  </si>
  <si>
    <t>Hosiden Corp.(6804)</t>
  </si>
  <si>
    <t>Everlight Electronics Co. Ltd.(2393)</t>
  </si>
  <si>
    <t>NARI Technology Co. Ltd. Class A(600406)</t>
  </si>
  <si>
    <t>Aisino Corp. Class A(600271)</t>
  </si>
  <si>
    <t>Spartan Motors Inc.(SPAR)</t>
  </si>
  <si>
    <t>Sany Heavy Industry Co. Ltd. Class A(600031)</t>
  </si>
  <si>
    <t>Hurco Cos. Inc.(HURC)</t>
  </si>
  <si>
    <t>Franklin Covey Co.(FC)</t>
  </si>
  <si>
    <t>Weifu High-Technology Group Co. Ltd. Class B(200581)</t>
  </si>
  <si>
    <t>Welspun India Ltd.(WELSPUNIND)</t>
  </si>
  <si>
    <t>Kasen International Holdings Ltd.(496)</t>
  </si>
  <si>
    <t>Token Corp.(1766)</t>
  </si>
  <si>
    <t>Chlitina Holding Ltd.(4137)</t>
  </si>
  <si>
    <t>Best World International Ltd.(CGN)</t>
  </si>
  <si>
    <t>Shanghai Haohai Biological Technology Co. Ltd.(6826)</t>
  </si>
  <si>
    <t>Syngene International Ltd.(SYNGENE)</t>
  </si>
  <si>
    <t>Sorrento Therapeutics Inc.(SRNE)</t>
  </si>
  <si>
    <t>Chongqing Zhifei Biological Products Co. Ltd. Class A(300122)</t>
  </si>
  <si>
    <t>Adcock Ingram Holdings Ltd.(AIP)</t>
  </si>
  <si>
    <t>Kindred Biosciences Inc.(KIN)</t>
  </si>
  <si>
    <t>Magnit PJSC(MGNT)</t>
  </si>
  <si>
    <t>Cashbuild Ltd.(CSB)</t>
  </si>
  <si>
    <t>Wilcon Depot Inc.(WLCON)</t>
  </si>
  <si>
    <t>Media Nusantara Citra Tbk PT(MNCN)</t>
  </si>
  <si>
    <t>SMI Holdings Group Ltd.(198)</t>
  </si>
  <si>
    <t>Artesian Resources Corp. Class A(ARTNA)</t>
  </si>
  <si>
    <t>BankFinancial Corp.(BFIN)</t>
  </si>
  <si>
    <t>Western New England Bancorp Inc.(WNEB)</t>
  </si>
  <si>
    <t>Southern First Bancshares Inc.(SFST)</t>
  </si>
  <si>
    <t>Old Line Bancshares Inc.(OLBK)</t>
  </si>
  <si>
    <t>Indian Bank(INDIANB)</t>
  </si>
  <si>
    <t>Southern Missouri Bancorp Inc.(SMBC)</t>
  </si>
  <si>
    <t>EFG International AG(EFGN)</t>
  </si>
  <si>
    <t>Goosehead Insurance Inc. Class A(GSHD)</t>
  </si>
  <si>
    <t>HCI Group Inc.(HCI)</t>
  </si>
  <si>
    <t>ES-Con Japan Ltd.(8892)</t>
  </si>
  <si>
    <t>Wing Tai Holdings Ltd.(W05)</t>
  </si>
  <si>
    <t>MedEquities Realty Trust Inc.(MRT)</t>
  </si>
  <si>
    <t>Arena REIT(ARF)</t>
  </si>
  <si>
    <t>Investment AB Oresund(ORES)</t>
  </si>
  <si>
    <t>Hellenic Exchanges SA(EXAE)</t>
  </si>
  <si>
    <t>Calix Inc.(CALX)</t>
  </si>
  <si>
    <t>PAX Global Technology Ltd.(327)</t>
  </si>
  <si>
    <t>LONGi Green Energy Technology Co. Ltd. Class A(601012)</t>
  </si>
  <si>
    <t>Chaparral Energy Inc. Class A(CHAP)</t>
  </si>
  <si>
    <t>Roan Resources Inc.(ROAN)</t>
  </si>
  <si>
    <t>SandRidge Energy Inc.(SD)</t>
  </si>
  <si>
    <t>Gulf International Services QSC(GISS)</t>
  </si>
  <si>
    <t>Graphite India Ltd.(GRAPHITE)</t>
  </si>
  <si>
    <t>National Aluminium Co. Ltd.(NATIONALUM)</t>
  </si>
  <si>
    <t>Syrah Resources Ltd.(SYR)</t>
  </si>
  <si>
    <t>Banpu PCL(BANPU-F)</t>
  </si>
  <si>
    <t>Huaxin Cement Co. Ltd. Class A(600801)</t>
  </si>
  <si>
    <t>UFP Technologies Inc.(UFPT)</t>
  </si>
  <si>
    <t>AcBel Polytech Inc.(6282)</t>
  </si>
  <si>
    <t>Daktronics Inc.(DAKT)</t>
  </si>
  <si>
    <t>Darfon Electronics Corp.(8163)</t>
  </si>
  <si>
    <t>Park Electrochemical Corp.(PKE)</t>
  </si>
  <si>
    <t>REV Group Inc.(REVG)</t>
  </si>
  <si>
    <t>Thermax Ltd.(THERMAX)</t>
  </si>
  <si>
    <t>Shenzhen Inovance Technology Co. Ltd. Class A(300124)</t>
  </si>
  <si>
    <t>Ozner Water International Holding Ltd.(2014)</t>
  </si>
  <si>
    <t>NN Inc.(NNBR)</t>
  </si>
  <si>
    <t>Sichuan Expressway Co. Ltd.(107)</t>
  </si>
  <si>
    <t>Sakai Moving Service Co. Ltd.(9039)</t>
  </si>
  <si>
    <t>Valid Solucoes e Servicos de Seguranca em Meios de Pagamento e Identificacao SA(VLID3)</t>
  </si>
  <si>
    <t>Shanghai Waigaoqiao Free Trade Zone Group Co. Ltd. Class B(900912)</t>
  </si>
  <si>
    <t>Grupo Herdez SAB de CV(HERDEZ*)</t>
  </si>
  <si>
    <t>Bakkavor Group plc(BAKK)</t>
  </si>
  <si>
    <t>Johnson Outdoors Inc. Class A(JOUT)</t>
  </si>
  <si>
    <t>Tainan Spinning Co. Ltd.(1440)</t>
  </si>
  <si>
    <t>RTI Surgical Holdings Inc.(RTIX)</t>
  </si>
  <si>
    <t>Kolon Life Science Inc.(102940)</t>
  </si>
  <si>
    <t>Abeona Therapeutics Inc.(ABEO)</t>
  </si>
  <si>
    <t>China National Accord Medicines Corp. Ltd. Class B(200028)</t>
  </si>
  <si>
    <t>Cato Corp. Class A(CATO)</t>
  </si>
  <si>
    <t>M.Video PJSC(MVID)</t>
  </si>
  <si>
    <t>Titan Machinery Inc.(TITN)</t>
  </si>
  <si>
    <t>Bitauto Holdings Ltd. ADR(BITA)</t>
  </si>
  <si>
    <t>Rubicon Project Inc.(RUBI)</t>
  </si>
  <si>
    <t>Kamakura Shinsho Ltd.(6184)</t>
  </si>
  <si>
    <t>Care Ratings Ltd.(CARERATING)</t>
  </si>
  <si>
    <t>Aegean Airlines SA(AEGN)</t>
  </si>
  <si>
    <t>Haichang Ocean Park Holdings Ltd.(2255)</t>
  </si>
  <si>
    <t>Create Restaurants Holdings Inc.(3387)</t>
  </si>
  <si>
    <t>Sistema PJSFC GDR(SSA)</t>
  </si>
  <si>
    <t>Atlantic Power Corp.(AT)</t>
  </si>
  <si>
    <t>Banpu Power PCL(BPP-F)</t>
  </si>
  <si>
    <t>Farmers National Banc Corp.(FMNB)</t>
  </si>
  <si>
    <t>Business First Bancshares Inc.(BFST)</t>
  </si>
  <si>
    <t>Summit Financial Group Inc.(SMMF)</t>
  </si>
  <si>
    <t>Ez Tec Empreendimentos e Participacoes SA(EZTC3)</t>
  </si>
  <si>
    <t>Bluerock Residential Growth REIT Inc. Class A(BRG)</t>
  </si>
  <si>
    <t>Regional Management Corp.(RM)</t>
  </si>
  <si>
    <t>Alimtiaz Investment Group KSC(ALIMTIAZ)</t>
  </si>
  <si>
    <t>Computer Engineering &amp; Consulting Ltd.(9692)</t>
  </si>
  <si>
    <t>Test Research Inc.(3030)</t>
  </si>
  <si>
    <t>Greatek Electronics Inc.(2441)</t>
  </si>
  <si>
    <t>Advanced Process Systems Corp.(265520)</t>
  </si>
  <si>
    <t>Sitronix Technology Corp.(8016)</t>
  </si>
  <si>
    <t>Arcadyan Technology Corp.(3596)</t>
  </si>
  <si>
    <t>Nine Energy Service Inc.(NINE)</t>
  </si>
  <si>
    <t>TETRA Technologies Inc.(TTI)</t>
  </si>
  <si>
    <t>Chugoku Marine Paints Ltd.(4617)</t>
  </si>
  <si>
    <t>Japan Pulp &amp; Paper Co. Ltd.(8032)</t>
  </si>
  <si>
    <t>Raspadskaya OJSC(RASP)</t>
  </si>
  <si>
    <t>Koza Altin Isletmeleri AS(KOZAL)</t>
  </si>
  <si>
    <t>Sekisui Jushi Corp.(4212)</t>
  </si>
  <si>
    <t>Chaozhou Three-Circle Group Co. Ltd. Class A(300408)</t>
  </si>
  <si>
    <t>Napco Security Technologies Inc.(NSSC)</t>
  </si>
  <si>
    <t>Commercial Vehicle Group Inc.(CVGI)</t>
  </si>
  <si>
    <t>CTS Co. Ltd.(4345)</t>
  </si>
  <si>
    <t>Star Micronics Co. Ltd.(7718)</t>
  </si>
  <si>
    <t>Yuasa Trading Co. Ltd.(8074)</t>
  </si>
  <si>
    <t>Obara Group Inc.(6877)</t>
  </si>
  <si>
    <t>Trancom Co. Ltd.(9058)</t>
  </si>
  <si>
    <t>Titan International Inc.(TWI)</t>
  </si>
  <si>
    <t>Hite Jinro Co. Ltd.(000080)</t>
  </si>
  <si>
    <t>China Foods Ltd.(506)</t>
  </si>
  <si>
    <t>Namchow Holdings Co. Ltd.(1702)</t>
  </si>
  <si>
    <t>Hyosung TNC Co. Ltd.(298020)</t>
  </si>
  <si>
    <t>Unifi Inc.(UFI)</t>
  </si>
  <si>
    <t>Agritrade Resources Ltd.(1131)</t>
  </si>
  <si>
    <t>Crystal International Group Ltd.(2232)</t>
  </si>
  <si>
    <t>Guararapes Confeccoes SA(GUAR3)</t>
  </si>
  <si>
    <t>Lepu Medical Technology Beijing Co. Ltd. Class A(300003)</t>
  </si>
  <si>
    <t>Scholar Rock Holding Corp.(SRRK)</t>
  </si>
  <si>
    <t>Adverum Biotechnologies Inc.(ADVM)</t>
  </si>
  <si>
    <t>Eris Lifesciences Ltd.(ERIS)</t>
  </si>
  <si>
    <t>Strides Pharma Science Ltd.(STAR)</t>
  </si>
  <si>
    <t>Changchun High &amp; New Technology Industry Group Inc. Class A(000661)</t>
  </si>
  <si>
    <t>Create SD Holdings Co. Ltd.(3148)</t>
  </si>
  <si>
    <t>Chico's FAS Inc.(CHS)</t>
  </si>
  <si>
    <t>Barnes &amp; Noble Inc.(BKS)</t>
  </si>
  <si>
    <t>OPT Holding Inc.(2389)</t>
  </si>
  <si>
    <t>Asiana Airlines Inc.(020560)</t>
  </si>
  <si>
    <t>Hoteles City Express SAB de CV(HCITY*)</t>
  </si>
  <si>
    <t>Doutor Nichires Holdings Co. Ltd.(3087)</t>
  </si>
  <si>
    <t>Kisoji Co. Ltd.(8160)</t>
  </si>
  <si>
    <t>Bank Al-Jazira(1020)</t>
  </si>
  <si>
    <t>MidWestOne Financial Group Inc.(MOFG)</t>
  </si>
  <si>
    <t>Bank of India(BANKINDIA)</t>
  </si>
  <si>
    <t>Baycom Corp.(BCML)</t>
  </si>
  <si>
    <t>Bank of Iwate Ltd.(8345)</t>
  </si>
  <si>
    <t>DCB Bank Ltd.(DCBBANK)</t>
  </si>
  <si>
    <t>Hallmark Financial Services Inc.(HALL)</t>
  </si>
  <si>
    <t>Heritage Insurance Holdings Inc.(HRTG)</t>
  </si>
  <si>
    <t>Health Insurance Innovations Inc. Class A(HIIQ)</t>
  </si>
  <si>
    <t>Prince Housing &amp; Development Corp.(2511)</t>
  </si>
  <si>
    <t>Yuexiu REIT(405)</t>
  </si>
  <si>
    <t>Safehold Inc.(SAFE)</t>
  </si>
  <si>
    <t>Vital Healthcare Property Trust(VHP)</t>
  </si>
  <si>
    <t>Telaria Inc.(TLRA)</t>
  </si>
  <si>
    <t>Faraday Technology Corp.(3035)</t>
  </si>
  <si>
    <t>Foxsemicon Integrated Technology Inc.(3413)</t>
  </si>
  <si>
    <t>Foxconn Industrial Internet Co. Ltd. Class A(601138)</t>
  </si>
  <si>
    <t>Range Resources Corp.(RRC)</t>
  </si>
  <si>
    <t>Diamond Offshore Drilling Inc.(DO)</t>
  </si>
  <si>
    <t>Altus Midstream Co. Class A(ALTM)</t>
  </si>
  <si>
    <t>UPC Technology Corp.(1313)</t>
  </si>
  <si>
    <t>YC INOX Co. Ltd.(2034)</t>
  </si>
  <si>
    <t>Saudi Cement Co.(3030)</t>
  </si>
  <si>
    <t>Armstrong Flooring Inc.(AFI)</t>
  </si>
  <si>
    <t>Powell Industries Inc.(POWL)</t>
  </si>
  <si>
    <t>TXC Corp.(3042)</t>
  </si>
  <si>
    <t>Hitachi Zosen Corp.(7004)</t>
  </si>
  <si>
    <t>Konoike Transport Co. Ltd.(9025)</t>
  </si>
  <si>
    <t>Wah Lee Industrial Corp.(3010)</t>
  </si>
  <si>
    <t>Astra Agro Lestari Tbk PT(AALI)</t>
  </si>
  <si>
    <t>Bell Food Group AG(BELL)</t>
  </si>
  <si>
    <t>Steinhoff International Holdings NV(SNH)</t>
  </si>
  <si>
    <t>Construtora Tenda SA(TEND3)</t>
  </si>
  <si>
    <t>Ginko International Co. Ltd.(8406)</t>
  </si>
  <si>
    <t>Crinetics Pharmaceuticals Inc.(CRNX)</t>
  </si>
  <si>
    <t>Lexicon Pharmaceuticals Inc.(LXRX)</t>
  </si>
  <si>
    <t>SIGA Technologies Inc.(SIGA)</t>
  </si>
  <si>
    <t>Karyopharm Therapeutics Inc.(KPTI)</t>
  </si>
  <si>
    <t>Walvax Biotechnology Co. Ltd. Class A(300142)</t>
  </si>
  <si>
    <t>AMAG Pharmaceuticals Inc.(AMAG)</t>
  </si>
  <si>
    <t>Ajanta Pharma Ltd.(AJANTPHARM)</t>
  </si>
  <si>
    <t>Assertio Therapeutics Inc.(ASRT)</t>
  </si>
  <si>
    <t>Sichuan Kelun Pharmaceutical Co. Ltd. Class A(002422)</t>
  </si>
  <si>
    <t>Yonghui Superstores Co. Ltd. Class A(601933)</t>
  </si>
  <si>
    <t>Toridoll Holdings Corp.(3397)</t>
  </si>
  <si>
    <t>Yamagata Bank Ltd.(8344)</t>
  </si>
  <si>
    <t>Home Bancorp Inc.(HBCP)</t>
  </si>
  <si>
    <t>Sierra Bancorp(BSRR)</t>
  </si>
  <si>
    <t>Equites Property Fund Ltd.(EQU)</t>
  </si>
  <si>
    <t>Iflytek Co. Ltd. Class A(002230)</t>
  </si>
  <si>
    <t>A10 Networks Inc.(ATEN)</t>
  </si>
  <si>
    <t>Simulations Plus Inc.(SLP)</t>
  </si>
  <si>
    <t>Sigurd Microelectronics Corp.(6257)</t>
  </si>
  <si>
    <t>Kronos Worldwide Inc.(KRO)</t>
  </si>
  <si>
    <t>Omega Flex Inc.(OFLX)</t>
  </si>
  <si>
    <t>Daiho Corp.(1822)</t>
  </si>
  <si>
    <t>Power Construction Corp. of China Ltd. Class A(601669)</t>
  </si>
  <si>
    <t>Bel Fuse Inc. Class B(BELFB)</t>
  </si>
  <si>
    <t>Maruwa Co. Ltd./Aichi(5344)</t>
  </si>
  <si>
    <t>Wasion Holdings Ltd.(3393)</t>
  </si>
  <si>
    <t>Tonami Holdings Co. Ltd.(9070)</t>
  </si>
  <si>
    <t>Park-Ohio Holdings Corp.(PKOH)</t>
  </si>
  <si>
    <t>Inscobee Inc.(006490)</t>
  </si>
  <si>
    <t>Balrampur Chini Mills Ltd.(BALRAMCHIN)</t>
  </si>
  <si>
    <t>Zhejiang Supor Co. Ltd. Class A(002032)</t>
  </si>
  <si>
    <t>Arlo Technologies Inc.(ARLO)</t>
  </si>
  <si>
    <t>Lealea Enterprise Co. Ltd.(1444)</t>
  </si>
  <si>
    <t>Arata Corp.(2733)</t>
  </si>
  <si>
    <t>22nd Century Group Inc.(XXII)</t>
  </si>
  <si>
    <t>BioScrip Inc.(BIOS)</t>
  </si>
  <si>
    <t>MannKind Corp.(MNKD)</t>
  </si>
  <si>
    <t>Yungjin Pharmaceutical Co. Ltd.(003520)</t>
  </si>
  <si>
    <t>Marinus Pharmaceuticals Inc.(MRNS)</t>
  </si>
  <si>
    <t>Pou Sheng International Holdings Ltd.(3813)</t>
  </si>
  <si>
    <t>Ser Educacional SA(SEER3)</t>
  </si>
  <si>
    <t>SKY Perfect JSAT Holdings Inc.(9412)</t>
  </si>
  <si>
    <t>Latam Airlines Group SA ADR(LTM)</t>
  </si>
  <si>
    <t>Century Casinos Inc.(CNTY)</t>
  </si>
  <si>
    <t>Del Taco Restaurants Inc.(TACO)</t>
  </si>
  <si>
    <t>El Pollo Loco Holdings Inc.(LOCO)</t>
  </si>
  <si>
    <t>Fiesta Restaurant Group Inc.(FRGI)</t>
  </si>
  <si>
    <t>Songcheng Performance Development Co. Ltd. Class A(300144)</t>
  </si>
  <si>
    <t>Spok Holdings Inc.(SPOK)</t>
  </si>
  <si>
    <t>AquaVenture Holdings Ltd.(WAAS)</t>
  </si>
  <si>
    <t>Bridgewater Bancshares Inc.(BWB)</t>
  </si>
  <si>
    <t>Citizens &amp; Northern Corp.(CZNC)</t>
  </si>
  <si>
    <t>Central Valley Community Bancorp(CVCY)</t>
  </si>
  <si>
    <t>Northrim BanCorp Inc.(NRIM)</t>
  </si>
  <si>
    <t>Pruksa Real Estate PCL(null)</t>
  </si>
  <si>
    <t>Sentul City Tbk PT(BKSL)</t>
  </si>
  <si>
    <t>Hansteen Holdings plc(HSTN)</t>
  </si>
  <si>
    <t>Prosperity REIT(808)</t>
  </si>
  <si>
    <t>Alexander Forbes Group Holdings Ltd.(AFH)</t>
  </si>
  <si>
    <t>Safeguard Scientifics Inc.(SFE)</t>
  </si>
  <si>
    <t>Oppenheimer Holdings Inc. Class A(OPY)</t>
  </si>
  <si>
    <t>CITIC Securities Co. Ltd. Class A(600030)</t>
  </si>
  <si>
    <t>Central China Securities Co. Ltd.(1375)</t>
  </si>
  <si>
    <t>eClerx Services Ltd.(ECLERX)</t>
  </si>
  <si>
    <t>Aten International Co. Ltd.(6277)</t>
  </si>
  <si>
    <t>NeoPhotonics Corp.(NPTN)</t>
  </si>
  <si>
    <t>Link Net Tbk PT(LINK)</t>
  </si>
  <si>
    <t>HighPoint Resources Corp.(HPR)</t>
  </si>
  <si>
    <t>Velesto Energy Bhd.(VELESTO)</t>
  </si>
  <si>
    <t>Noble Corp. plc(NE)</t>
  </si>
  <si>
    <t>China Oil &amp; Gas Group Ltd.(603)</t>
  </si>
  <si>
    <t>Energy Fuels Inc./Canada(UUUU)</t>
  </si>
  <si>
    <t>Tamura Corp.(6768)</t>
  </si>
  <si>
    <t>Partron Co. Ltd.(091700)</t>
  </si>
  <si>
    <t>Nan Ya Printed Circuit Board Corp.(8046)</t>
  </si>
  <si>
    <t>Syncmold Enterprise Corp.(1582)</t>
  </si>
  <si>
    <t>Hangzhou Steam Turbine Co. Ltd. Class B(200771)</t>
  </si>
  <si>
    <t>Fukushima Industries Corp.(6420)</t>
  </si>
  <si>
    <t>Shanghai International Port Group Co. Ltd. Class A(600018)</t>
  </si>
  <si>
    <t>Maruzen Showa Unyu Co. Ltd.(9068)</t>
  </si>
  <si>
    <t>Nissha Co. Ltd.(7915)</t>
  </si>
  <si>
    <t>Chaowei Power Holdings Ltd.(951)</t>
  </si>
  <si>
    <t>Shanxi Xinghuacun Fen Wine Factory Co. Ltd. Class A(600809)</t>
  </si>
  <si>
    <t>Marudai Food Co. Ltd.(2288)</t>
  </si>
  <si>
    <t>Arbonia AG(ARBN)</t>
  </si>
  <si>
    <t>Zojirushi Corp.(7965)</t>
  </si>
  <si>
    <t>Padini Holdings Bhd.(PADINI)</t>
  </si>
  <si>
    <t>Culp Inc.(CULP)</t>
  </si>
  <si>
    <t>Estia Health Ltd.(EHE)</t>
  </si>
  <si>
    <t>Invacare Corp.(IVC)</t>
  </si>
  <si>
    <t>PharmaEngine Inc.(4162)</t>
  </si>
  <si>
    <t>Acorda Therapeutics Inc.(ACOR)</t>
  </si>
  <si>
    <t>Avid Bioservices Inc.(CDMO)</t>
  </si>
  <si>
    <t>Avrobio Inc.(AVRO)</t>
  </si>
  <si>
    <t>Five Prime Therapeutics Inc.(FPRX)</t>
  </si>
  <si>
    <t>YungShin Global Holding Corp.(3705)</t>
  </si>
  <si>
    <t>Alembic Pharmaceuticals Ltd.(APLLTD)</t>
  </si>
  <si>
    <t>AcelRx Pharmaceuticals Inc.(ACRX)</t>
  </si>
  <si>
    <t>Consun Pharmaceutical Group Ltd.(1681)</t>
  </si>
  <si>
    <t>Distribuidora Internacional de Alimentacion SA(DIA)</t>
  </si>
  <si>
    <t>Tilly's Inc. Class A(TLYS)</t>
  </si>
  <si>
    <t>Dah Chong Hong Holdings Ltd.(1828)</t>
  </si>
  <si>
    <t>Digital Domain Holdings Ltd.(547)</t>
  </si>
  <si>
    <t>Grupo Aeromexico SAB de CV(AEROMEX*)</t>
  </si>
  <si>
    <t>Liberty Media Corp-Liberty Braves(BATRA)</t>
  </si>
  <si>
    <t>Ringer Hut Co. Ltd.(8200)</t>
  </si>
  <si>
    <t>Telecom Egypt Co.(ETEL)</t>
  </si>
  <si>
    <t>SB One Bancorp(SBBX)</t>
  </si>
  <si>
    <t>RBB Bancorp(RBB)</t>
  </si>
  <si>
    <t>SmartFinancial Inc.(SMBK)</t>
  </si>
  <si>
    <t>Toho Bank Ltd.(8346)</t>
  </si>
  <si>
    <t>Bank of Chongqing Co. Ltd.(1963)</t>
  </si>
  <si>
    <t>Aomori Bank Ltd.(8342)</t>
  </si>
  <si>
    <t>First Bank/Hamilton NJ(FRBA)</t>
  </si>
  <si>
    <t>EMC Insurance Group Inc.(EMCI)</t>
  </si>
  <si>
    <t>Citizens Inc./TX Class A(CIA)</t>
  </si>
  <si>
    <t>Frasers Property Ltd.(TQ5)</t>
  </si>
  <si>
    <t>Redco Group(1622)</t>
  </si>
  <si>
    <t>Origin Property PCL(ORI-F)</t>
  </si>
  <si>
    <t>DIC Asset AG(DIC)</t>
  </si>
  <si>
    <t>Gladstone Land Corp.(LAND)</t>
  </si>
  <si>
    <t>Georgia Capital plc(CGEO)</t>
  </si>
  <si>
    <t>Japan Securities Finance Co. Ltd.(8511)</t>
  </si>
  <si>
    <t>Motilal Oswal Financial Services Ltd.(MOTILALOFS)</t>
  </si>
  <si>
    <t>Guosen Securities Co. Ltd. Class A(002736)</t>
  </si>
  <si>
    <t>Greenhill &amp; Co. Inc.(GHL)</t>
  </si>
  <si>
    <t>Amber Road Inc.(AMBR)</t>
  </si>
  <si>
    <t>Aquantia Corp.(AQ)</t>
  </si>
  <si>
    <t>Via Technologies Inc.(2388)</t>
  </si>
  <si>
    <t>DB HiTek Co. Ltd.(000990)</t>
  </si>
  <si>
    <t>Alpha &amp; Omega Semiconductor Ltd.(AOSL)</t>
  </si>
  <si>
    <t>Ooma Inc.(OOMA)</t>
  </si>
  <si>
    <t>Ribbon Communications Inc.(RBBN)</t>
  </si>
  <si>
    <t>Forum Energy Technologies Inc.(FET)</t>
  </si>
  <si>
    <t>China High Speed Transmission Equipment Group Co. Ltd.(658)</t>
  </si>
  <si>
    <t>Omnia Holdings Ltd.(OMN)</t>
  </si>
  <si>
    <t>USI Corp.(1304)</t>
  </si>
  <si>
    <t>JCU Corp.(4975)</t>
  </si>
  <si>
    <t>China Metal Resources Utilization Ltd.(1636)</t>
  </si>
  <si>
    <t>TMK PJSC GDR(TMKS)</t>
  </si>
  <si>
    <t>West China Cement Ltd.(2233)</t>
  </si>
  <si>
    <t>Xxentria Technology Materials Corp.(8942)</t>
  </si>
  <si>
    <t>BES Engineering Corp.(2515)</t>
  </si>
  <si>
    <t>China Railway Group Ltd. Class A(601390)</t>
  </si>
  <si>
    <t>Sanshin Electronics Co. Ltd.(8150)</t>
  </si>
  <si>
    <t>Allied Motion Technologies Inc.(AMOT)</t>
  </si>
  <si>
    <t>Ramirent Oyj(RAMI)</t>
  </si>
  <si>
    <t>Twin Disc Inc.(TWIN)</t>
  </si>
  <si>
    <t>Oiles Corp.(6282)</t>
  </si>
  <si>
    <t>Electra Ltd./Israel(ELTR)</t>
  </si>
  <si>
    <t>Aida Engineering Ltd.(6118)</t>
  </si>
  <si>
    <t>Covenant Transportation Group Inc. Class A(CVTI)</t>
  </si>
  <si>
    <t>Saudi Airlines Catering Co.(6004)</t>
  </si>
  <si>
    <t>Bell System24 Holdings Inc.(6183)</t>
  </si>
  <si>
    <t>Cross Country Healthcare Inc.(CCRN)</t>
  </si>
  <si>
    <t>CITIC Resources Holdings Ltd.(1205)</t>
  </si>
  <si>
    <t>Piaggio &amp; C SPA(PIA)</t>
  </si>
  <si>
    <t>Minda Industries Ltd.(MINDAIND)</t>
  </si>
  <si>
    <t>Mahindra CIE Automotive Ltd.(MAHINDCIE)</t>
  </si>
  <si>
    <t>Xingda International Holdings Ltd.(1899)</t>
  </si>
  <si>
    <t>Ceat Ltd.(CEATLTD)</t>
  </si>
  <si>
    <t>Guangdong Haid Group Co. Ltd. Class A(002311)</t>
  </si>
  <si>
    <t>Nagatanien Holdings Co. Ltd.(2899)</t>
  </si>
  <si>
    <t>Wei Chuan Foods Corp.(1201)</t>
  </si>
  <si>
    <t>GFPT PCL(GFPT-F)</t>
  </si>
  <si>
    <t>Leyou Technologies Holdings Ltd.(1089)</t>
  </si>
  <si>
    <t>Inner Mongolia Eerduosi Resources Co. Ltd. Class B(900936)</t>
  </si>
  <si>
    <t>Senseonics Holdings Inc.(SENS)</t>
  </si>
  <si>
    <t>Supermax Corp. Bhd.(SUPERMX)</t>
  </si>
  <si>
    <t>Medigen Biotechnology Corp.(3176)</t>
  </si>
  <si>
    <t>Arcus Biosciences Inc.(RCUS)</t>
  </si>
  <si>
    <t>Savara Inc.(SVRA)</t>
  </si>
  <si>
    <t>Rigel Pharmaceuticals Inc.(RIGL)</t>
  </si>
  <si>
    <t>Livzon Pharmaceutical Group Inc. Class A(000513)</t>
  </si>
  <si>
    <t>Okuwa Co. Ltd.(8217)</t>
  </si>
  <si>
    <t>GS Home Shopping Inc.(028150)</t>
  </si>
  <si>
    <t>Mango Excellent Media Co. Ltd. Class A(300413)</t>
  </si>
  <si>
    <t>Curro Holdings Ltd.(COH)</t>
  </si>
  <si>
    <t>Fluent Inc.(FLNT)</t>
  </si>
  <si>
    <t>Air China Ltd. Class A(601111)</t>
  </si>
  <si>
    <t>Huaneng Power International Inc. Class A(600011)</t>
  </si>
  <si>
    <t>Bank of Guiyang Co. Ltd. Class A(601997)</t>
  </si>
  <si>
    <t>Guaranty Bancshares Inc./TX(GNTY)</t>
  </si>
  <si>
    <t>Farmers &amp; Merchants Bancorp Inc./Archbold OH(FMAO)</t>
  </si>
  <si>
    <t>Shore Bancshares Inc.(SHBI)</t>
  </si>
  <si>
    <t>GuocoLand Ltd.(F17)</t>
  </si>
  <si>
    <t>Greenland Holdings Group Co. Ltd. Class A(600606)</t>
  </si>
  <si>
    <t>Information Services International-Dentsu Ltd.(4812)</t>
  </si>
  <si>
    <t>Daou Technology Inc.(023590)</t>
  </si>
  <si>
    <t>Pagerduty Inc.(PD)</t>
  </si>
  <si>
    <t>Immersion Corp.(IMMR)</t>
  </si>
  <si>
    <t>Intouch Holdings PCL(INTUCH-F)</t>
  </si>
  <si>
    <t>Comba Telecom Systems Holdings Ltd.(2342)</t>
  </si>
  <si>
    <t>Abraxas Petroleum Corp.(AXAS)</t>
  </si>
  <si>
    <t>GCL System Integration Technology Co. Ltd. Class A(002506)</t>
  </si>
  <si>
    <t>Ameresco Inc. Class A(AMRC)</t>
  </si>
  <si>
    <t>Beijing Enterprises Clean Energy Group Ltd.(1250)</t>
  </si>
  <si>
    <t>Osaka Soda Co. Ltd.(4046)</t>
  </si>
  <si>
    <t>Tocalo Co. Ltd.(3433)</t>
  </si>
  <si>
    <t>Super Energy Corp. PCL(SUPER-F)</t>
  </si>
  <si>
    <t>Goldsun Building Materials Co. Ltd.(2504)</t>
  </si>
  <si>
    <t>BlueLinx Holdings Inc.(BXC)</t>
  </si>
  <si>
    <t>Astral Poly Technik Ltd.(ASTRAL)</t>
  </si>
  <si>
    <t>Sanki Engineering Co. Ltd.(1961)</t>
  </si>
  <si>
    <t>Orascom Construction plc(ORAS)</t>
  </si>
  <si>
    <t>VSE Corp.(VSEC)</t>
  </si>
  <si>
    <t>Pack Corp.(3950)</t>
  </si>
  <si>
    <t>Guangdong LY Intelligent Manufacturing Co. Ltd. Class A(002600)</t>
  </si>
  <si>
    <t>Rieter Holding AG(RIEN)</t>
  </si>
  <si>
    <t>Gima TT SPA(GIMA)</t>
  </si>
  <si>
    <t>D/S Norden A/S(DNORD)</t>
  </si>
  <si>
    <t>Flughafen Wien AG(FLU)</t>
  </si>
  <si>
    <t>Maxar Technologies Inc.(MAXR)</t>
  </si>
  <si>
    <t>Cardlytics Inc.(CDLX)</t>
  </si>
  <si>
    <t>Cleanaway Co. Ltd.(8422)</t>
  </si>
  <si>
    <t>Advanced Emissions Solutions Inc.(ADES)</t>
  </si>
  <si>
    <t>China Everbright Greentech Ltd.(1257)</t>
  </si>
  <si>
    <t>Metair Investments Ltd.(MTA)</t>
  </si>
  <si>
    <t>Radico Khaitan Ltd.(RADICO)</t>
  </si>
  <si>
    <t>Fujicco Co. Ltd.(2908)</t>
  </si>
  <si>
    <t>Mitsui Sugar Co. Ltd.(2109)</t>
  </si>
  <si>
    <t>Daesang Corp.(001680)</t>
  </si>
  <si>
    <t>Bonduelle SCA(BON)</t>
  </si>
  <si>
    <t>Century Pacific Food Inc.(CNPF)</t>
  </si>
  <si>
    <t>ZAGG Inc.(ZAGG)</t>
  </si>
  <si>
    <t>TCL Corp. Class A(000100)</t>
  </si>
  <si>
    <t>Hangzhou Tigermed Consulting Co. Ltd. Class A(300347)</t>
  </si>
  <si>
    <t>Shandong Pharmaceutical Glass Co. Ltd. Class A(600529)</t>
  </si>
  <si>
    <t>Syros Pharmaceuticals Inc.(SYRS)</t>
  </si>
  <si>
    <t>Krystal Biotech Inc.(KRYS)</t>
  </si>
  <si>
    <t>Kadmon Holdings Inc.(KDMN)</t>
  </si>
  <si>
    <t>Eiger BioPharmaceuticals Inc.(EIGR)</t>
  </si>
  <si>
    <t>Evolus Inc.(EOLS)</t>
  </si>
  <si>
    <t>Gossamer Bio Inc.(GOSS)</t>
  </si>
  <si>
    <t>China Shineway Pharmaceutical Group Ltd.(2877)</t>
  </si>
  <si>
    <t>Guangzhou Baiyunshan Pharmaceutical Holdings Co. Ltd. Class A(600332)</t>
  </si>
  <si>
    <t>Citi Trends Inc.(CTRN)</t>
  </si>
  <si>
    <t>Ramayana Lestari Sentosa Tbk PT(RALS)</t>
  </si>
  <si>
    <t>Select Interior Concepts Inc. Class A(SIC)</t>
  </si>
  <si>
    <t>PCM Inc.(PCMI)</t>
  </si>
  <si>
    <t>Cumulus Media Inc. Class A(CMLS)</t>
  </si>
  <si>
    <t>BEC World PCL (Foreign)(BEC-F)</t>
  </si>
  <si>
    <t>News Corp. Class B(NWS)</t>
  </si>
  <si>
    <t>Bangkok Airways PCL(BA-F)</t>
  </si>
  <si>
    <t>Guangdong Electric Power Development Co. Ltd. Class B(200539)</t>
  </si>
  <si>
    <t>Gujarat Gas Ltd.(GUJGASLTD)</t>
  </si>
  <si>
    <t>Bank of Nanjing Co. Ltd. Class A(601009)</t>
  </si>
  <si>
    <t>West Bancorporation Inc.(WTBA)</t>
  </si>
  <si>
    <t>Peoples Financial Services Corp.(PFIS)</t>
  </si>
  <si>
    <t>National Bankshares Inc.(NKSH)</t>
  </si>
  <si>
    <t>Greenlight Capital Re Ltd. Class A(GLRE)</t>
  </si>
  <si>
    <t>BR Properties SA(BRPR3)</t>
  </si>
  <si>
    <t>Helical plc(HLCL)</t>
  </si>
  <si>
    <t>RiseSun Real Estate Development Co. Ltd. Class A(002146)</t>
  </si>
  <si>
    <t>Fang Holdings Ltd. ADR(SFUN)</t>
  </si>
  <si>
    <t>Centuria Industrial REIT(CIP)</t>
  </si>
  <si>
    <t>WHA Premium Growth Freehold &amp; Leasehold Real Estate InvestmentTrust(WHART-F)</t>
  </si>
  <si>
    <t>Ingenia Communities Group(INA)</t>
  </si>
  <si>
    <t>Far East Hospitality Trust(Q5T)</t>
  </si>
  <si>
    <t>Navigator Global Investments Ltd.(NGI)</t>
  </si>
  <si>
    <t>Westwood Holdings Group Inc.(WHG)</t>
  </si>
  <si>
    <t>Deutsche Beteiligungs AG(DBAN)</t>
  </si>
  <si>
    <t>Changjiang Securities Co. Ltd. Class A(000783)</t>
  </si>
  <si>
    <t>Flytech Technology Co. Ltd.(6206)</t>
  </si>
  <si>
    <t>A-DATA Technology Co. Ltd.(3260)</t>
  </si>
  <si>
    <t>SDI Corp.(2351)</t>
  </si>
  <si>
    <t>Applied Optoelectronics Inc.(AAOI)</t>
  </si>
  <si>
    <t>O-Net Technologies Group Ltd.(877)</t>
  </si>
  <si>
    <t>Mangalore Refinery &amp; Petrochemicals Ltd.(MRPL)</t>
  </si>
  <si>
    <t>Covia Holdings Corp.(CVIA)</t>
  </si>
  <si>
    <t>National Industrialization Co.(2060)</t>
  </si>
  <si>
    <t>Lomon Billions Group Co. Ltd. Class A(002601)</t>
  </si>
  <si>
    <t>Engro Fertilizers Ltd.(EFERT)</t>
  </si>
  <si>
    <t>Fujimi Inc.(5384)</t>
  </si>
  <si>
    <t>HS Industries Co. Ltd.(006060)</t>
  </si>
  <si>
    <t>China General Plastics Corp.(1305)</t>
  </si>
  <si>
    <t>Taki Chemical Co. Ltd.(4025)</t>
  </si>
  <si>
    <t>STO Express Co. Ltd. Class A(002468)</t>
  </si>
  <si>
    <t>Northwest Pipe Co.(NWPX)</t>
  </si>
  <si>
    <t>Maeda Kosen Co. Ltd.(7821)</t>
  </si>
  <si>
    <t>Ellaktor SA(ELLAKTOR)</t>
  </si>
  <si>
    <t>Qingdao TGOOD Electric Co. Ltd. Class A(300001)</t>
  </si>
  <si>
    <t>Sanyo Denki Co. Ltd.(6516)</t>
  </si>
  <si>
    <t>Nissin Electric Co. Ltd.(6641)</t>
  </si>
  <si>
    <t>Wakita &amp; Co. Ltd.(8125)</t>
  </si>
  <si>
    <t>Mitsuboshi Belting Ltd.(5192)</t>
  </si>
  <si>
    <t>Sintokogio Ltd.(6339)</t>
  </si>
  <si>
    <t>Shanghai Electric Group Co. Ltd. Class A(601727)</t>
  </si>
  <si>
    <t>Hengli Petrochemical Co. Ltd. Class A(600346)</t>
  </si>
  <si>
    <t>CECO Environmental Corp.(CECE)</t>
  </si>
  <si>
    <t>CTT-Correios de Portugal SA(CTT)</t>
  </si>
  <si>
    <t>Blue Dart Express Ltd.(BLUEDART)</t>
  </si>
  <si>
    <t>Yang Ming Marine Transport Corp.(2609)</t>
  </si>
  <si>
    <t>Shenzhen Airport Co. Ltd. Class A(000089)</t>
  </si>
  <si>
    <t>Ningbo Zhoushan Port Co. Ltd. Class A(601018)</t>
  </si>
  <si>
    <t>SIA Engineering Co. Ltd.(S59)</t>
  </si>
  <si>
    <t>Gujarat Pipavav Port Ltd.(GPPL)</t>
  </si>
  <si>
    <t>Hyosung Advanced Materials Corp.(298050)</t>
  </si>
  <si>
    <t>Riken Corp.(6462)</t>
  </si>
  <si>
    <t>Select Harvests Ltd.(SHV)</t>
  </si>
  <si>
    <t>Devro plc(DVO)</t>
  </si>
  <si>
    <t>Noritsu Koki Co. Ltd.(7744)</t>
  </si>
  <si>
    <t>Changyou.com Ltd. ADR(CYOU)</t>
  </si>
  <si>
    <t>Kurabo Industries Ltd.(3106)</t>
  </si>
  <si>
    <t>Vera Bradley Inc.(VRA)</t>
  </si>
  <si>
    <t>BioLife Solutions Inc.(BLFS)</t>
  </si>
  <si>
    <t>Cutera Inc.(CUTR)</t>
  </si>
  <si>
    <t>Dentium Co. Ltd.(145720)</t>
  </si>
  <si>
    <t>Xeris Pharmaceuticals Inc.(XERS)</t>
  </si>
  <si>
    <t>X4 Pharmaceuticals Inc.(XFOR)</t>
  </si>
  <si>
    <t>Amyris Inc.(AMRS)</t>
  </si>
  <si>
    <t>Minerva Neurosciences Inc.(NERV)</t>
  </si>
  <si>
    <t>Palatin Technologies Inc.(PTN)</t>
  </si>
  <si>
    <t>China Resources Sanjiu Medical &amp; Pharmaceutical Co. Ltd. Class A(000999)</t>
  </si>
  <si>
    <t>Shanghai Fosun Pharmaceutical Group Co. Ltd. Class A(600196)</t>
  </si>
  <si>
    <t>Genky DrugStores Co. Ltd.(9267)</t>
  </si>
  <si>
    <t>Automotive Holdings Group Ltd.(AHG)</t>
  </si>
  <si>
    <t>Atresmedia Corp. de Medios de Comunicacion SA(A3M)</t>
  </si>
  <si>
    <t>Relia Inc.(4708)</t>
  </si>
  <si>
    <t>Magnum Bhd.(MAGNUM)</t>
  </si>
  <si>
    <t>Chuy's Holdings Inc.(CHUY)</t>
  </si>
  <si>
    <t>Partner Communications Co. Ltd.(PTNR)</t>
  </si>
  <si>
    <t>TPI Polene Power PCL(TPIPP-F)</t>
  </si>
  <si>
    <t>Spirit of Texas Bancshares Inc.(STXB)</t>
  </si>
  <si>
    <t>Bankwell Financial Group Inc.(BWFG)</t>
  </si>
  <si>
    <t>Yamanashi Chuo Bank Ltd.(8360)</t>
  </si>
  <si>
    <t>MidSouth Bancorp Inc.(MSL)</t>
  </si>
  <si>
    <t>HarborOne Bancorp Inc.(HONE)</t>
  </si>
  <si>
    <t>FS Bancorp Inc.(FSBW)</t>
  </si>
  <si>
    <t>Southern National Bancorp of Virginia Inc.(SONA)</t>
  </si>
  <si>
    <t>Credito Emiliano SPA(CE)</t>
  </si>
  <si>
    <t>Select Bancorp Inc.(SLCT)</t>
  </si>
  <si>
    <t>Cholamandalam Financial Holdings Ltd.(CHOLAHLDNG)</t>
  </si>
  <si>
    <t>Reliance Capital Ltd.(RELCAPITAL)</t>
  </si>
  <si>
    <t>Global Indemnity Ltd.(GBLI)</t>
  </si>
  <si>
    <t>FedNat Holding Co.(FNHC)</t>
  </si>
  <si>
    <t>Palm Hills Developments SAE(PHDC)</t>
  </si>
  <si>
    <t>Radium Life Tech Co. Ltd.(2547)</t>
  </si>
  <si>
    <t>GDI Property Group(GDI)</t>
  </si>
  <si>
    <t>SPH REIT(SK6U)</t>
  </si>
  <si>
    <t>Frasers Hospitality Trust(ACV)</t>
  </si>
  <si>
    <t>Marlin Business Services Corp.(MRLN)</t>
  </si>
  <si>
    <t>Broadleaf Co. Ltd.(3673)</t>
  </si>
  <si>
    <t>Telenav Inc.(TNAV)</t>
  </si>
  <si>
    <t>Pan Jit International Inc.(2481)</t>
  </si>
  <si>
    <t>AXT Inc.(AXTI)</t>
  </si>
  <si>
    <t>FIH Mobile Ltd.(2038)</t>
  </si>
  <si>
    <t>Sterlite Technologies Ltd.(STRTECH)</t>
  </si>
  <si>
    <t>Coolpad Group Ltd.(2369)</t>
  </si>
  <si>
    <t>Ishihara Sangyo Kaisha Ltd.(4028)</t>
  </si>
  <si>
    <t>Tayca Corp.(4027)</t>
  </si>
  <si>
    <t>Konishi Co. Ltd.(4956)</t>
  </si>
  <si>
    <t>Sinofert Holdings Ltd.(297)</t>
  </si>
  <si>
    <t>Veritiv Corp.(VRTV)</t>
  </si>
  <si>
    <t>Aichi Steel Corp.(5482)</t>
  </si>
  <si>
    <t>Gold Resource Corp.(GORO)</t>
  </si>
  <si>
    <t>Bossard Holding AG(BOSN)</t>
  </si>
  <si>
    <t>CEMEX Latam Holdings SA(CLH)</t>
  </si>
  <si>
    <t>IS Dongseo Co. Ltd.(010780)</t>
  </si>
  <si>
    <t>Lafarge Malaysia Bhd.(LAFMSIA)</t>
  </si>
  <si>
    <t>LB Foster Co. Class A(FSTR)</t>
  </si>
  <si>
    <t>Dilip Buildcon Ltd.(DBL)</t>
  </si>
  <si>
    <t>WCT Holdings Bhd.(WCT)</t>
  </si>
  <si>
    <t>Italian-Thai Development PCL(ITD-F)</t>
  </si>
  <si>
    <t>Murray &amp; Roberts Holdings Ltd.(MUR)</t>
  </si>
  <si>
    <t>Jentech Precision Industrial Co. Ltd.(3653)</t>
  </si>
  <si>
    <t>BH Co. Ltd.(090460)</t>
  </si>
  <si>
    <t>HannsTouch Solution Inc.(3049)</t>
  </si>
  <si>
    <t>Elite Advanced Laser Corp.(3450)</t>
  </si>
  <si>
    <t>Blue Bird Corp.(BLBD)</t>
  </si>
  <si>
    <t>Tsugami Corp.(6101)</t>
  </si>
  <si>
    <t>Tsurumi Manufacturing Co. Ltd.(6351)</t>
  </si>
  <si>
    <t>Vossloh AG(VOS)</t>
  </si>
  <si>
    <t>Chung-Hsin Electric &amp; Machinery Manufacturing Corp.(1513)</t>
  </si>
  <si>
    <t>Topy Industries Ltd.(7231)</t>
  </si>
  <si>
    <t>Rechi Precision Co. Ltd.(4532)</t>
  </si>
  <si>
    <t>Graham Corp.(GHM)</t>
  </si>
  <si>
    <t>Radiant Logistics Inc.(RLGT)</t>
  </si>
  <si>
    <t>Grindrod Ltd.(GND)</t>
  </si>
  <si>
    <t>Nisso Corp.(6569)</t>
  </si>
  <si>
    <t>Nohmi Bosai Ltd.(6744)</t>
  </si>
  <si>
    <t>BG Staffing Inc.(BGSF)</t>
  </si>
  <si>
    <t>Tachi-S Co. Ltd.(7239)</t>
  </si>
  <si>
    <t>Shanghai Huayi Group Co. Ltd. Class B(900909)</t>
  </si>
  <si>
    <t>Shandong Himile Mechanical Science &amp; Technology Co. Ltd. Class A(002595)</t>
  </si>
  <si>
    <t>DyDo Group Holdings Inc.(2590)</t>
  </si>
  <si>
    <t>Juhayna Food Industries(JUFO)</t>
  </si>
  <si>
    <t>Symphony Ltd.(SYMPHONY)</t>
  </si>
  <si>
    <t>TTK Prestige Ltd.(TTKPRESTIG)</t>
  </si>
  <si>
    <t>AmTRAN Technology Co. Ltd.(2489)</t>
  </si>
  <si>
    <t>Mizuno Corp.(8022)</t>
  </si>
  <si>
    <t>Akatsuki Inc.(3932)</t>
  </si>
  <si>
    <t>Li Cheng Enterprise Co. Ltd.(4426)</t>
  </si>
  <si>
    <t>NanJi E-Commerce Co. Ltd. Class A(002127)</t>
  </si>
  <si>
    <t>Brookdale Senior Living Inc.(BKD)</t>
  </si>
  <si>
    <t>Medicare Group(MCGS)</t>
  </si>
  <si>
    <t>Tokai Corp./Gifu(9729)</t>
  </si>
  <si>
    <t>SeaSpine Holdings Corp.(SPNE)</t>
  </si>
  <si>
    <t>Ypsomed Holding AG(YPSN)</t>
  </si>
  <si>
    <t>Aclaris Therapeutics Inc.(ACRS)</t>
  </si>
  <si>
    <t>ImmunoGen Inc.(IMGN)</t>
  </si>
  <si>
    <t>Translate Bio Inc.(TBIO)</t>
  </si>
  <si>
    <t>Diplomat Pharmacy Inc.(DPLO)</t>
  </si>
  <si>
    <t>Belc Co. Ltd.(9974)</t>
  </si>
  <si>
    <t>Axial Retailing Inc.(8255)</t>
  </si>
  <si>
    <t>V-Mart Retail Ltd.(VMART)</t>
  </si>
  <si>
    <t>Express Inc.(EXPR)</t>
  </si>
  <si>
    <t>Myer Holdings Ltd.(MYR)</t>
  </si>
  <si>
    <t>Wisdom Education International Holdings Co. Ltd.(6068)</t>
  </si>
  <si>
    <t>Digital Turbine Inc.(APPS)</t>
  </si>
  <si>
    <t>Tribune Publishing Co.(TPCO)</t>
  </si>
  <si>
    <t>Shanghai Jin Jiang International Hotels Group Co. Ltd.(2006)</t>
  </si>
  <si>
    <t>Habit Restaurants Inc. Class A(HABT)</t>
  </si>
  <si>
    <t>Potbelly Corp.(PBPB)</t>
  </si>
  <si>
    <t>Del Frisco's Restaurant Group Inc.(DFRG)</t>
  </si>
  <si>
    <t>Vivint Solar Inc.(VSLR)</t>
  </si>
  <si>
    <t>Grandblue Environment Co. Ltd. Class A(600323)</t>
  </si>
  <si>
    <t>Howard Bancorp Inc.(HBMD)</t>
  </si>
  <si>
    <t>Century Bancorp Inc./MA Class A(CNBKA)</t>
  </si>
  <si>
    <t>Republic First Bancorp Inc.(FRBK)</t>
  </si>
  <si>
    <t>SI Financial Group Inc.(SIFI)</t>
  </si>
  <si>
    <t>Zhuguang Holdings Group Co. Ltd.(1176)</t>
  </si>
  <si>
    <t>Alam Sutera Realty Tbk PT(ASRI)</t>
  </si>
  <si>
    <t>China Enterprise Co. Ltd. Class A(600675)</t>
  </si>
  <si>
    <t>Klovern AB Preference Shares(KLOV PREF)</t>
  </si>
  <si>
    <t>Shanghai Shibei Hi-Tech Co. Ltd. Class A(600604)</t>
  </si>
  <si>
    <t>Yango Group Co. Ltd. Class A(000671)</t>
  </si>
  <si>
    <t>Jinke Properties Group Co. Ltd. Class A(000656)</t>
  </si>
  <si>
    <t>Arrowhead Properties Ltd.(AWA)</t>
  </si>
  <si>
    <t>Concentradora Fibra Hotelera Mexicana SA de CV(FIHO12)</t>
  </si>
  <si>
    <t>Heartland Group Holdings Ltd.(HGH)</t>
  </si>
  <si>
    <t>Matrix IT Ltd.(MTRX)</t>
  </si>
  <si>
    <t>Redington India Ltd.(REDINGTON)</t>
  </si>
  <si>
    <t>PAR Technology Corp.(PAR)</t>
  </si>
  <si>
    <t>Firich Enterprises Co. Ltd.(8076)</t>
  </si>
  <si>
    <t>Quanta Storage Inc.(6188)</t>
  </si>
  <si>
    <t>Chunghwa Precision Test Tech Co. Ltd.(6510)</t>
  </si>
  <si>
    <t>Midstates Petroleum Co. Inc.(MPO)</t>
  </si>
  <si>
    <t>Halcon Resources Corp.(HK)</t>
  </si>
  <si>
    <t>Evolution Petroleum Corp.(EPM)</t>
  </si>
  <si>
    <t>Panhandle Oil and Gas Inc. Class A(PHX)</t>
  </si>
  <si>
    <t>RussNeft PJSC(RNFT)</t>
  </si>
  <si>
    <t>Mammoth Energy Services Inc.(TUSK)</t>
  </si>
  <si>
    <t>Sinopec Oilfield Service Corp.(1033)</t>
  </si>
  <si>
    <t>Suzlon Energy Ltd.(SUZLON)</t>
  </si>
  <si>
    <t>Dainichiseika Color &amp; Chemicals Manufacturing Co. Ltd.(4116)</t>
  </si>
  <si>
    <t>Huchems Fine Chemical Corp.(069260)</t>
  </si>
  <si>
    <t>Bando Chemical Industries Ltd.(5195)</t>
  </si>
  <si>
    <t>Swancor Holding Co. Ltd.(3708)</t>
  </si>
  <si>
    <t>Semapa-Sociedade de Investimento e Gestao(SEM)</t>
  </si>
  <si>
    <t>Uranium Energy Corp.(UEC)</t>
  </si>
  <si>
    <t>Inner Mongolia BaoTou Steel Union Co. Ltd. Class A(600010)</t>
  </si>
  <si>
    <t>Tiangong International Co. Ltd.(826)</t>
  </si>
  <si>
    <t>Shandong Gold Mining Co. Ltd. Class A(600547)</t>
  </si>
  <si>
    <t>Bunka Shutter Co. Ltd.(5930)</t>
  </si>
  <si>
    <t>Fujimori Kogyo Co. Ltd.(7917)</t>
  </si>
  <si>
    <t>Corticeira Amorim SGPS SA(COR)</t>
  </si>
  <si>
    <t>IntriCon Corp.(IIN)</t>
  </si>
  <si>
    <t>Darwin Precisions Corp.(6120)</t>
  </si>
  <si>
    <t>Furukawa Co. Ltd.(5715)</t>
  </si>
  <si>
    <t>CSSC Offshore and Marine Engineering Group Co. Ltd.(317)</t>
  </si>
  <si>
    <t>Manitou BF SA(MTU)</t>
  </si>
  <si>
    <t>Siasun Robot &amp; Automation Co. Ltd. Class A(300024)</t>
  </si>
  <si>
    <t>Thoresen Thai Agencies PCL(TTA)</t>
  </si>
  <si>
    <t>Eagle Bulk Shipping Inc.(EGLE)</t>
  </si>
  <si>
    <t>Trada Alam Minera Tbk PT(TRAM)</t>
  </si>
  <si>
    <t>Willis Lease Finance Corp.(WLFC)</t>
  </si>
  <si>
    <t>Daseke Inc.(DSKE)</t>
  </si>
  <si>
    <t>YRC Worldwide Inc.(YRCW)</t>
  </si>
  <si>
    <t>FULLCAST Holdings Co. Ltd.(4848)</t>
  </si>
  <si>
    <t>LG International Corp.(001120)</t>
  </si>
  <si>
    <t>Dongjiang Environmental Co. Ltd. Class A(002672)</t>
  </si>
  <si>
    <t>Sundram Fasteners Ltd.(SUNDRMFAST)</t>
  </si>
  <si>
    <t>Jiangxi Zhengbang Technology Co. Ltd. Class A(002157)</t>
  </si>
  <si>
    <t>BayWa AG(BYW6)</t>
  </si>
  <si>
    <t>Samyang Holdings Corp.(000070)</t>
  </si>
  <si>
    <t>Shanghai Haixin Group Co. Class B(900917)</t>
  </si>
  <si>
    <t>Meinian Onehealth Healthcare Holdings Co. Ltd. Class A(002044)</t>
  </si>
  <si>
    <t>LF Corp.(093050)</t>
  </si>
  <si>
    <t>Youngor Group Co. Ltd. Class A(600177)</t>
  </si>
  <si>
    <t>Beauty Community PCL(null)</t>
  </si>
  <si>
    <t>Philip Morris CR AS(TABAK)</t>
  </si>
  <si>
    <t>Rockwell Medical Inc.(RMTI)</t>
  </si>
  <si>
    <t>Tocagen Inc.(TOCA)</t>
  </si>
  <si>
    <t>Agenus Inc.(AGEN)</t>
  </si>
  <si>
    <t>Seikagaku Corp.(4548)</t>
  </si>
  <si>
    <t>Dong-A ST Co. Ltd.(170900)</t>
  </si>
  <si>
    <t>MEI Pharma Inc.(MEIP)</t>
  </si>
  <si>
    <t>Pharma Mar SA(PHM)</t>
  </si>
  <si>
    <t>Daewoong Co. Ltd.(003090)</t>
  </si>
  <si>
    <t>Australian Pharmaceutical Industries Ltd.(API)</t>
  </si>
  <si>
    <t>Barnes &amp; Noble Education Inc.(BNED)</t>
  </si>
  <si>
    <t>Bermaz Auto Bhd.(BAUTO)</t>
  </si>
  <si>
    <t>Joshin Denki Co. Ltd.(8173)</t>
  </si>
  <si>
    <t>TV Asahi Holdings Corp.(9409)</t>
  </si>
  <si>
    <t>Avex Inc.(7860)</t>
  </si>
  <si>
    <t>Nathan's Famous Inc.(NATH)</t>
  </si>
  <si>
    <t>Open Door Inc.(3926)</t>
  </si>
  <si>
    <t>SmarTone Telecommunications Holdings Ltd.(315)</t>
  </si>
  <si>
    <t>China Power Clean Energy Development Co. Ltd.(735)</t>
  </si>
  <si>
    <t>Enterprise Bancorp Inc./MA(EBTC)</t>
  </si>
  <si>
    <t>Hingham Institution for Savings(HIFS)</t>
  </si>
  <si>
    <t>First Bancorp Inc./ME(FNLC)</t>
  </si>
  <si>
    <t>Bank of the Ryukyus Ltd.(8399)</t>
  </si>
  <si>
    <t>Tokyo Kiraboshi Financial Group Inc.(7173)</t>
  </si>
  <si>
    <t>Entegra Financial Corp.(ENFC)</t>
  </si>
  <si>
    <t>Co for Cooperative Insurance(8010)</t>
  </si>
  <si>
    <t>Daibiru Corp.(8806)</t>
  </si>
  <si>
    <t>Gemdale Corp. Class A(600383)</t>
  </si>
  <si>
    <t>Greenland Hong Kong Holdings Ltd.(337)</t>
  </si>
  <si>
    <t>Beijing North Star Co. Ltd.(588)</t>
  </si>
  <si>
    <t>Forestar Group Inc.(FOR)</t>
  </si>
  <si>
    <t>E-House China Enterprise Holdings Ltd.(2048)</t>
  </si>
  <si>
    <t>Ellington Residential Mortgage REIT(EARN)</t>
  </si>
  <si>
    <t>Jaccs Co. Ltd.(8584)</t>
  </si>
  <si>
    <t>NICE Information Service Co. Ltd.(030190)</t>
  </si>
  <si>
    <t>Wuestenrot &amp; Wuerttembergische AG(WUW)</t>
  </si>
  <si>
    <t>Hosken Consolidated Investments Ltd.(HCI)</t>
  </si>
  <si>
    <t>Ricoh Leasing Co. Ltd.(8566)</t>
  </si>
  <si>
    <t>Founder Securities Co. Ltd. Class A(601901)</t>
  </si>
  <si>
    <t>Dongxing Securities Co. Ltd. Class A(601198)</t>
  </si>
  <si>
    <t>Genworth Mortgage Insurance Australia Ltd.(GMA)</t>
  </si>
  <si>
    <t>Sinosoft Technology Group Ltd.(1297)</t>
  </si>
  <si>
    <t>Remixpoint Inc.(3825)</t>
  </si>
  <si>
    <t>IEI Integration Corp.(3022)</t>
  </si>
  <si>
    <t>Kanematsu Electronics Ltd.(8096)</t>
  </si>
  <si>
    <t>Holtek Semiconductor Inc.(6202)</t>
  </si>
  <si>
    <t>Unizyx Holding Corp.(3704)</t>
  </si>
  <si>
    <t>Denki Kogyo Co. Ltd.(6706)</t>
  </si>
  <si>
    <t>Natural Gas Services Group Inc.(NGS)</t>
  </si>
  <si>
    <t>SEACOR Marine Holdings Inc.(SMHI)</t>
  </si>
  <si>
    <t>Everlight Chemical Industrial Corp.(1711)</t>
  </si>
  <si>
    <t>Chambal Fertilizers and Chemicals Ltd.(CHAMBLFERT)</t>
  </si>
  <si>
    <t>Tianqi Lithium Corp. Class A(002466)</t>
  </si>
  <si>
    <t>Hsin Kuang Steel Co. Ltd.(2031)</t>
  </si>
  <si>
    <t>Kyoei Steel Ltd.(5440)</t>
  </si>
  <si>
    <t>Dongkuk Steel Mill Co. Ltd.(001230)</t>
  </si>
  <si>
    <t>Olympic Steel Inc.(ZEUS)</t>
  </si>
  <si>
    <t>China Fangda Group Co. Ltd. Class B(200055)</t>
  </si>
  <si>
    <t>Okabe Co. Ltd.(5959)</t>
  </si>
  <si>
    <t>Zignago Vetro SPA(ZV)</t>
  </si>
  <si>
    <t>L&amp;F Co. Ltd.(066970)</t>
  </si>
  <si>
    <t>Koa Corp.(6999)</t>
  </si>
  <si>
    <t>Sinfonia Technology Co. Ltd.(6507)</t>
  </si>
  <si>
    <t>Zhejiang Dahua Technology Co. Ltd. Class A(002236)</t>
  </si>
  <si>
    <t>Kyokuto Kaihatsu Kogyo Co. Ltd.(7226)</t>
  </si>
  <si>
    <t>AVIC Shenyang Aircraft Co. Ltd. Class A(600760)</t>
  </si>
  <si>
    <t>Munters Group AB(MTRS)</t>
  </si>
  <si>
    <t>Shinko Plantech Co. Ltd.(6379)</t>
  </si>
  <si>
    <t>Kinik Co.(1560)</t>
  </si>
  <si>
    <t>Guangzhou Baiyun International Airport Co. Ltd. Class A(600004)</t>
  </si>
  <si>
    <t>LSC Communications Inc.(LKSD)</t>
  </si>
  <si>
    <t>Toppan Forms Co. Ltd.(7862)</t>
  </si>
  <si>
    <t>Mistras Group Inc.(MG)</t>
  </si>
  <si>
    <t>BYD Co. Ltd. Class A(002594)</t>
  </si>
  <si>
    <t>Autoneum Holding AG(AUTN)</t>
  </si>
  <si>
    <t>Tupy SA(TUPY3)</t>
  </si>
  <si>
    <t>Beijing Yanjing Brewery Co. Ltd. Class A(000729)</t>
  </si>
  <si>
    <t>Shoei Foods Corp.(8079)</t>
  </si>
  <si>
    <t>Fourlis Holdings SA(FOYRK)</t>
  </si>
  <si>
    <t>Zeng Hsing Industrial Co. Ltd.(1558)</t>
  </si>
  <si>
    <t>Chofu Seisakusho Co. Ltd.(5946)</t>
  </si>
  <si>
    <t>Sunwoda Electronic Co. Ltd. Class A(300207)</t>
  </si>
  <si>
    <t>Soft-World International Corp.(5478)</t>
  </si>
  <si>
    <t>PC Jeweller Ltd.(PCJEWELLER)</t>
  </si>
  <si>
    <t>Cosmo Lady China Holdings Co. Ltd.(2298)</t>
  </si>
  <si>
    <t>Surgery Partners Inc.(SGRY)</t>
  </si>
  <si>
    <t>DIO Corp.(039840)</t>
  </si>
  <si>
    <t>Quanterix Corp.(QTRX)</t>
  </si>
  <si>
    <t>Cyclerion Therapeutics Inc.(CYCN)</t>
  </si>
  <si>
    <t>Kiniksa Pharmaceuticals Ltd. Class A(KNSA)</t>
  </si>
  <si>
    <t>Gritstone Oncology Inc.(GRTS)</t>
  </si>
  <si>
    <t>Mersana Therapeutics Inc.(MRSN)</t>
  </si>
  <si>
    <t>Eloxx Pharmaceuticals Inc.(ELOX)</t>
  </si>
  <si>
    <t>JW Pharmaceutical Corp.(001060)</t>
  </si>
  <si>
    <t>Kangmei Pharmaceutical Co. Ltd. Class A(600518)</t>
  </si>
  <si>
    <t>Lotus Pharmaceutical Co. Ltd.(1795)</t>
  </si>
  <si>
    <t>Livzon Pharmaceutical Group Inc.(1513)</t>
  </si>
  <si>
    <t>Abdullah Al Othaim Markets Co.(4001)</t>
  </si>
  <si>
    <t>Retail Partners Co. Ltd.(8167)</t>
  </si>
  <si>
    <t>Rami Levy Chain Stores Hashikma Marketing 2006 Ltd.(RMLI)</t>
  </si>
  <si>
    <t>AOKI Holdings Inc.(8214)</t>
  </si>
  <si>
    <t>Chow Sang Sang Holdings International Ltd.(116)</t>
  </si>
  <si>
    <t>Shanghai Bailian Group Co. Ltd. Class B(900923)</t>
  </si>
  <si>
    <t>Belluna Co. Ltd.(9997)</t>
  </si>
  <si>
    <t>Mercuries &amp; Associates Holding Ltd.(2905)</t>
  </si>
  <si>
    <t>Lookers plc(LOOK)</t>
  </si>
  <si>
    <t>Grand Baoxin Auto Group Ltd.(1293)</t>
  </si>
  <si>
    <t>Hemisphere Media Group Inc. Class A(HMTV)</t>
  </si>
  <si>
    <t>Clear Channel Outdoor Holdings Inc./old Class A(CCO)</t>
  </si>
  <si>
    <t>Shandong Airlines Co. Ltd. Class B(200152)</t>
  </si>
  <si>
    <t>Formosa International Hotels Corp.(2707)</t>
  </si>
  <si>
    <t>Reading International Inc. Class A(RDI)</t>
  </si>
  <si>
    <t>Plenus Co. Ltd.(9945)</t>
  </si>
  <si>
    <t>SPCG PCL(SPCG-F)</t>
  </si>
  <si>
    <t>Centrais Eletricas Brasileiras SA ADR(EBR)</t>
  </si>
  <si>
    <t>First Business Financial Services Inc.(FBIZ)</t>
  </si>
  <si>
    <t>Bank of Jiangsu Co. Ltd. Class A(600919)</t>
  </si>
  <si>
    <t>Capital City Bank Group Inc.(CCBG)</t>
  </si>
  <si>
    <t>Bank of Changsha Co. Ltd. Class A(601577)</t>
  </si>
  <si>
    <t>ACNB Corp.(ACNB)</t>
  </si>
  <si>
    <t>Reliant Bancorp Inc.(RBNC)</t>
  </si>
  <si>
    <t>Metropolitan Bank Holding Corp.(MCB)</t>
  </si>
  <si>
    <t>Protective Insurance Corp. Class B(PTVCB)</t>
  </si>
  <si>
    <t>Sobha Ltd.(SOBHA)</t>
  </si>
  <si>
    <t>Schroder REIT Ltd.(SREI)</t>
  </si>
  <si>
    <t>Investar Holding Corp.(ISTR)</t>
  </si>
  <si>
    <t>Zeder Investments Ltd.(ZED)</t>
  </si>
  <si>
    <t>Beijing Shiji Information Technology Co. Ltd. Class A(002153)</t>
  </si>
  <si>
    <t>KPIT Technologies Ltd.(KPITTECH)</t>
  </si>
  <si>
    <t>Riso Kagaku Corp.(6413)</t>
  </si>
  <si>
    <t>OptoTech Corp.(2340)</t>
  </si>
  <si>
    <t>Shindengen Electric Manufacturing Co. Ltd.(6844)</t>
  </si>
  <si>
    <t>Trecora Resources(TREC)</t>
  </si>
  <si>
    <t>Green Brick Partners Inc.(GRBK)</t>
  </si>
  <si>
    <t>Korea Petrochemical Ind Co. Ltd.(006650)</t>
  </si>
  <si>
    <t>T Hasegawa Co. Ltd.(4958)</t>
  </si>
  <si>
    <t>Soulbrain Co. Ltd.(036830)</t>
  </si>
  <si>
    <t>Abou Kir Fertilizers &amp; Chemical Industries(ABUK)</t>
  </si>
  <si>
    <t>Sakata INX Corp.(4633)</t>
  </si>
  <si>
    <t>Haynes International Inc.(HAYN)</t>
  </si>
  <si>
    <t>Timah Tbk PT(TINS)</t>
  </si>
  <si>
    <t>Jain Irrigation Systems Ltd.(JISLJALEQS)</t>
  </si>
  <si>
    <t>Unique Engineering &amp; Construction PCL(UNIQ-F)</t>
  </si>
  <si>
    <t>Sadbhav Engineering Ltd.(SADBHAV)</t>
  </si>
  <si>
    <t>AVIC Aircraft Co. Ltd. Class A(000768)</t>
  </si>
  <si>
    <t>Sporton International Inc.(6146)</t>
  </si>
  <si>
    <t>Sodick Co. Ltd.(6143)</t>
  </si>
  <si>
    <t>ESPEC Corp.(6859)</t>
  </si>
  <si>
    <t>Mitsubishi Logisnext Co. Ltd.(7105)</t>
  </si>
  <si>
    <t>Danieli &amp; C Officine Meccaniche SPA(DAN)</t>
  </si>
  <si>
    <t>Optorun Co. Ltd.(6235)</t>
  </si>
  <si>
    <t>Wallenius Wilhelmsen ASA(WALWIL)</t>
  </si>
  <si>
    <t>Great Eastern Shipping Co. Ltd.(GESHIP)</t>
  </si>
  <si>
    <t>Bertrandt AG(BDT)</t>
  </si>
  <si>
    <t>GP Strategies Corp.(GPX)</t>
  </si>
  <si>
    <t>Wise Talent Information Technology Co. Ltd.(6100)</t>
  </si>
  <si>
    <t>Doshisha Co. Ltd.(7483)</t>
  </si>
  <si>
    <t>Futaba Industrial Co. Ltd.(7241)</t>
  </si>
  <si>
    <t>CIR-Compagnie Industriali Riunite SPA(CIR)</t>
  </si>
  <si>
    <t>Craft Brew Alliance Inc.(BREW)</t>
  </si>
  <si>
    <t>Australian Agricultural Co. Ltd.(AAC)</t>
  </si>
  <si>
    <t>Al Meera Consumer Goods Co. QSC(MERS)</t>
  </si>
  <si>
    <t>China Modern Dairy Holdings Ltd.(1117)</t>
  </si>
  <si>
    <t>Minerva SA/Brazil(BEEF3)</t>
  </si>
  <si>
    <t>Lovesac Co.(LOVE)</t>
  </si>
  <si>
    <t>OVS SPA(OVS)</t>
  </si>
  <si>
    <t>Weyco Group Inc.(WEYS)</t>
  </si>
  <si>
    <t>CytoSorbents Corp.(CTSO)</t>
  </si>
  <si>
    <t>Ion Beam Applications(IBAB)</t>
  </si>
  <si>
    <t>Accuray Inc.(ARAY)</t>
  </si>
  <si>
    <t>Pharmally International Holding Co. Ltd.(6452)</t>
  </si>
  <si>
    <t>Concert Pharmaceuticals Inc.(CNCE)</t>
  </si>
  <si>
    <t>Alector Inc.(ALEC)</t>
  </si>
  <si>
    <t>Replimune Group Inc.(REPL)</t>
  </si>
  <si>
    <t>Nishimatsuya Chain Co. Ltd.(7545)</t>
  </si>
  <si>
    <t>Chiyoda Co. Ltd.(8185)</t>
  </si>
  <si>
    <t>Accent Group Ltd.(AX1)</t>
  </si>
  <si>
    <t>Beijing Capital Retailing Group Co. Ltd. Class A(600723)</t>
  </si>
  <si>
    <t>Matsuya Co. Ltd.(8237)</t>
  </si>
  <si>
    <t>Xinhua Winshare Publishing and Media Co. Ltd. Class A(601811)</t>
  </si>
  <si>
    <t>Sa Sa International Holdings Ltd.(178)</t>
  </si>
  <si>
    <t>Geo Holdings Corp.(2681)</t>
  </si>
  <si>
    <t>Itochu Enex Co. Ltd.(8133)</t>
  </si>
  <si>
    <t>Gocompare.Com Group plc(GOCO)</t>
  </si>
  <si>
    <t>Shanghai Oriental Pearl Group Co. Ltd. Class A(600637)</t>
  </si>
  <si>
    <t>Cebu Air Inc.(CEB)</t>
  </si>
  <si>
    <t>Norwegian Air Shuttle ASA(NAS)</t>
  </si>
  <si>
    <t>Rank Group plc(RNK)</t>
  </si>
  <si>
    <t>Grand Korea Leisure Co. Ltd.(114090)</t>
  </si>
  <si>
    <t>Monogatari Corp.(3097)</t>
  </si>
  <si>
    <t>Sanyo Electric Railway Co. Ltd.(9052)</t>
  </si>
  <si>
    <t>Thomas Cook India Ltd.(THOMASCOOK)</t>
  </si>
  <si>
    <t>Mosenergo PJSC(MSNG)</t>
  </si>
  <si>
    <t>Concord New Energy Group Ltd.(182)</t>
  </si>
  <si>
    <t>Mitsuuroko Group Holdings Co. Ltd.(8131)</t>
  </si>
  <si>
    <t>Timberland Bancorp Inc./WA(TSBK)</t>
  </si>
  <si>
    <t>Akita Bank Ltd.(8343)</t>
  </si>
  <si>
    <t>China Minsheng Banking Corp. Ltd. Class A(600016)</t>
  </si>
  <si>
    <t>First Choice Bancorp(FCBP)</t>
  </si>
  <si>
    <t>Macatawa Bank Corp.(MCBC)</t>
  </si>
  <si>
    <t>Dar Al Arkan Real Estate Development Co.(4300)</t>
  </si>
  <si>
    <t>Brack Capital Properties NV(BCNV)</t>
  </si>
  <si>
    <t>U City PCL(U-F)</t>
  </si>
  <si>
    <t>Indiabulls Real Estate Ltd.(IBREALEST)</t>
  </si>
  <si>
    <t>LPN Development PCL(LPN-F)</t>
  </si>
  <si>
    <t>Medinet Nasr Housing(MNHD)</t>
  </si>
  <si>
    <t>Shanghai Industrial Urban Development Group Ltd.(563)</t>
  </si>
  <si>
    <t>Kindom Construction Corp.(2520)</t>
  </si>
  <si>
    <t>Soilbuild Business Space REIT(SV3U)</t>
  </si>
  <si>
    <t>Korea Real Estate Investment &amp; Trust Co. Ltd.(HMY)</t>
  </si>
  <si>
    <t>First REIT(AW9U)</t>
  </si>
  <si>
    <t>Victory Capital Holdings Inc. Class A(VCTR)</t>
  </si>
  <si>
    <t>On Deck Capital Inc.(ONDK)</t>
  </si>
  <si>
    <t>Curo Group Holdings Corp.(CURO)</t>
  </si>
  <si>
    <t>Eclipx Group Ltd.(ECX)</t>
  </si>
  <si>
    <t>Birlasoft Ltd.(BSOFT)</t>
  </si>
  <si>
    <t>Gree Inc.(3632)</t>
  </si>
  <si>
    <t>Sogou Inc. ADR(SOGO)</t>
  </si>
  <si>
    <t>Fixstars Corp.(3687)</t>
  </si>
  <si>
    <t>Castlight Health Inc. Class B(CSLT)</t>
  </si>
  <si>
    <t>Pixart Imaging Inc.(3227)</t>
  </si>
  <si>
    <t>Silicon Works Co. Ltd.(108320)</t>
  </si>
  <si>
    <t>T-Gaia Corp.(3738)</t>
  </si>
  <si>
    <t>Bumi Armada Bhd.(ARMADA)</t>
  </si>
  <si>
    <t>Sumitomo Seika Chemicals Co. Ltd.(4008)</t>
  </si>
  <si>
    <t>Ho Tung Chemical Corp.(1714)</t>
  </si>
  <si>
    <t>Foosung Co. Ltd.(093370)</t>
  </si>
  <si>
    <t>SKCKOLONPI Inc.(178920)</t>
  </si>
  <si>
    <t>Shandong Nanshan Aluminum Co. Ltd. Class A(600219)</t>
  </si>
  <si>
    <t>Toho Zinc Co. Ltd.(5707)</t>
  </si>
  <si>
    <t>Yeong Guan Energy Technology Group Co. Ltd.(1589)</t>
  </si>
  <si>
    <t>China Molybdenum Co. Ltd. Class A(603993)</t>
  </si>
  <si>
    <t>Foundation Building Materials Inc.(FBM)</t>
  </si>
  <si>
    <t>Engineers India Ltd.(ENGINERSIN)</t>
  </si>
  <si>
    <t>Kumho Industrial Co. Ltd.(002990)</t>
  </si>
  <si>
    <t>Tekken Corp.(1815)</t>
  </si>
  <si>
    <t>Tanseisha Co. Ltd.(9743)</t>
  </si>
  <si>
    <t>LIG Nex1 Co. Ltd.(079550)</t>
  </si>
  <si>
    <t>Bombay Burmah Trading Co.(BBTC)</t>
  </si>
  <si>
    <t>Sanan Optoelectronics Co. Ltd. Class A(600703)</t>
  </si>
  <si>
    <t>Hu Lane Associate Inc.(6279)</t>
  </si>
  <si>
    <t>Cogobuy Group(400)</t>
  </si>
  <si>
    <t>Taiflex Scientific Co. Ltd.(8039)</t>
  </si>
  <si>
    <t>Riken Keiki Co. Ltd.(7734)</t>
  </si>
  <si>
    <t>Jiangsu Hengli Hydraulic Co. Ltd. Class A(601100)</t>
  </si>
  <si>
    <t>Asahi Diamond Industrial Co. Ltd.(6140)</t>
  </si>
  <si>
    <t>BW LPG Ltd.(BWLPG)</t>
  </si>
  <si>
    <t>Jiangxi Ganyue Expressway Co. Ltd. Class A(600269)</t>
  </si>
  <si>
    <t>Dip Corp.(2379)</t>
  </si>
  <si>
    <t>Beijing Originwater Technology Co. Ltd. Class A(300070)</t>
  </si>
  <si>
    <t>Canvest Environmental Protection Group Co. Ltd.(1381)</t>
  </si>
  <si>
    <t>Depo Auto Parts Ind Co. Ltd.(6605)</t>
  </si>
  <si>
    <t>Hankook Tire Worldwide Co. Ltd.(000240)</t>
  </si>
  <si>
    <t>Key Coffee Inc.(2594)</t>
  </si>
  <si>
    <t>Norway Royal Salmon ASA(NRS)</t>
  </si>
  <si>
    <t>Seneca Foods Corp. Class A(SENEA)</t>
  </si>
  <si>
    <t>Mitsubishi Shokuhin Co. Ltd.(7451)</t>
  </si>
  <si>
    <t>Taokaenoi Food &amp; Marketing PCL(TKN-F)</t>
  </si>
  <si>
    <t>Thai Union Frozen Products PCL (Foreign)(TU-F)</t>
  </si>
  <si>
    <t>Lotte Food Co. Ltd.(002270)</t>
  </si>
  <si>
    <t>Yunda Holding Co. Ltd. Class A(002120)</t>
  </si>
  <si>
    <t>LEC Inc.(7874)</t>
  </si>
  <si>
    <t>Foster Electric Co. Ltd.(6794)</t>
  </si>
  <si>
    <t>JVC Kenwood Corp.(6632)</t>
  </si>
  <si>
    <t>HLA Corp. Ltd. Class A(600398)</t>
  </si>
  <si>
    <t>Sientra Inc.(SIEN)</t>
  </si>
  <si>
    <t>Calithera Biosciences Inc.(CALA)</t>
  </si>
  <si>
    <t>CMG Pharmaceutical Co. Ltd.(058820)</t>
  </si>
  <si>
    <t>Athersys Inc.(ATHX)</t>
  </si>
  <si>
    <t>Qol Holdings Co. Ltd.(3034)</t>
  </si>
  <si>
    <t>Life Corp.(8194)</t>
  </si>
  <si>
    <t>Smart &amp; Final Stores Inc.(SFS)</t>
  </si>
  <si>
    <t>Village Super Market Inc. Class A(VLGEA)</t>
  </si>
  <si>
    <t>Ascena Retail Group Inc.(ASNA)</t>
  </si>
  <si>
    <t>Arcland Sakamoto Co. Ltd.(9842)</t>
  </si>
  <si>
    <t>VT Holdings Co. Ltd.(7593)</t>
  </si>
  <si>
    <t>Yellow Hat Ltd.(9882)</t>
  </si>
  <si>
    <t>China Grand Automotive Services Co. Ltd. Class A(600297)</t>
  </si>
  <si>
    <t>Global Mediacom Tbk PT(BMTR)</t>
  </si>
  <si>
    <t>Seven West Media Ltd.(SWM)</t>
  </si>
  <si>
    <t>Boston Omaha Corp. Class A(BOMN)</t>
  </si>
  <si>
    <t>Daily Journal Corp.(DJCO)</t>
  </si>
  <si>
    <t>Dynam Japan Holdings Co. Ltd.(6889)</t>
  </si>
  <si>
    <t>OUE Ltd.(LJ3)</t>
  </si>
  <si>
    <t>Accordia Golf Trust(ADQU)</t>
  </si>
  <si>
    <t>RCI Hospitality Holdings Inc.(RICK)</t>
  </si>
  <si>
    <t>Movida Participacoes SA(MOVI3)</t>
  </si>
  <si>
    <t>Huangshan Tourism Development Co. Ltd. Class B(900942)</t>
  </si>
  <si>
    <t>Reliance Infrastructure Ltd.(RELINFRA)</t>
  </si>
  <si>
    <t>SUI Northern Gas Pipeline(SNGP)</t>
  </si>
  <si>
    <t>Zhongshan Public Utilities Group Co. Ltd. Class A(000685)</t>
  </si>
  <si>
    <t>San ju San Financial Group Inc.(7322)</t>
  </si>
  <si>
    <t>Bank Alfalah Ltd.(BAFL)</t>
  </si>
  <si>
    <t>First Internet Bancorp(INBK)</t>
  </si>
  <si>
    <t>Daejan Holdings plc(DJAN)</t>
  </si>
  <si>
    <t>Heliopolis Housing(HELI)</t>
  </si>
  <si>
    <t>Africa Israel Properties Ltd.(AFPR)</t>
  </si>
  <si>
    <t>Clipper Realty Inc.(CLPR)</t>
  </si>
  <si>
    <t>Hotel Property Investments(HPI)</t>
  </si>
  <si>
    <t>Peregrine Holdings Ltd.(PGR)</t>
  </si>
  <si>
    <t>Yixin Group Ltd.(2858)</t>
  </si>
  <si>
    <t>NICE Holdings Co. Ltd.(034310)</t>
  </si>
  <si>
    <t>Avic Capital Co. Ltd. Class A(600705)</t>
  </si>
  <si>
    <t>Leonteq AG(LEON)</t>
  </si>
  <si>
    <t>Investors Title Co.(ITIC)</t>
  </si>
  <si>
    <t>Istyle Inc.(3660)</t>
  </si>
  <si>
    <t>Yonyou Network Technology Co. Ltd. Class A(600588)</t>
  </si>
  <si>
    <t>Formula Systems 1985 Ltd.(FORTY)</t>
  </si>
  <si>
    <t>I3 Verticals Inc. Class A(IIIV)</t>
  </si>
  <si>
    <t>eGain Corp.(EGAN)</t>
  </si>
  <si>
    <t>Inspur Electronic Information Industry Co. Ltd. Class A(000977)</t>
  </si>
  <si>
    <t>Orient Semiconductor Electronics Ltd.(2329)</t>
  </si>
  <si>
    <t>TA-I Technology Co. Ltd.(2478)</t>
  </si>
  <si>
    <t>Beijing Xinwei Technology Group Co. Ltd. Class A(600485)</t>
  </si>
  <si>
    <t>D-Link Corp.(2332)</t>
  </si>
  <si>
    <t>Enauta Participacoes SA(ENAT3)</t>
  </si>
  <si>
    <t>American Superconductor Corp.(AMSC)</t>
  </si>
  <si>
    <t>Sakai Chemical Industry Co. Ltd.(4078)</t>
  </si>
  <si>
    <t>Kanto Denka Kogyo Co. Ltd.(4047)</t>
  </si>
  <si>
    <t>Smartac Group China Holdings Ltd.(395)</t>
  </si>
  <si>
    <t>ChromaDex Corp.(CDXC)</t>
  </si>
  <si>
    <t>Tokushu Tokai Paper Co. Ltd.(3708)</t>
  </si>
  <si>
    <t>Young Poong Corp.(000670)</t>
  </si>
  <si>
    <t>Welspun Corp. Ltd.(WELCORP)</t>
  </si>
  <si>
    <t>China Metal Products(1532)</t>
  </si>
  <si>
    <t>Zijin Mining Group Co. Ltd. Class A(601899)</t>
  </si>
  <si>
    <t>Zehnder Group AG(ZEHN)</t>
  </si>
  <si>
    <t>Tongyang Inc.(001520)</t>
  </si>
  <si>
    <t>Cementir Holding SPA(CEM)</t>
  </si>
  <si>
    <t>IRB Infrastructure Developers Ltd.(IRB)</t>
  </si>
  <si>
    <t>Casetek Holdings Ltd.(5264)</t>
  </si>
  <si>
    <t>CG Power and Industrial Solutions Ltd.(CGPOWER)</t>
  </si>
  <si>
    <t>Hioki EE Corp.(6866)</t>
  </si>
  <si>
    <t>V-Guard Industries Ltd.(VGUARD)</t>
  </si>
  <si>
    <t>Han's Laser Technology Industry Group Co. Ltd. Class A(002008)</t>
  </si>
  <si>
    <t>Palfinger AG(PAL)</t>
  </si>
  <si>
    <t>Nippon Thompson Co. Ltd.(6480)</t>
  </si>
  <si>
    <t>Nissei ASB Machine Co. Ltd.(6284)</t>
  </si>
  <si>
    <t>Precious Shipping PCL(PSL-F)</t>
  </si>
  <si>
    <t>Ocean Yield ASA(OCY)</t>
  </si>
  <si>
    <t>Santos Brasil Participacoes SA(STBP3)</t>
  </si>
  <si>
    <t>Information Services Group Inc.(III)</t>
  </si>
  <si>
    <t>JAC Recruitment Co. Ltd.(2124)</t>
  </si>
  <si>
    <t>PRGX Global Inc.(PRGX)</t>
  </si>
  <si>
    <t>Test Rite International Co. Ltd.(2908)</t>
  </si>
  <si>
    <t>Yadea Group Holdings Ltd.(1585)</t>
  </si>
  <si>
    <t>Ichikoh Industries Ltd.(7244)</t>
  </si>
  <si>
    <t>Sebang Global Battery Co. Ltd.(004490)</t>
  </si>
  <si>
    <t>ForFarmers NV(FFARM)</t>
  </si>
  <si>
    <t>Vilmorin &amp; Cie SA(RIN)</t>
  </si>
  <si>
    <t>J-Oil Mills Inc.(2613)</t>
  </si>
  <si>
    <t>Orion Holdings Corp.(001800)</t>
  </si>
  <si>
    <t>Starzen Co. Ltd.(8043)</t>
  </si>
  <si>
    <t>Beijing Shunxin Agriculture Co. Ltd. Class A(000860)</t>
  </si>
  <si>
    <t>Chongqing Fuling Zhacai Group Co. Ltd. Class A(002507)</t>
  </si>
  <si>
    <t>Oil-Dri Corp. of America(ODC)</t>
  </si>
  <si>
    <t>Bassett Furniture Industries Inc.(BSET)</t>
  </si>
  <si>
    <t>Roo Hsing Co. Ltd.(4414)</t>
  </si>
  <si>
    <t>Fujibo Holdings Inc.(3104)</t>
  </si>
  <si>
    <t>Draegerwerk AG &amp; Co. KGaA Preference Shares(DRW3)</t>
  </si>
  <si>
    <t>Oriola Oyj(OKDBV)</t>
  </si>
  <si>
    <t>Magenta Therapeutics Inc.(MGTA)</t>
  </si>
  <si>
    <t>ScinoPharm Taiwan Ltd.(1789)</t>
  </si>
  <si>
    <t>Aldeyra Therapeutics Inc.(ALDX)</t>
  </si>
  <si>
    <t>Arvinas Inc.(ARVN)</t>
  </si>
  <si>
    <t>Forty Seven Inc.(FTSV)</t>
  </si>
  <si>
    <t>Aduro Biotech Inc.(ADRO)</t>
  </si>
  <si>
    <t>Eidos Therapeutics Inc.(EIDX)</t>
  </si>
  <si>
    <t>ADMA Biologics Inc.(ADMA)</t>
  </si>
  <si>
    <t>Starpharma Holdings Ltd.(SPL)</t>
  </si>
  <si>
    <t>Nihon Chouzai Co. Ltd.(3341)</t>
  </si>
  <si>
    <t>Sogo Medical Holdings Co. Ltd.(9277)</t>
  </si>
  <si>
    <t>Lands' End Inc.(LE)</t>
  </si>
  <si>
    <t>momo.com Inc.(8454)</t>
  </si>
  <si>
    <t>Clas Ohlson AB(CLAS B)</t>
  </si>
  <si>
    <t>Tile Shop Holdings Inc.(TTS)</t>
  </si>
  <si>
    <t>Nextage Co. Ltd.(3186)</t>
  </si>
  <si>
    <t>YG Entertainment Inc.(122870)</t>
  </si>
  <si>
    <t>Entravision Communications Corp. Class A(EVC)</t>
  </si>
  <si>
    <t>Mesa Air Group Inc.(MESA)</t>
  </si>
  <si>
    <t>City Lodge Hotels Ltd.(CLH)</t>
  </si>
  <si>
    <t>Speedway Motorsports Inc.(TRK)</t>
  </si>
  <si>
    <t>Noodles &amp; Co. Class A(NDLS)</t>
  </si>
  <si>
    <t>Blue Label Telecoms Ltd.(BLU)</t>
  </si>
  <si>
    <t>Holding Co. ADMIE IPTO SA(ADMIE)</t>
  </si>
  <si>
    <t>Terna Energy SA(TENERGY)</t>
  </si>
  <si>
    <t>Miyazaki Bank Ltd.(8393)</t>
  </si>
  <si>
    <t>Fukui Bank Ltd.(8362)</t>
  </si>
  <si>
    <t>Shikoku Bank Ltd.(8387)</t>
  </si>
  <si>
    <t>Bank of Princeton(BPRN)</t>
  </si>
  <si>
    <t>Turkiye Sinai Kalkinma Bankasi AS(TSKB)</t>
  </si>
  <si>
    <t>First Northwest Bancorp(FNWB)</t>
  </si>
  <si>
    <t>Karnataka Bank Ltd.(KTKBANK)</t>
  </si>
  <si>
    <t>Meritz Financial Group Inc.(138040)</t>
  </si>
  <si>
    <t>Hanwha General Insurance Co. Ltd.(000370)</t>
  </si>
  <si>
    <t>Migdal Insurance &amp; Financial Holding Ltd.(MGDL)</t>
  </si>
  <si>
    <t>Six of October Development &amp; Investment(OCDI)</t>
  </si>
  <si>
    <t>Filinvest Land Inc.(FLI)</t>
  </si>
  <si>
    <t>Keihanshin Building Co. Ltd.(8818)</t>
  </si>
  <si>
    <t>Pressance Corp.(3254)</t>
  </si>
  <si>
    <t>Taiwan Land Development Corp.(2841)</t>
  </si>
  <si>
    <t>Even Construtora e Incorporadora SA(EVEN3)</t>
  </si>
  <si>
    <t>Nippon Kanzai Co. Ltd.(9728)</t>
  </si>
  <si>
    <t>PICO Holdings Inc.(PICO)</t>
  </si>
  <si>
    <t>Industrial Securities Co. Ltd. Class A(601377)</t>
  </si>
  <si>
    <t>comdirect bank AG(COM)</t>
  </si>
  <si>
    <t>Marusan Securities Co. Ltd.(8613)</t>
  </si>
  <si>
    <t>Guoyuan Securities Co. Ltd. Class A(000728)</t>
  </si>
  <si>
    <t>Altisource Portfolio Solutions SA(ASPS)</t>
  </si>
  <si>
    <t>Hundsun Technologies Inc. Class A(600570)</t>
  </si>
  <si>
    <t>Pharmagest Inter@ctive(PHA)</t>
  </si>
  <si>
    <t>AstroNova Inc.(ALOT)</t>
  </si>
  <si>
    <t>ALSO Holding AG(ALSN)</t>
  </si>
  <si>
    <t>Kaga Electronics Co. Ltd.(8154)</t>
  </si>
  <si>
    <t>KVH Industries Inc.(KVHI)</t>
  </si>
  <si>
    <t>Gemtek Technology Corp.(4906)</t>
  </si>
  <si>
    <t>Senex Energy Ltd.(SXY)</t>
  </si>
  <si>
    <t>Hyosung Chemical Corp.(298000)</t>
  </si>
  <si>
    <t>Ezz Steel Co. SAE(ESRS)</t>
  </si>
  <si>
    <t>Nippon Yakin Kogyo Co. Ltd.(5480)</t>
  </si>
  <si>
    <t>Perseus Mining Ltd.(PRU)</t>
  </si>
  <si>
    <t>Zhejiang Weixing New Building Materials Co. Ltd. Class A(002372)</t>
  </si>
  <si>
    <t>Suzhou Gold Mantis Construction Decoration Co. Ltd. Class A(002081)</t>
  </si>
  <si>
    <t>Nippon Koei Co. Ltd.(1954)</t>
  </si>
  <si>
    <t>CPMC Holdings Ltd.(906)</t>
  </si>
  <si>
    <t>Dynapack International Technology Corp.(3211)</t>
  </si>
  <si>
    <t>Cheng Mei Materials Technology Corp.(4960)</t>
  </si>
  <si>
    <t>GE T&amp;D India Ltd.(GET&amp;D)</t>
  </si>
  <si>
    <t>CMK Corp.(6958)</t>
  </si>
  <si>
    <t>Tunghsu Optoelectronic Technology Co. Ltd. Class A(000413)</t>
  </si>
  <si>
    <t>EVS Broadcast Equipment SA(EVS)</t>
  </si>
  <si>
    <t>Solar A/S Class B(SOLAR B)</t>
  </si>
  <si>
    <t>Qingling Motors Co. Ltd.(1122)</t>
  </si>
  <si>
    <t>Eagle Industry Co. Ltd.(6486)</t>
  </si>
  <si>
    <t>360 Security Technology Inc. Class A(601360)</t>
  </si>
  <si>
    <t>Juki Corp.(6440)</t>
  </si>
  <si>
    <t>YAMABIKO Corp.(6250)</t>
  </si>
  <si>
    <t>Daiwa Industries Ltd.(6459)</t>
  </si>
  <si>
    <t>Maruwa Unyu Kikan Co. Ltd.(9090)</t>
  </si>
  <si>
    <t>Stolt-Nielsen Ltd.(SNI)</t>
  </si>
  <si>
    <t>Cosan Logistica SA(RLOG3)</t>
  </si>
  <si>
    <t>Era Group Inc.(ERA)</t>
  </si>
  <si>
    <t>Dongguan Development Holdings Co. Ltd. Class A(000828)</t>
  </si>
  <si>
    <t>Link And Motivation Inc.(2170)</t>
  </si>
  <si>
    <t>Koza Anadolu Metal Madencilik Isletmeleri AS(KOZAA)</t>
  </si>
  <si>
    <t>Centre Testing International Group Co. Ltd. Class A(300012)</t>
  </si>
  <si>
    <t>Brunel International NV(BRNL)</t>
  </si>
  <si>
    <t>G-Tekt Corp.(5970)</t>
  </si>
  <si>
    <t>Sumitomo Riko Co. Ltd.(5191)</t>
  </si>
  <si>
    <t>Shandong Linglong Tyre Co. Ltd. Class A(601966)</t>
  </si>
  <si>
    <t>Perusahaan Perkebunan London Sumatra Indonesia Tbk PT(LSIP)</t>
  </si>
  <si>
    <t>Dongwon Industries Co. Ltd.(006040)</t>
  </si>
  <si>
    <t>Hokuto Corp.(1379)</t>
  </si>
  <si>
    <t>Binggrae Co. Ltd.(005180)</t>
  </si>
  <si>
    <t>Premier Foods plc(PFD)</t>
  </si>
  <si>
    <t>Camil Alimentos SA(CAML3)</t>
  </si>
  <si>
    <t>Fuso Chemical Co. Ltd.(4368)</t>
  </si>
  <si>
    <t>Hangzhou Robam Appliances Co. Ltd. Class A(002508)</t>
  </si>
  <si>
    <t>Eve Energy Co. Ltd. Class A(300014)</t>
  </si>
  <si>
    <t>Rocky Brands Inc.(RCKY)</t>
  </si>
  <si>
    <t>Revlon Inc. Class A(REV)</t>
  </si>
  <si>
    <t>Regis Healthcare Ltd.(REG)</t>
  </si>
  <si>
    <t>Joint Corp.(JYNT)</t>
  </si>
  <si>
    <t>Constellation Pharmaceuticals Inc.(CNST)</t>
  </si>
  <si>
    <t>Hualan Biological Engineering Inc. Class A(002007)</t>
  </si>
  <si>
    <t>Protagonist Therapeutics Inc.(PTGX)</t>
  </si>
  <si>
    <t>Ilyang Pharmaceutical Co. Ltd.(007570)</t>
  </si>
  <si>
    <t>AVEO Pharmaceuticals Inc.(AVEO)</t>
  </si>
  <si>
    <t>La Jolla Pharmaceutical Co.(LJPC)</t>
  </si>
  <si>
    <t>Zhejiang Conba Pharmaceutical Co. Ltd. Class A(600572)</t>
  </si>
  <si>
    <t>Sheng Siong Group Ltd.(OV8)</t>
  </si>
  <si>
    <t>Liquidity Services Inc.(LQDT)</t>
  </si>
  <si>
    <t>Matas A/S(MATAS)</t>
  </si>
  <si>
    <t>Sportsman's Warehouse Holdings Inc.(SPWH)</t>
  </si>
  <si>
    <t>Dish TV India Ltd.(DISHTV)</t>
  </si>
  <si>
    <t>Huayi Tencent Entertainment Co. Ltd.(419)</t>
  </si>
  <si>
    <t>Beijing Gas Blue Sky Holdings Ltd.(6828)</t>
  </si>
  <si>
    <t>HT&amp;E Ltd.(HT1)</t>
  </si>
  <si>
    <t>Red Lion Hotels Corp.(RLH)</t>
  </si>
  <si>
    <t>Wowprime Corp.(2727)</t>
  </si>
  <si>
    <t>Cox &amp; Kings Ltd.(COX&amp;KINGS)</t>
  </si>
  <si>
    <t>Shanghai Jinjiang International Travel Co. Ltd. Class B(900929)</t>
  </si>
  <si>
    <t>Cia Paranaense de Energia(CPLE3)</t>
  </si>
  <si>
    <t>Pure Cycle Corp.(PCYO)</t>
  </si>
  <si>
    <t>BCB Bancorp Inc.(BCBP)</t>
  </si>
  <si>
    <t>MutualFirst Financial Inc.(MFSF)</t>
  </si>
  <si>
    <t>Penns Woods Bancorp Inc.(PWOD)</t>
  </si>
  <si>
    <t>MBT Financial Corp.(MBTF)</t>
  </si>
  <si>
    <t>Bank of Commerce Holdings(BOCH)</t>
  </si>
  <si>
    <t>Chemung Financial Corp.(CHMG)</t>
  </si>
  <si>
    <t>Mirae Asset Life Insurance Co. Ltd.(085620)</t>
  </si>
  <si>
    <t>Bayside Land Corp.(BYSD)</t>
  </si>
  <si>
    <t>Deyaar Development PJSC(DEYAAR)</t>
  </si>
  <si>
    <t>TOC Co. Ltd.(8841)</t>
  </si>
  <si>
    <t>Sagax AB(SAGA D)</t>
  </si>
  <si>
    <t>Colour Life Services Group Co. Ltd.(1778)</t>
  </si>
  <si>
    <t>Cedar Realty Trust Inc.(CDR)</t>
  </si>
  <si>
    <t>Lippo Malls Indonesia Retail Trust(D5IU)</t>
  </si>
  <si>
    <t>Sella Capital Real Estate Ltd.(SLARL)</t>
  </si>
  <si>
    <t>Long4Life Ltd.(L4L)</t>
  </si>
  <si>
    <t>Kenon Holdings Ltd./Singapore(KEN)</t>
  </si>
  <si>
    <t>JM Financial Ltd.(JMFINANCIL)</t>
  </si>
  <si>
    <t>Western Securities Co. Ltd. Class A(002673)</t>
  </si>
  <si>
    <t>Swissquote Group Holding SA(SQN)</t>
  </si>
  <si>
    <t>Infosys Ltd. ADR(INFY)</t>
  </si>
  <si>
    <t>Aerohive Networks Inc.(HIVE)</t>
  </si>
  <si>
    <t>Ahnlab Inc.(053800)</t>
  </si>
  <si>
    <t>China Greatwall Technology Group Co. Ltd. Class A(000066)</t>
  </si>
  <si>
    <t>Adesto Technologies Corp.(IOTS)</t>
  </si>
  <si>
    <t>X-Fab Silicon Foundries SE(XFAB)</t>
  </si>
  <si>
    <t>Hengtong Optic-electric Co. Ltd. Class A(600487)</t>
  </si>
  <si>
    <t>NavInfo Co. Ltd. Class A(002405)</t>
  </si>
  <si>
    <t>Yealink Network Technology Corp. Ltd. Class A(300628)</t>
  </si>
  <si>
    <t>CyberTAN Technology Inc.(3062)</t>
  </si>
  <si>
    <t>WideOpenWest Inc.(WOW)</t>
  </si>
  <si>
    <t>Rabigh Refining &amp; Petrochemical Co.(2380)</t>
  </si>
  <si>
    <t>PTG Energy PCL(PTG-F)</t>
  </si>
  <si>
    <t>Oriental Energy Co. Ltd. Class A(002221)</t>
  </si>
  <si>
    <t>US Well Services Inc.(USWS)</t>
  </si>
  <si>
    <t>Sinopec Shanghai Petrochemical Co. Ltd. Class A(600688)</t>
  </si>
  <si>
    <t>Luxi Chemical Group Co. Ltd. Class A(000830)</t>
  </si>
  <si>
    <t>Guangdong HEC Technology Holding Co. Ltd. Class A(600673)</t>
  </si>
  <si>
    <t>Tongling Nonferrous Metals Group Co. Ltd. Class A(000630)</t>
  </si>
  <si>
    <t>Mechel PJSC(MTLR)</t>
  </si>
  <si>
    <t>Synalloy Corp.(SYNL)</t>
  </si>
  <si>
    <t>Pacific Metals Co. Ltd.(5541)</t>
  </si>
  <si>
    <t>Westgold Resources Ltd.(WGX)</t>
  </si>
  <si>
    <t>BBMG Corp. Class A(601992)</t>
  </si>
  <si>
    <t>Sankyo Tateyama Inc.(5932)</t>
  </si>
  <si>
    <t>LG Hausys Ltd.(108670)</t>
  </si>
  <si>
    <t>Guangdong No 2 Hydropower Engineering Co. Ltd. Class A(002060)</t>
  </si>
  <si>
    <t>Taihei Dengyo Kaisha Ltd.(1968)</t>
  </si>
  <si>
    <t>Dai-Dan Co. Ltd.(1980)</t>
  </si>
  <si>
    <t>Hibiya Engineering Ltd.(1982)</t>
  </si>
  <si>
    <t>Meisei Industrial Co. Ltd.(1976)</t>
  </si>
  <si>
    <t>Takamatsu Construction Group Co. Ltd.(1762)</t>
  </si>
  <si>
    <t>Adhi Karya Persero Tbk PT(ADHI)</t>
  </si>
  <si>
    <t>AECC Aviation Power Co. Ltd. Class A(600893)</t>
  </si>
  <si>
    <t>Concraft Holding Co. Ltd.(4943)</t>
  </si>
  <si>
    <t>Nuvectra Corp.(NVTR)</t>
  </si>
  <si>
    <t>Shengyi Technology Co. Ltd. Class A(600183)</t>
  </si>
  <si>
    <t>Infore Environment Technology Group Co. Ltd. Class A(000967)</t>
  </si>
  <si>
    <t>Tianma Microelectronics Co. Ltd. Class A(000050)</t>
  </si>
  <si>
    <t>Kama Co. Ltd. Class B(900953)</t>
  </si>
  <si>
    <t>CNHTC Jinan Truck Co. Ltd. Class A(000951)</t>
  </si>
  <si>
    <t>Shanghai Diesel Engine Co. Ltd. Class B(900920)</t>
  </si>
  <si>
    <t>Biesse SPA(BSS)</t>
  </si>
  <si>
    <t>Overseas Shipholding Group Inc. Class A(OSG)</t>
  </si>
  <si>
    <t>Iino Kaiun Kaisha Ltd.(9119)</t>
  </si>
  <si>
    <t>Universal Logistics Holdings Inc.(ULH)</t>
  </si>
  <si>
    <t>Trust Tech Inc.(2154)</t>
  </si>
  <si>
    <t>Hudaco Industries Ltd.(HDC)</t>
  </si>
  <si>
    <t>Changzhou Xingyu Automotive Lighting Systems Co. Ltd. Class A(601799)</t>
  </si>
  <si>
    <t>SL Corp.(005850)</t>
  </si>
  <si>
    <t>Nexen Tire Corp.(002350)</t>
  </si>
  <si>
    <t>Beijing Dabeinong Technology Group Co. Ltd. Class A(002385)</t>
  </si>
  <si>
    <t>Chubu Shiryo Co. Ltd.(2053)</t>
  </si>
  <si>
    <t>Aryzta AG(0MFY)</t>
  </si>
  <si>
    <t>Clover Industries Ltd.(CLR)</t>
  </si>
  <si>
    <t>Riken Vitamin Co. Ltd.(4526)</t>
  </si>
  <si>
    <t>Lifevantage Corp.(LFVN)</t>
  </si>
  <si>
    <t>Funko Inc. Class A(FNKO)</t>
  </si>
  <si>
    <t>Youngone Holdings Co. Ltd.(009970)</t>
  </si>
  <si>
    <t>Regina Miracle International Holdings Ltd.(2199)</t>
  </si>
  <si>
    <t>Global Cord Blood Corp.(CO)</t>
  </si>
  <si>
    <t>Instituto Hermes Pardini SA(PARD3)</t>
  </si>
  <si>
    <t>Topchoice Medical Investment Corp. Class A(600763)</t>
  </si>
  <si>
    <t>Corindus Vascular Robotics Inc.(CVRS)</t>
  </si>
  <si>
    <t>TaiDoc Technology Corp.(4736)</t>
  </si>
  <si>
    <t>Shenzhen Kangtai Biological Products Co. Ltd. Class A(300601)</t>
  </si>
  <si>
    <t>PhaseBio Pharmaceuticals Inc.(PHAS)</t>
  </si>
  <si>
    <t>Kala Pharmaceuticals Inc.(KALA)</t>
  </si>
  <si>
    <t>Recro Pharma Inc.(REPH)</t>
  </si>
  <si>
    <t>Zhangzhou Pientzehuang Pharmaceutical Co. Ltd. Class A(600436)</t>
  </si>
  <si>
    <t>Vital KSK Holdings Inc.(3151)</t>
  </si>
  <si>
    <t>Apeloa Pharmaceutical Co. Ltd. Class A(000739)</t>
  </si>
  <si>
    <t>Fuji Co. Ltd./Ehime(8278)</t>
  </si>
  <si>
    <t>United Natural Foods Inc.(UNFI)</t>
  </si>
  <si>
    <t>XXL ASA(XXL)</t>
  </si>
  <si>
    <t>Beijing Enlight Media Co. Ltd. Class A(300251)</t>
  </si>
  <si>
    <t>APG SGA SA(APGN)</t>
  </si>
  <si>
    <t>Hithink RoyalFlush Information Network Co. Ltd. Class A(300033)</t>
  </si>
  <si>
    <t>DXB Entertainments PJSC(DXBE)</t>
  </si>
  <si>
    <t>IMAX China Holding Inc.(1970)</t>
  </si>
  <si>
    <t>Matsuyafoods Holdings Co. Ltd.(9887)</t>
  </si>
  <si>
    <t>St. Marc Holdings Co. Ltd.(3395)</t>
  </si>
  <si>
    <t>Kappa Create Co. Ltd.(7421)</t>
  </si>
  <si>
    <t>Rostelecom PJSC ADR(ROSYY)</t>
  </si>
  <si>
    <t>Shenergy Co. Ltd. Class A(600642)</t>
  </si>
  <si>
    <t>RGC Resources Inc.(RGCO)</t>
  </si>
  <si>
    <t>LCNB Corp.(LCNB)</t>
  </si>
  <si>
    <t>Codorus Valley Bancorp Inc.(CVLY)</t>
  </si>
  <si>
    <t>Ehime Bank Ltd.(8541)</t>
  </si>
  <si>
    <t>Riverview Bancorp Inc.(RVSB)</t>
  </si>
  <si>
    <t>Northeast Bancorp(NBN)</t>
  </si>
  <si>
    <t>Aichi Bank Ltd.(8527)</t>
  </si>
  <si>
    <t>Capstar Financial Holdings Inc.(CSTR)</t>
  </si>
  <si>
    <t>Bank of Hangzhou Co. Ltd. Class A(600926)</t>
  </si>
  <si>
    <t>Independence Holding Co.(IHC)</t>
  </si>
  <si>
    <t>Long Bon International Co. Ltd.(2514)</t>
  </si>
  <si>
    <t>Univentures PCL(UV-F)</t>
  </si>
  <si>
    <t>Land &amp; Houses PCL(LH-F)</t>
  </si>
  <si>
    <t>Tejon Ranch Co.(TRC)</t>
  </si>
  <si>
    <t>EPP NV(EPP)</t>
  </si>
  <si>
    <t>Grupo GICSA SAB de CV(GICSAB)</t>
  </si>
  <si>
    <t>Oceanwide Holdings Co. Ltd. Class A(000046)</t>
  </si>
  <si>
    <t>Sabana Shari'ah Compliant Industrial REIT(M1GU)</t>
  </si>
  <si>
    <t>IMPACT Growth REIT(IMPACT-F)</t>
  </si>
  <si>
    <t>Credito Real SAB de CV SOFOM ER(CREAL*)</t>
  </si>
  <si>
    <t>Sun Hung Kai &amp; Co. Ltd.(86)</t>
  </si>
  <si>
    <t>Repco Home Finance Ltd.(REPCOHOME)</t>
  </si>
  <si>
    <t>Future Corp.(4722)</t>
  </si>
  <si>
    <t>Venustech Group Inc. Class A(002439)</t>
  </si>
  <si>
    <t>Glodon Co. Ltd. Class A(002410)</t>
  </si>
  <si>
    <t>Silverlake Axis Ltd.(5CP)</t>
  </si>
  <si>
    <t>Beijing Thunisoft Corp. Ltd. Class A(300271)</t>
  </si>
  <si>
    <t>F-Secure Oyj(FSC1V)</t>
  </si>
  <si>
    <t>Roland DG Corp.(6789)</t>
  </si>
  <si>
    <t>Canon Electronics Inc.(7739)</t>
  </si>
  <si>
    <t>Pixelworks Inc.(PXLW)</t>
  </si>
  <si>
    <t>Shinko Shoji Co. Ltd.(8141)</t>
  </si>
  <si>
    <t>Elite Semiconductor Memory Technology Inc.(3006)</t>
  </si>
  <si>
    <t>GoerTek Inc. Class A(002241)</t>
  </si>
  <si>
    <t>Clearfield Inc.(CLFD)</t>
  </si>
  <si>
    <t>Flotek Industries Inc.(FTK)</t>
  </si>
  <si>
    <t>Gulf Island Fabrication Inc.(GIFI)</t>
  </si>
  <si>
    <t>eRex Co. Ltd.(9517)</t>
  </si>
  <si>
    <t>Dongjin Semichem Co. Ltd.(005290)</t>
  </si>
  <si>
    <t>Nichiban Co. Ltd.(4218)</t>
  </si>
  <si>
    <t>JSP Corp.(7942)</t>
  </si>
  <si>
    <t>Valqua Ltd.(7995)</t>
  </si>
  <si>
    <t>Jindal Saw Ltd.(JINDALSAW)</t>
  </si>
  <si>
    <t>Ryerson Holding Corp.(RYI)</t>
  </si>
  <si>
    <t>China Northern Rare Earth Group High-Tech Co. Ltd. Class A(600111)</t>
  </si>
  <si>
    <t>Fangda Carbon New Material Co. Ltd. Class A(600516)</t>
  </si>
  <si>
    <t>India Cements Ltd.(INDIACEM)</t>
  </si>
  <si>
    <t>Jiangsu Zhongnan Construction Group Co. Ltd. Class A(000961)</t>
  </si>
  <si>
    <t>Yoma Strategic Holdings Ltd.(Z59)</t>
  </si>
  <si>
    <t>KAWADA TECHNOLOGIES Inc.(3443)</t>
  </si>
  <si>
    <t>Promotora y Operadora de Infraestructura SAB de CV(PINFRAL)</t>
  </si>
  <si>
    <t>AG Anadolu Grubu Holding AS(AGHOL)</t>
  </si>
  <si>
    <t>Nippon Chemi-Con Corp.(6997)</t>
  </si>
  <si>
    <t>OFILM Group Co. Ltd. Class A(002456)</t>
  </si>
  <si>
    <t>Dexerials Corp.(4980)</t>
  </si>
  <si>
    <t>NAURA Technology Group Co. Ltd. Class A(002371)</t>
  </si>
  <si>
    <t>Anhui Heli Co. Ltd. Class A(600761)</t>
  </si>
  <si>
    <t>Shanghai Zhenhua Heavy Industries Co. Ltd. Class A(600320)</t>
  </si>
  <si>
    <t>Eastern Co.(EML)</t>
  </si>
  <si>
    <t>Daiichi Jitsugyo Co. Ltd.(8059)</t>
  </si>
  <si>
    <t>Anest Iwata Corp.(6381)</t>
  </si>
  <si>
    <t>Pos Malaysia Bhd.(POS)</t>
  </si>
  <si>
    <t>Mitsui-Soko Holdings Co. Ltd.(9302)</t>
  </si>
  <si>
    <t>Acacia Research Corp.(ACTG)</t>
  </si>
  <si>
    <t>Pasona Group Inc.(2168)</t>
  </si>
  <si>
    <t>Paysign Inc.(PAYS)</t>
  </si>
  <si>
    <t>Lawson Products Inc./DE(LAWS)</t>
  </si>
  <si>
    <t>Halla Holdings Corp.(060980)</t>
  </si>
  <si>
    <t>Godrej Agrovet Ltd.(GODREJAGRO)</t>
  </si>
  <si>
    <t>Saudia Dairy &amp; Foodstuff Co.(2270)</t>
  </si>
  <si>
    <t>Yokohama Reito Co. Ltd.(2874)</t>
  </si>
  <si>
    <t>Kitanotatsujin Corp.(2930)</t>
  </si>
  <si>
    <t>Kenko Mayonnaise Co. Ltd.(2915)</t>
  </si>
  <si>
    <t>Tongaat Hulett Ltd.(TON)</t>
  </si>
  <si>
    <t>Zhejiang NHU Co. Ltd. Class A(002001)</t>
  </si>
  <si>
    <t>Foshan Electrical and Lighting Co. Ltd. Class B(200541)</t>
  </si>
  <si>
    <t>Uchida Yoko Co. Ltd.(8057)</t>
  </si>
  <si>
    <t>Flexsteel Industries Inc.(FLXS)</t>
  </si>
  <si>
    <t>Brogent Technologies Inc.(5263)</t>
  </si>
  <si>
    <t>Luthai Textile Co. Ltd. Class B(200726)</t>
  </si>
  <si>
    <t>Tsukui Corp.(2398)</t>
  </si>
  <si>
    <t>Seegene Inc.(096530)</t>
  </si>
  <si>
    <t>Aeglea BioTherapeutics Inc.(AGLE)</t>
  </si>
  <si>
    <t>KalVista Pharmaceuticals Inc.(KALV)</t>
  </si>
  <si>
    <t>Mustang Bio Inc.(MBIO)</t>
  </si>
  <si>
    <t>Kezar Life Sciences Inc.(KZR)</t>
  </si>
  <si>
    <t>Neuronetics Inc.(STIM)</t>
  </si>
  <si>
    <t>Marker Therapeutics Inc.(MRKR)</t>
  </si>
  <si>
    <t>Solid Biosciences Inc.(SLDB)</t>
  </si>
  <si>
    <t>Huons Co. Ltd.(243070)</t>
  </si>
  <si>
    <t>Shenzhen Salubris Pharmaceuticals Co. Ltd. Class A(002294)</t>
  </si>
  <si>
    <t>Boiron SA(BOI)</t>
  </si>
  <si>
    <t>Dong-A Socio Holdings Co. Ltd.(000640)</t>
  </si>
  <si>
    <t>Daito Pharmaceutical Co. Ltd.(4577)</t>
  </si>
  <si>
    <t>CorMedix Inc.(CRMD)</t>
  </si>
  <si>
    <t>SMU SA(SMU)</t>
  </si>
  <si>
    <t>PAL GROUP Holdings Co. Ltd.(2726)</t>
  </si>
  <si>
    <t>Duluth Holdings Inc.(DLTH)</t>
  </si>
  <si>
    <t>Zovio Inc. Class A(ZVO)</t>
  </si>
  <si>
    <t>Container Store Group Inc.(TCS)</t>
  </si>
  <si>
    <t>Detsky Mir PJSC(DSKY)</t>
  </si>
  <si>
    <t>China Film Co. Ltd. Class A(600977)</t>
  </si>
  <si>
    <t>Cairo Communication SPA(CAI)</t>
  </si>
  <si>
    <t>HC Group Inc.(2280)</t>
  </si>
  <si>
    <t>China Southern Airlines Co. Ltd. Class A(600029)</t>
  </si>
  <si>
    <t>J Alexander's Holdings Inc.(JAX)</t>
  </si>
  <si>
    <t>Modetour Network Inc.(080160)</t>
  </si>
  <si>
    <t>Tourism Holdings Ltd.(THL)</t>
  </si>
  <si>
    <t>Taiwan Cogeneration Corp.(8926)</t>
  </si>
  <si>
    <t>Inner Mongolia MengDian HuaNeng Thermal Power Corp. Ltd. Class A(600863)</t>
  </si>
  <si>
    <t>Cia Paranaense de Energia Preference Shares(CPLE6)</t>
  </si>
  <si>
    <t>Cadiz Inc.(CDZI)</t>
  </si>
  <si>
    <t>Community Bankers Trust Corp.(ESXB)</t>
  </si>
  <si>
    <t>Evans Bancorp Inc.(EVBN)</t>
  </si>
  <si>
    <t>Premier Financial Bancorp Inc.(PFBI)</t>
  </si>
  <si>
    <t>Union Bank of India(UNIONBANK)</t>
  </si>
  <si>
    <t>Unity Bancorp Inc.(UNTY)</t>
  </si>
  <si>
    <t>Orrstown Financial Services Inc.(ORRF)</t>
  </si>
  <si>
    <t>Parke Bancorp Inc.(PKBK)</t>
  </si>
  <si>
    <t>Menora Mivtachim Holdings Ltd.(MMHD)</t>
  </si>
  <si>
    <t>Mie Kotsu Group Holdings Inc.(3232)</t>
  </si>
  <si>
    <t>Big Shopping Centers Ltd.(BIG)</t>
  </si>
  <si>
    <t>Tiptree Inc.(TIPT)</t>
  </si>
  <si>
    <t>Fantasia Holdings Group Co. Ltd.(1777)</t>
  </si>
  <si>
    <t>Sun Frontier Fudousan Co. Ltd.(8934)</t>
  </si>
  <si>
    <t>Pavilion REIT(PAVREIT)</t>
  </si>
  <si>
    <t>AEON Credit Service M Bhd.(AEONCR)</t>
  </si>
  <si>
    <t>Pioneers Holding for Financial Investments SAE(PIOH)</t>
  </si>
  <si>
    <t>Ines Corp.(9742)</t>
  </si>
  <si>
    <t>Tachibana Eletech Co. Ltd.(8159)</t>
  </si>
  <si>
    <t>Melco Holdings Inc.(6676)</t>
  </si>
  <si>
    <t>Guocheng Mining Co. Ltd.(000688)</t>
  </si>
  <si>
    <t>Posiflex Technology Inc.(8114)</t>
  </si>
  <si>
    <t>Ryoyo Electro Corp.(8068)</t>
  </si>
  <si>
    <t>Lite-On Semiconductor Corp.(5305)</t>
  </si>
  <si>
    <t>Preformed Line Products Co.(PLPC)</t>
  </si>
  <si>
    <t>Falcon Minerals Corp.(FLMN)</t>
  </si>
  <si>
    <t>Ganfeng Lithium Co. Ltd. Class A(002460)</t>
  </si>
  <si>
    <t>Sahara Petrochemical Co.(2260)</t>
  </si>
  <si>
    <t>Shin-Etsu Polymer Co. Ltd.(7970)</t>
  </si>
  <si>
    <t>Toyo Tanso Co. Ltd.(5310)</t>
  </si>
  <si>
    <t>Songwon Industrial Co. Ltd.(004430)</t>
  </si>
  <si>
    <t>Zhejiang Huayou Cobalt Co. Ltd. Class A(603799)</t>
  </si>
  <si>
    <t>Toho Titanium Co. Ltd.(5727)</t>
  </si>
  <si>
    <t>Alconix Corp.(3036)</t>
  </si>
  <si>
    <t>Neturen Co. Ltd.(5976)</t>
  </si>
  <si>
    <t>Sinko Industries Ltd.(6458)</t>
  </si>
  <si>
    <t>Nippon Road Co. Ltd.(1884)</t>
  </si>
  <si>
    <t>Toa Corp./Tokyo(1885)</t>
  </si>
  <si>
    <t>Sichuan Road &amp; Bridge Co. Ltd. Class A(600039)</t>
  </si>
  <si>
    <t>Shanghai Pudong Road &amp; Bridge Construction Co. Ltd. Class A(600284)</t>
  </si>
  <si>
    <t>Rolls-Royce Holdings plc(null)</t>
  </si>
  <si>
    <t>NACCO Industries Inc. Class A(NC)</t>
  </si>
  <si>
    <t>Katakura Industries Co. Ltd.(3001)</t>
  </si>
  <si>
    <t>WUS Printed Circuit Co. Ltd.(2316)</t>
  </si>
  <si>
    <t>Chaun-Choung Technology Corp.(6230)</t>
  </si>
  <si>
    <t>Dawonsys Co. Ltd.(068240)</t>
  </si>
  <si>
    <t>Sumida Corp.(6817)</t>
  </si>
  <si>
    <t>Osaki Electric Co. Ltd.(6644)</t>
  </si>
  <si>
    <t>Iteris Inc.(ITI)</t>
  </si>
  <si>
    <t>Hyosung Heavy Industries Corp.(298040)</t>
  </si>
  <si>
    <t>Zhejiang Sanhua Intelligent Controls Co. Ltd. Class A(002050)</t>
  </si>
  <si>
    <t>Organo Corp.(6368)</t>
  </si>
  <si>
    <t>METAWATER Co. Ltd.(9551)</t>
  </si>
  <si>
    <t>Rheon Automatic Machinery Co. Ltd.(6272)</t>
  </si>
  <si>
    <t>Henan Zhongyuan Expressway Co. Ltd. Class A(600020)</t>
  </si>
  <si>
    <t>Fujian Expressway Development Co. Ltd. Class A(600033)</t>
  </si>
  <si>
    <t>Intage Holdings Inc.(4326)</t>
  </si>
  <si>
    <t>Synergie SA(SDG)</t>
  </si>
  <si>
    <t>WDB Holdings Co. Ltd.(2475)</t>
  </si>
  <si>
    <t>Xiamen C &amp; D Inc. Class A(600153)</t>
  </si>
  <si>
    <t>Hanwha Corp. Preference Shares(00088K)</t>
  </si>
  <si>
    <t>Renewi plc(RWI)</t>
  </si>
  <si>
    <t>Yorozu Corp.(7294)</t>
  </si>
  <si>
    <t>Ningbo Joyson Electronic Corp. Class A(600699)</t>
  </si>
  <si>
    <t>Rokko Butter Co. Ltd.(2266)</t>
  </si>
  <si>
    <t>SPC Samlip Co. Ltd.(005610)</t>
  </si>
  <si>
    <t>Hamilton Beach Brands Holding Co. Class A(HBB)</t>
  </si>
  <si>
    <t>Aekyung Industrial Co. Ltd.(018250)</t>
  </si>
  <si>
    <t>Shanghai M&amp;G Stationery Inc. Class A(603899)</t>
  </si>
  <si>
    <t>Sampo Corp.(1604)</t>
  </si>
  <si>
    <t>Tamron Co. Ltd.(7740)</t>
  </si>
  <si>
    <t>Webzen Inc.(069080)</t>
  </si>
  <si>
    <t>Akoustis Technologies Inc.(AKTS)</t>
  </si>
  <si>
    <t>Lao Feng Xiang Co. Ltd. Class A(600612)</t>
  </si>
  <si>
    <t>Luthai Textile Co. Ltd. Class A(000726)</t>
  </si>
  <si>
    <t>Mavi Giyim Sanayi Ve Ticaret AS Class B(MAVI)</t>
  </si>
  <si>
    <t>Delta Galil Industries Ltd.(DELT)</t>
  </si>
  <si>
    <t>Bajaj Consumer Care Ltd.(BAJAJCON)</t>
  </si>
  <si>
    <t>Vector Group Ltd.(VGR)</t>
  </si>
  <si>
    <t>Alliar Medicos A Frente SA(AALR3)</t>
  </si>
  <si>
    <t>Japara Healthcare Ltd.(JHC)</t>
  </si>
  <si>
    <t>iRadimed Corp.(IRMD)</t>
  </si>
  <si>
    <t>Caregen Co. Ltd.(214370)</t>
  </si>
  <si>
    <t>Apyx Medical Corp.(APYX)</t>
  </si>
  <si>
    <t>Owens &amp; Minor Inc.(OMI)</t>
  </si>
  <si>
    <t>Galectin Therapeutics Inc.(GALT)</t>
  </si>
  <si>
    <t>Adamas Pharmaceuticals Inc.(ADMS)</t>
  </si>
  <si>
    <t>Synlogic Inc.(SYBX)</t>
  </si>
  <si>
    <t>Syndax Pharmaceuticals Inc.(SNDX)</t>
  </si>
  <si>
    <t>Harvard Bioscience Inc.(HBIO)</t>
  </si>
  <si>
    <t>Axonics Modulation Technologies Inc.(AXNX)</t>
  </si>
  <si>
    <t>Fuji Pharma Co. Ltd.(4554)</t>
  </si>
  <si>
    <t>Guerbet(GBT)</t>
  </si>
  <si>
    <t>CASI Pharmaceuticals Inc.(CASI)</t>
  </si>
  <si>
    <t>United Laboratories International Holdings Ltd.(3933)</t>
  </si>
  <si>
    <t>Torii Pharmaceutical Co. Ltd.(4551)</t>
  </si>
  <si>
    <t>Sun Pharma Advanced Research Co. Ltd.(SPARC)</t>
  </si>
  <si>
    <t>Dawnrays Pharmaceutical Holdings Ltd.(2348)</t>
  </si>
  <si>
    <t>Inageya Co. Ltd.(8182)</t>
  </si>
  <si>
    <t>Future Consumer Ltd.(FCONSUMER)</t>
  </si>
  <si>
    <t>Tailored Brands Inc.(TLRD)</t>
  </si>
  <si>
    <t>Kintetsu Department Store Co. Ltd.(8244)</t>
  </si>
  <si>
    <t>Rallye SA(RAL)</t>
  </si>
  <si>
    <t>LIXIL VIVA Corp.(3564)</t>
  </si>
  <si>
    <t>Collectors Universe Inc.(CLCT)</t>
  </si>
  <si>
    <t>FF Group(FFGRP)</t>
  </si>
  <si>
    <t>Village Roadshow Ltd.(VRL)</t>
  </si>
  <si>
    <t>Workpoint Entertainment PCL(WORK-F)</t>
  </si>
  <si>
    <t>Perfect World Co. Ltd./China Class A(002624)</t>
  </si>
  <si>
    <t>Vector Inc.(6058)</t>
  </si>
  <si>
    <t>Lee Enterprises Inc.(LEE)</t>
  </si>
  <si>
    <t>Jiangsu Phoenix Publishing &amp; Media Corp. Ltd. Class A(601928)</t>
  </si>
  <si>
    <t>EIH Ltd.(EIHOTEL)</t>
  </si>
  <si>
    <t>Pepper Food Service Co. Ltd.(3053)</t>
  </si>
  <si>
    <t>Ajisen China Holdings Ltd.(538)</t>
  </si>
  <si>
    <t>Kourakuen Holdings Corp.(7554)</t>
  </si>
  <si>
    <t>Restaurant Brands New Zealand Ltd.(RBD)</t>
  </si>
  <si>
    <t>Mobile Telecommunications Co. Saudi Arabia(7030)</t>
  </si>
  <si>
    <t>ENEL RUSSIA PJSC(ENRU)</t>
  </si>
  <si>
    <t>PTC India Ltd.(PTC)</t>
  </si>
  <si>
    <t>Kot Addu Power Co. Ltd.(KAPCO)</t>
  </si>
  <si>
    <t>BCPG PCL(BCPG-F)</t>
  </si>
  <si>
    <t>SK Gas Ltd.(018670)</t>
  </si>
  <si>
    <t>Chengdu Xingrong Environment Co. Ltd. Class A(000598)</t>
  </si>
  <si>
    <t>ESSA Bancorp Inc.(ESSA)</t>
  </si>
  <si>
    <t>Norwood Financial Corp.(NWFL)</t>
  </si>
  <si>
    <t>Malvern Bancorp Inc.(MLVF)</t>
  </si>
  <si>
    <t>Chukyo Bank Ltd.(8530)</t>
  </si>
  <si>
    <t>Sparebank 1 Oestlandet(SPOL)</t>
  </si>
  <si>
    <t>NI Holdings Inc.(NODK)</t>
  </si>
  <si>
    <t>Eshraq Properties Co. PJSC(ESHRAQ)</t>
  </si>
  <si>
    <t>Shanghai Shibei Hi-Tech Co. Ltd. Class B(900902)</t>
  </si>
  <si>
    <t>KEE TAI Properties Co. Ltd.(2538)</t>
  </si>
  <si>
    <t>RAK Properties PJSC(RAKPROP)</t>
  </si>
  <si>
    <t>Emaar Economic City(4220)</t>
  </si>
  <si>
    <t>Stratus Properties Inc.(STRS)</t>
  </si>
  <si>
    <t>Pzena Investment Management Inc. Class A(PZN)</t>
  </si>
  <si>
    <t>Elevate Credit Inc.(ELVT)</t>
  </si>
  <si>
    <t>IDFC Ltd.(IDFC)</t>
  </si>
  <si>
    <t>FlexiGroup Ltd./Australia(FXL)</t>
  </si>
  <si>
    <t>Southwest Securities Co. Ltd. Class A(600369)</t>
  </si>
  <si>
    <t>Ichiyoshi Securities Co. Ltd.(8624)</t>
  </si>
  <si>
    <t>GAIN Capital Holdings Inc.(GCAP)</t>
  </si>
  <si>
    <t>INESA Intelligent Tech Inc. Class A(600602)</t>
  </si>
  <si>
    <t>COLOPL Inc.(3668)</t>
  </si>
  <si>
    <t>Digimarc Corp.(DMRC)</t>
  </si>
  <si>
    <t>Mitsui High-Tec Inc.(6966)</t>
  </si>
  <si>
    <t>NEPES Corp.(033640)</t>
  </si>
  <si>
    <t>ASE Technology Holding Co. Ltd. ADR(ASX)</t>
  </si>
  <si>
    <t>GSI Technology Inc.(GSIT)</t>
  </si>
  <si>
    <t>Innox Advanced Materials Co. Ltd.(272290)</t>
  </si>
  <si>
    <t>Samart Corp. PCL(SAMART-F)</t>
  </si>
  <si>
    <t>Nokia Oyj(NOKIAp)</t>
  </si>
  <si>
    <t>AudioCodes Ltd.(AUDC)</t>
  </si>
  <si>
    <t>New Zealand Refining Co. Ltd.(NZR)</t>
  </si>
  <si>
    <t>Geospace Technologies Corp.(GEOS)</t>
  </si>
  <si>
    <t>Nantex Industry Co. Ltd.(2108)</t>
  </si>
  <si>
    <t>Rongsheng Petro Chemical Co. Ltd. Class A(002493)</t>
  </si>
  <si>
    <t>Formosan Rubber Group Inc.(2107)</t>
  </si>
  <si>
    <t>Tenma Corp.(7958)</t>
  </si>
  <si>
    <t>Stella Chemifa Corp.(4109)</t>
  </si>
  <si>
    <t>SK Discovery Co. Ltd.(006120)</t>
  </si>
  <si>
    <t>OSAKA Titanium Technologies Co. Ltd.(5726)</t>
  </si>
  <si>
    <t>Universal Stainless &amp; Alloy Products Inc.(USAP)</t>
  </si>
  <si>
    <t>Jacquet Metal Service SA(JCQ)</t>
  </si>
  <si>
    <t>Sansteel Minguang Co. Ltd. Fujian Class A(002110)</t>
  </si>
  <si>
    <t>Hanil Cement Co. Ltd.(300720)</t>
  </si>
  <si>
    <t>Trakya Cam Sanayii AS(TRKCM)</t>
  </si>
  <si>
    <t>Daiken Corp.(7905)</t>
  </si>
  <si>
    <t>Beijing New Building Materials plc Class A(000786)</t>
  </si>
  <si>
    <t>China Nuclear Engineering Corp. Ltd. Class A(601611)</t>
  </si>
  <si>
    <t>Raubex Group Ltd.(RBX)</t>
  </si>
  <si>
    <t>Besalco SA(BESALCO)</t>
  </si>
  <si>
    <t>Toyo Construction Co. Ltd.(1890)</t>
  </si>
  <si>
    <t>Toenec Corp.(1946)</t>
  </si>
  <si>
    <t>Porr Ag(POS)</t>
  </si>
  <si>
    <t>Muhibbah Engineering M Bhd.(MUHIBAH)</t>
  </si>
  <si>
    <t>AVIC Jonhon OptronicTechnology Co. Ltd. Class A(002179)</t>
  </si>
  <si>
    <t>Singamas Container Holdings Ltd.(716)</t>
  </si>
  <si>
    <t>Dogan Sirketler Grubu Holding AS(DOHOL)</t>
  </si>
  <si>
    <t>Italmobiliare SPA(ITM)</t>
  </si>
  <si>
    <t>Hyundai Electric &amp; Energy System Co. Ltd.(267260)</t>
  </si>
  <si>
    <t>Chiyoda Integre Co. Ltd.(6915)</t>
  </si>
  <si>
    <t>Enplas Corp.(6961)</t>
  </si>
  <si>
    <t>Transcat Inc.(TRNS)</t>
  </si>
  <si>
    <t>Toa Corp./Hyogo(6809)</t>
  </si>
  <si>
    <t>Gencor Industries Inc.(GENC)</t>
  </si>
  <si>
    <t>Shang Gong Group Co. Ltd. Class B(900924)</t>
  </si>
  <si>
    <t>Union Tool Co.(6278)</t>
  </si>
  <si>
    <t>Hefei Meiya Optoelectronic Technology Inc. Class A(002690)</t>
  </si>
  <si>
    <t>Wisdom Marine Lines Co. Ltd.(2637)</t>
  </si>
  <si>
    <t>DHI Group Inc.(DHX)</t>
  </si>
  <si>
    <t>Yulon Nissan Motor Co. Ltd.(2227)</t>
  </si>
  <si>
    <t>China Harmony New Energy Auto Holding Ltd.(3836)</t>
  </si>
  <si>
    <t>TYC Brother Industrial Co. Ltd.(1522)</t>
  </si>
  <si>
    <t>Superior Industries International Inc.(SUP)</t>
  </si>
  <si>
    <t>S&amp;T Motiv Co. Ltd.(064960)</t>
  </si>
  <si>
    <t>Kuang-Chi Technologies Co. Ltd. Class A(002625)</t>
  </si>
  <si>
    <t>Chongqing Brewery Co. Ltd. Class A(600132)</t>
  </si>
  <si>
    <t>Fujian Sunner Development Co. Ltd. Class A(002299)</t>
  </si>
  <si>
    <t>Kaveri Seed Co. Ltd.(KSCL)</t>
  </si>
  <si>
    <t>Tongwei Co. Ltd. Class A(600438)</t>
  </si>
  <si>
    <t>Avanti Feeds Ltd.(AVANTIFEED)</t>
  </si>
  <si>
    <t>Agrana Beteiligungs AG(AGR)</t>
  </si>
  <si>
    <t>Mezzan Holding Co. KSCC(MEZZAN)</t>
  </si>
  <si>
    <t>Rock Field Co. Ltd.(2910)</t>
  </si>
  <si>
    <t>Lotte Confectionery Co. Ltd.(280360)</t>
  </si>
  <si>
    <t>Taiyen Biotech Co. Ltd.(1737)</t>
  </si>
  <si>
    <t>Suofeiya Home Collection Co. Ltd. Class A(002572)</t>
  </si>
  <si>
    <t>Altek Corp.(3059)</t>
  </si>
  <si>
    <t>Xiamen Comfort Science &amp; Technology Group Co. Ltd. Class A(002614)</t>
  </si>
  <si>
    <t>Komtasu Matere Co. Ltd.(3580)</t>
  </si>
  <si>
    <t>Texwinca Holdings Ltd.(321)</t>
  </si>
  <si>
    <t>Jiangsu Lianfa Textile Co. Ltd. Class A(002394)</t>
  </si>
  <si>
    <t>Joeone Co. Ltd. Class A(601566)</t>
  </si>
  <si>
    <t>Superior Group of Cos. Inc.(SGC)</t>
  </si>
  <si>
    <t>YA-MAN Ltd.(6630)</t>
  </si>
  <si>
    <t>Conformis Inc.(CFMS)</t>
  </si>
  <si>
    <t>Principia Biopharma Inc.(PRNB)</t>
  </si>
  <si>
    <t>CEL-SCI Corp.(CVM)</t>
  </si>
  <si>
    <t>BioTime Inc.(BTX)</t>
  </si>
  <si>
    <t>Shanghai Fudan-Zhangjiang Bio-Pharmaceutical Co. Ltd.(1349)</t>
  </si>
  <si>
    <t>Peptron Inc.(087010)</t>
  </si>
  <si>
    <t>Boya Bio-pharmaceutical Group Co. Ltd. Class A(300294)</t>
  </si>
  <si>
    <t>Ocular Therapeutix Inc.(OCUL)</t>
  </si>
  <si>
    <t>Paratek Pharmaceuticals Inc.(PRTK)</t>
  </si>
  <si>
    <t>Tonghua Dongbao Pharmaceutical Co. Ltd. Class A(600867)</t>
  </si>
  <si>
    <t>Natural Grocers by Vitamin Cottage Inc.(NGVC)</t>
  </si>
  <si>
    <t>Shanghai Yuyuan Tourist Mart Co. Ltd. Class A(600655)</t>
  </si>
  <si>
    <t>Berjaya Corp. Bhd.(BJCORP)</t>
  </si>
  <si>
    <t>Lewis Group Ltd.(LEW)</t>
  </si>
  <si>
    <t>Group Lease PCL(GL)</t>
  </si>
  <si>
    <t>NewOcean Energy Holdings Ltd.(342)</t>
  </si>
  <si>
    <t>Build-A-Bear Workshop Inc.(BBW)</t>
  </si>
  <si>
    <t>Kathmandu Holdings Ltd.(KMD)</t>
  </si>
  <si>
    <t>F@N Communications Inc.(2461)</t>
  </si>
  <si>
    <t>Leaf Group Ltd.(LEAF)</t>
  </si>
  <si>
    <t>WATAMI Co. Ltd.(7522)</t>
  </si>
  <si>
    <t>SeaLink Travel Group Ltd.(SLK)</t>
  </si>
  <si>
    <t>GD Power Development Co. Ltd. Class A(600795)</t>
  </si>
  <si>
    <t>Shenzhen Energy Group Co. Ltd. Class A(000027)</t>
  </si>
  <si>
    <t>Sichuan Chuantou Energy Co. Ltd. Class A(600674)</t>
  </si>
  <si>
    <t>Beijing Jingneng Power Co. Ltd. Class A(600578)</t>
  </si>
  <si>
    <t>Guangdong Electric Power Development Co. Ltd. Class A(000539)</t>
  </si>
  <si>
    <t>SIIC Environment Holdings Ltd.(BHK)</t>
  </si>
  <si>
    <t>National Bank of Pakistan(NBP)</t>
  </si>
  <si>
    <t>Esquire Financial Holdings Inc.(ESQ)</t>
  </si>
  <si>
    <t>Pacific City Financial Corp.(PCB)</t>
  </si>
  <si>
    <t>China Construction Bank Corp. Class A(601939)</t>
  </si>
  <si>
    <t>Rafael Holdings Inc. Class B(RFL)</t>
  </si>
  <si>
    <t>Central Pattana PCL(CPN-F)</t>
  </si>
  <si>
    <t>Takara Leben Co. Ltd.(8897)</t>
  </si>
  <si>
    <t>Unifin Financiera SAB de CV SOFOM ENR(UNIFINA)</t>
  </si>
  <si>
    <t>J Trust Co. Ltd.(8508)</t>
  </si>
  <si>
    <t>Multi Commodity Exchange of India Ltd.(MCX)</t>
  </si>
  <si>
    <t>Posco ICT Co. Ltd.(022100)</t>
  </si>
  <si>
    <t>Tian Ge Interactive Holdings Ltd.(1980)</t>
  </si>
  <si>
    <t>SharpSpring Inc.(SHSP)</t>
  </si>
  <si>
    <t>Adlink Technology Inc.(6166)</t>
  </si>
  <si>
    <t>FocalTech Systems Co. Ltd.(3545)</t>
  </si>
  <si>
    <t>Unisem M Bhd.(UNISEM)</t>
  </si>
  <si>
    <t>Thaicom PCL(THCOM-F)</t>
  </si>
  <si>
    <t>Inseego Corp.(INSG)</t>
  </si>
  <si>
    <t>SilverBow Resources Inc.(SBOW)</t>
  </si>
  <si>
    <t>Alexandria Mineral Oils Co.(AMOC)</t>
  </si>
  <si>
    <t>Pioneer Energy Services Corp.(PES)</t>
  </si>
  <si>
    <t>ION Geophysical Corp.(IO)</t>
  </si>
  <si>
    <t>SMA Solar Technology AG(S92)</t>
  </si>
  <si>
    <t>Achilles Corp.(5142)</t>
  </si>
  <si>
    <t>Saudi International Petrochemical Co.(2310)</t>
  </si>
  <si>
    <t>Arakawa Chemical Industries Ltd.(4968)</t>
  </si>
  <si>
    <t>Bengang Steel Plates Co. Ltd. Class B(200761)</t>
  </si>
  <si>
    <t>Shougang Concord International Enterprises Co. Ltd.(697)</t>
  </si>
  <si>
    <t>Nippon Denko Co. Ltd.(5563)</t>
  </si>
  <si>
    <t>Krosaki Harima Corp.(5352)</t>
  </si>
  <si>
    <t>Beijing Oriental Yuhong Waterproof Technology Co. Ltd. Class A(002271)</t>
  </si>
  <si>
    <t>United States Lime &amp; Minerals Inc.(USLM)</t>
  </si>
  <si>
    <t>OSJB Holdings Corp.(5912)</t>
  </si>
  <si>
    <t>China National Chemical Engineering Co. Ltd. Class A(601117)</t>
  </si>
  <si>
    <t>Shinnihon Corp.(1879)</t>
  </si>
  <si>
    <t>Sumitomo Densetsu Co. Ltd.(1949)</t>
  </si>
  <si>
    <t>IES Holdings Inc.(IESC)</t>
  </si>
  <si>
    <t>Mota-Engil SGPS SA(EGL)</t>
  </si>
  <si>
    <t>Oyo Corp.(9755)</t>
  </si>
  <si>
    <t>KEPCO Engineering &amp; Construction Co. Inc.(052690)</t>
  </si>
  <si>
    <t>Scientex Bhd.(SCIENTX)</t>
  </si>
  <si>
    <t>Foshan Nationstar Optoelectronics Co. Ltd. Class A(002449)</t>
  </si>
  <si>
    <t>Unigroup Guoxin Microelectronics Co. Ltd. Class A(002049)</t>
  </si>
  <si>
    <t>Ichia Technologies Inc.(2402)</t>
  </si>
  <si>
    <t>XinTec Inc.(3374)</t>
  </si>
  <si>
    <t>Ultralife Corp.(ULBI)</t>
  </si>
  <si>
    <t>Zhejiang Narada Power Source Co. Ltd. Class A(300068)</t>
  </si>
  <si>
    <t>Ta Ya Electric Wire &amp; Cable(1609)</t>
  </si>
  <si>
    <t>Global Brands Manufacture Ltd.(6191)</t>
  </si>
  <si>
    <t>Cosel Co. Ltd.(6905)</t>
  </si>
  <si>
    <t>Truly International Holdings Ltd.(732)</t>
  </si>
  <si>
    <t>CyberOptics Corp.(CYBE)</t>
  </si>
  <si>
    <t>Leyard Optoelectronic Co. Ltd. Class A(300296)</t>
  </si>
  <si>
    <t>Intevac Inc.(IVAC)</t>
  </si>
  <si>
    <t>GRG Banking Equipment Co. Ltd. Class A(002152)</t>
  </si>
  <si>
    <t>CSBC Corp. Taiwan(2208)</t>
  </si>
  <si>
    <t>China First Heavy Industries Class A(601106)</t>
  </si>
  <si>
    <t>Zhejiang Kaishan Compressor Co. Ltd. Class A(300257)</t>
  </si>
  <si>
    <t>Shanghai Highly Group Co. Ltd. Class B(900910)</t>
  </si>
  <si>
    <t>China Merchants Energy Shipping Co. Ltd. Class A(601872)</t>
  </si>
  <si>
    <t>Korea Line Corp.(005880)</t>
  </si>
  <si>
    <t>Guangxi Wuzhou Communications Co. Ltd. Class A(600368)</t>
  </si>
  <si>
    <t>USA Truck Inc.(USAK)</t>
  </si>
  <si>
    <t>US Xpress Enterprises Inc. Class A(USX)</t>
  </si>
  <si>
    <t>Nippon Parking Development Co. Ltd.(2353)</t>
  </si>
  <si>
    <t>Asure Software Inc.(ASUR)</t>
  </si>
  <si>
    <t>OFX Group Ltd.(OFX)</t>
  </si>
  <si>
    <t>Jiangling Motors Corp. Ltd. Class B(200550)</t>
  </si>
  <si>
    <t>Haldex AB(HLDX)</t>
  </si>
  <si>
    <t>Mahle-Metal Leve SA(LEVE3)</t>
  </si>
  <si>
    <t>Mitsuba Corp.(7280)</t>
  </si>
  <si>
    <t>Tung Thih Electronic Co. Ltd.(3552)</t>
  </si>
  <si>
    <t>China Huiyuan Juice Group Ltd.(1886)</t>
  </si>
  <si>
    <t>Alico Inc.(ALCO)</t>
  </si>
  <si>
    <t>Namyang Dairy Products Co. Ltd.(003920)</t>
  </si>
  <si>
    <t>Dongwon F&amp;B Co. Ltd.(049770)</t>
  </si>
  <si>
    <t>Basso Industry Corp.(1527)</t>
  </si>
  <si>
    <t>Lock&amp;Lock Co. Ltd.(115390)</t>
  </si>
  <si>
    <t>Goodbaby International Holdings Ltd.(1086)</t>
  </si>
  <si>
    <t>Weiqiao Textile Co.(2698)</t>
  </si>
  <si>
    <t>361 Degrees International Ltd.(1361)</t>
  </si>
  <si>
    <t>Jiangsu Guotai International Group Guomao Co. Ltd. Class A(002091)</t>
  </si>
  <si>
    <t>Asaleo Care Ltd.(AHY)</t>
  </si>
  <si>
    <t>Sarantis SA(SAR)</t>
  </si>
  <si>
    <t>Town Health International Medical Group Ltd.(3886)</t>
  </si>
  <si>
    <t>Dallah Healthcare Co.(4004)</t>
  </si>
  <si>
    <t>Y-mAbs Therapeutics Inc.(YMAB)</t>
  </si>
  <si>
    <t>XBiotech Inc.(XBIT)</t>
  </si>
  <si>
    <t>Insys Therapeutics Inc.(INSY)</t>
  </si>
  <si>
    <t>Enzo Biochem Inc.(ENZ)</t>
  </si>
  <si>
    <t>ATGen Co. Ltd.(182400)</t>
  </si>
  <si>
    <t>Oncocyte Corp.(OCX)</t>
  </si>
  <si>
    <t>Trevena Inc.(TRVN)</t>
  </si>
  <si>
    <t>ASKA Pharmaceutical Co. Ltd.(4514)</t>
  </si>
  <si>
    <t>Wockhardt Ltd.(WOCKPHARMA)</t>
  </si>
  <si>
    <t>Shanghai Pharmaceuticals Holding Co. Ltd. Class A(601607)</t>
  </si>
  <si>
    <t>Binex Co. Ltd.(053030)</t>
  </si>
  <si>
    <t>DongKook Pharmaceutical Co. Ltd.(086450)</t>
  </si>
  <si>
    <t>Cawachi Ltd.(2664)</t>
  </si>
  <si>
    <t>Vitamin Shoppe Inc.(VSI)</t>
  </si>
  <si>
    <t>GNC Holdings Inc. Class A(GNC)</t>
  </si>
  <si>
    <t>Gaia Inc. Class A(GAIA)</t>
  </si>
  <si>
    <t>Xebio Holdings Co. Ltd.(8281)</t>
  </si>
  <si>
    <t>Inter Far East Energy Corp.(IFEC-F)</t>
  </si>
  <si>
    <t>Saga Communications Inc. Class A(SGA)</t>
  </si>
  <si>
    <t>Wowow Inc.(4839)</t>
  </si>
  <si>
    <t>GL Events(GLO)</t>
  </si>
  <si>
    <t>Marchex Inc. Class B(MCHX)</t>
  </si>
  <si>
    <t>Arnoldo Mondadori Editore SPA(MN)</t>
  </si>
  <si>
    <t>Pegasus Hava Tasimaciligi AS(PGSUS)</t>
  </si>
  <si>
    <t>Macau Legend Development Ltd.(1680)</t>
  </si>
  <si>
    <t>MK Restaurants Group PCL(M-F)</t>
  </si>
  <si>
    <t>Arcland Service Holdings Co. Ltd.(3085)</t>
  </si>
  <si>
    <t>Bright Real Estate Group Co. Ltd. Class A(600708)</t>
  </si>
  <si>
    <t>IDT Corp. Class B(IDT)</t>
  </si>
  <si>
    <t>Alpiq Holding AG(ALPH)</t>
  </si>
  <si>
    <t>Public Power Corp. SA(PPC)</t>
  </si>
  <si>
    <t>Bloom Energy Corp. Class A(BE)</t>
  </si>
  <si>
    <t>GCL New Energy Holdings Ltd.(451)</t>
  </si>
  <si>
    <t>Spark Energy Inc. Class A(SPKE)</t>
  </si>
  <si>
    <t>Genie Energy Ltd. Class B(GNE)</t>
  </si>
  <si>
    <t>Tianjin Capital Environmental Protection Group Co. Ltd.(1065)</t>
  </si>
  <si>
    <t>China Water Industry Group Ltd.(1129)</t>
  </si>
  <si>
    <t>Pacific Mercantile Bancorp(PMBC)</t>
  </si>
  <si>
    <t>First Financial Northwest Inc.(FFNW)</t>
  </si>
  <si>
    <t>FNCB Bancorp Inc.(FNCB)</t>
  </si>
  <si>
    <t>MVB Financial Corp.(MVBF)</t>
  </si>
  <si>
    <t>Mackinac Financial Corp.(MFNC)</t>
  </si>
  <si>
    <t>FVCBankcorp Inc.(FVCB)</t>
  </si>
  <si>
    <t>Community Financial Corp.(TCFC)</t>
  </si>
  <si>
    <t>Jammu &amp; Kashmir Bank Ltd.(J&amp;KBANK)</t>
  </si>
  <si>
    <t>C&amp;F Financial Corp.(CFFI)</t>
  </si>
  <si>
    <t>Kingstone Cos. Inc.(KINS)</t>
  </si>
  <si>
    <t>Lushang Property Co. Ltd. Class A(600223)</t>
  </si>
  <si>
    <t>Minmetals Land Ltd.(230)</t>
  </si>
  <si>
    <t>Shanghai Zhangjiang High-Tech Park Development Co. Ltd. Class A(600895)</t>
  </si>
  <si>
    <t>Huayuan Property Co. Ltd. Class A(600743)</t>
  </si>
  <si>
    <t>Myhome Real Estate Development Group Co. Ltd. Class A(000667)</t>
  </si>
  <si>
    <t>Cedar Woods Properties Ltd.(CWP)</t>
  </si>
  <si>
    <t>Xinhu Zhongbao Co. Ltd. Class A(600208)</t>
  </si>
  <si>
    <t>Silvercrest Asset Management Group Inc. Class A(SAMG)</t>
  </si>
  <si>
    <t>Shaanxi International Trust Co. Ltd. Class A(000563)</t>
  </si>
  <si>
    <t>Yuanta Securities Korea Co. Ltd.(003470)</t>
  </si>
  <si>
    <t>SDIC Capital Co. Ltd. Class A(600061)</t>
  </si>
  <si>
    <t>Northeast Securities Co. Ltd. Class A(000686)</t>
  </si>
  <si>
    <t>GF Securities Co. Ltd.(1776)</t>
  </si>
  <si>
    <t>Ocwen Financial Corp.(OCN)</t>
  </si>
  <si>
    <t>DHC Software Co. Ltd. Class A(002065)</t>
  </si>
  <si>
    <t>PCI-Suntek Technology Co. Ltd. Class A(600728)</t>
  </si>
  <si>
    <t>Green Cross Cell Corp.(031390)</t>
  </si>
  <si>
    <t>Ju Teng International Holdings Ltd.(3336)</t>
  </si>
  <si>
    <t>Inspur International Ltd.(596)</t>
  </si>
  <si>
    <t>Micronics Japan Co. Ltd.(6871)</t>
  </si>
  <si>
    <t>Jusung Engineering Co. Ltd.(036930)</t>
  </si>
  <si>
    <t>Advanced Wireless Semiconductor Co.(8086)</t>
  </si>
  <si>
    <t>ACM Research Inc. Class A(ACMR)</t>
  </si>
  <si>
    <t>Global Mixed Mode Technology Inc.(8081)</t>
  </si>
  <si>
    <t>Megachips Corp.(6875)</t>
  </si>
  <si>
    <t>Supreme Electronics Co. Ltd.(8112)</t>
  </si>
  <si>
    <t>Airgain Inc.(AIRG)</t>
  </si>
  <si>
    <t>Alpha Networks Inc.(3380)</t>
  </si>
  <si>
    <t>Gilat Satellite Networks Ltd.(GILT)</t>
  </si>
  <si>
    <t>Soco International plc(SIA)</t>
  </si>
  <si>
    <t>Earthstone Energy Inc. Class A(ESTE)</t>
  </si>
  <si>
    <t>Goodrich Petroleum Corp.(GDP)</t>
  </si>
  <si>
    <t>Offshore Oil Engineering Co. Ltd. Class A(600583)</t>
  </si>
  <si>
    <t>Independence Contract Drilling Inc.(ICD)</t>
  </si>
  <si>
    <t>Akastor ASA(AKA)</t>
  </si>
  <si>
    <t>Hubei Biocause Pharmaceutical Co. Ltd. Class A(000627)</t>
  </si>
  <si>
    <t>Xinxiang Chemical Fiber Co. Ltd. Class A(000949)</t>
  </si>
  <si>
    <t>AK Holdings Inc.(006840)</t>
  </si>
  <si>
    <t>LSB Industries Inc.(LXU)</t>
  </si>
  <si>
    <t>Sidi Kerir Petrochemicals Co.(SKPC)</t>
  </si>
  <si>
    <t>Shandong Hualu Hengsheng Chemical Co. Ltd. Class A(600426)</t>
  </si>
  <si>
    <t>Dai Nippon Toryo Co. Ltd.(4611)</t>
  </si>
  <si>
    <t>ASAHI YUKIZAI Corp.(4216)</t>
  </si>
  <si>
    <t>Bluestar Adisseo Co. Class A(600299)</t>
  </si>
  <si>
    <t>Meihua Holdings Group Co. Ltd. Class A(600873)</t>
  </si>
  <si>
    <t>Shandong Huatai Paper Industry Shareholding Co. Ltd. Class A(600308)</t>
  </si>
  <si>
    <t>Petra Diamonds Ltd.(PDL)</t>
  </si>
  <si>
    <t>G-Resources Group Ltd.(1051)</t>
  </si>
  <si>
    <t>Globe Union Industrial Corp.(9934)</t>
  </si>
  <si>
    <t>CI Takiron Corp.(4215)</t>
  </si>
  <si>
    <t>DG Khan Cement Co. Ltd.(DGKC)</t>
  </si>
  <si>
    <t>Sunway Construction Group Bhd.(SUNCON)</t>
  </si>
  <si>
    <t>Hindustan Construction Co. Ltd.(HCC)</t>
  </si>
  <si>
    <t>Yurtec Corp.(1934)</t>
  </si>
  <si>
    <t>Yunnan Energy New Material Co. Ltd.(002812)</t>
  </si>
  <si>
    <t>ORG Technology Co. Ltd. Class A(002701)</t>
  </si>
  <si>
    <t>China XD Electric Co. Ltd. Class A(601179)</t>
  </si>
  <si>
    <t>Energous Corp.(WATT)</t>
  </si>
  <si>
    <t>Lextar Electronics Corp.(3698)</t>
  </si>
  <si>
    <t>Aiphone Co. Ltd.(6718)</t>
  </si>
  <si>
    <t>Inner Mongolia First Machinery Group Co. Ltd. Class A(600967)</t>
  </si>
  <si>
    <t>Zoomlion Heavy Industry Science and Technology Co. Ltd. Class A(000157)</t>
  </si>
  <si>
    <t>Kato Works Co. Ltd.(6390)</t>
  </si>
  <si>
    <t>EVI Industries Inc.(EVI)</t>
  </si>
  <si>
    <t>Saudi Ground Services Co.(4031)</t>
  </si>
  <si>
    <t>Insun ENT Co. Ltd.(060150)</t>
  </si>
  <si>
    <t>Chongqing Changan Automobile Co. Ltd. Class A(000625)</t>
  </si>
  <si>
    <t>Aisan Industry Co. Ltd.(7283)</t>
  </si>
  <si>
    <t>ElringKlinger AG(ZIL2)</t>
  </si>
  <si>
    <t>Daido Metal Co. Ltd.(7245)</t>
  </si>
  <si>
    <t>AVIC Electromechanical Systems Co. Ltd. Class A(002013)</t>
  </si>
  <si>
    <t>Wuhu Shunrong Sanqi Interactive Entertainment Network Technology Co. Ltd. Class A(002555)</t>
  </si>
  <si>
    <t>Jiangsu King's Luck Brewery JSC Ltd. Class A(603369)</t>
  </si>
  <si>
    <t>Feed One Co. Ltd.(2060)</t>
  </si>
  <si>
    <t>Warabeya Nichiyo Holdings Co. Ltd.(2918)</t>
  </si>
  <si>
    <t>Bright Dairy &amp; Food Co. Ltd. Class A(600597)</t>
  </si>
  <si>
    <t>Kyokuyo Co. Ltd.(1301)</t>
  </si>
  <si>
    <t>Maeil Dairies Co. Ltd.(267980)</t>
  </si>
  <si>
    <t>Nihon Trim Co. Ltd.(6788)</t>
  </si>
  <si>
    <t>Joyoung Co. Ltd. Class A(002242)</t>
  </si>
  <si>
    <t>Sunvim Group Co. Ltd. Class A(002083)</t>
  </si>
  <si>
    <t>Xiamen Xiangyu Co. Ltd. Class A(600057)</t>
  </si>
  <si>
    <t>Yonex Co. Ltd.(7906)</t>
  </si>
  <si>
    <t>Unitika Ltd.(3103)</t>
  </si>
  <si>
    <t>Nishat Mills Ltd.(NML)</t>
  </si>
  <si>
    <t>Dezhan Healthcare Co. Ltd. Class A(000813)</t>
  </si>
  <si>
    <t>FONAR Corp.(FONR)</t>
  </si>
  <si>
    <t>Jafron Biomedical Co. Ltd. Class A(300529)</t>
  </si>
  <si>
    <t>Pulse Biosciences Inc.(PLSE)</t>
  </si>
  <si>
    <t>Calyxt Inc.(CLXT)</t>
  </si>
  <si>
    <t>UNITY Biotechnology Inc.(UBX)</t>
  </si>
  <si>
    <t>Chiasma Inc.(CHMA)</t>
  </si>
  <si>
    <t>Pfenex Inc.(PFNX)</t>
  </si>
  <si>
    <t>Taigen Biopharmaceuticals Holdings Ltd.(4157)</t>
  </si>
  <si>
    <t>Seres Therapeutics Inc.(MCRB)</t>
  </si>
  <si>
    <t>Acer Therapeutics Inc.(ACER)</t>
  </si>
  <si>
    <t>Searle Co. Ltd.(SEARL)</t>
  </si>
  <si>
    <t>Laurus Labs Ltd.(LAURUSLABS)</t>
  </si>
  <si>
    <t>Lee's Pharmaceutical Holdings Ltd.(950)</t>
  </si>
  <si>
    <t>Harrow Health Inc.(HROW)</t>
  </si>
  <si>
    <t>WuXi AppTec Co. Ltd. Class A(603259)</t>
  </si>
  <si>
    <t>Yakuodo Co. Ltd.(3385)</t>
  </si>
  <si>
    <t>Ministop Co. Ltd.(9946)</t>
  </si>
  <si>
    <t>Blue Apron Holdings Inc. Class A(APRN)</t>
  </si>
  <si>
    <t>N Brown Group plc(BWNG)</t>
  </si>
  <si>
    <t>Shanghai Yimin Commerce Group Co. Ltd. Class A(600824)</t>
  </si>
  <si>
    <t>Poly Culture Group Corp. Ltd.(3636)</t>
  </si>
  <si>
    <t>TrueCar Inc.(TRUE)</t>
  </si>
  <si>
    <t>Seobu T&amp;D(006730)</t>
  </si>
  <si>
    <t>Tuesday Morning Corp.(TUES)</t>
  </si>
  <si>
    <t>CONEXIO Corp.(9422)</t>
  </si>
  <si>
    <t>Kamei Corp.(8037)</t>
  </si>
  <si>
    <t>TV Azteca SAB de CV(AZTECACPO)</t>
  </si>
  <si>
    <t>TV18 Broadcast Ltd.(TV18BRDCST)</t>
  </si>
  <si>
    <t>Amuse Inc.(4301)</t>
  </si>
  <si>
    <t>Central China Land Media Co. Ltd. Class A(000719)</t>
  </si>
  <si>
    <t>Fujita Kanko Inc.(9722)</t>
  </si>
  <si>
    <t>Aeon Fantasy Co. Ltd.(4343)</t>
  </si>
  <si>
    <t>Sagami Holdings Corp.(9900)</t>
  </si>
  <si>
    <t>CHIMNEY Co. Ltd.(3178)</t>
  </si>
  <si>
    <t>Cellcom Israel Ltd. (Registered)(CEL)</t>
  </si>
  <si>
    <t>Shanxi Zhangze Electric Power Co. Ltd. Class A(000767)</t>
  </si>
  <si>
    <t>Aygaz AS(AYGAZ)</t>
  </si>
  <si>
    <t>Fidelity D&amp;D Bancorp Inc.(FDBC)</t>
  </si>
  <si>
    <t>CB Financial Services Inc.(CBFV)</t>
  </si>
  <si>
    <t>Bank of Saga Ltd.(8395)</t>
  </si>
  <si>
    <t>First Community Corp./SC(FCCO)</t>
  </si>
  <si>
    <t>Wiz Solucoes e Corretagem de Seguros SA(WIZS3)</t>
  </si>
  <si>
    <t>Donegal Group Inc. Class A(DGICA)</t>
  </si>
  <si>
    <t>Tande Co. Ltd. Class A(600665)</t>
  </si>
  <si>
    <t>Eco World Development Group Bhd.(ECOWLD)</t>
  </si>
  <si>
    <t>Tosei Corp.(8923)</t>
  </si>
  <si>
    <t>Nan Hai Corp. Ltd.(680)</t>
  </si>
  <si>
    <t>Sinyi Realty Inc.(9940)</t>
  </si>
  <si>
    <t>Collector AB(COLL)</t>
  </si>
  <si>
    <t>Equitas Holdings Ltd./India(EQUITAS)</t>
  </si>
  <si>
    <t>China LNG Group Ltd.(931)</t>
  </si>
  <si>
    <t>EOH Holdings Ltd.(EOH)</t>
  </si>
  <si>
    <t>Bluedon Information Security Technology Co. Ltd. Class A(300297)</t>
  </si>
  <si>
    <t>Cybozu Inc.(4776)</t>
  </si>
  <si>
    <t>China Reform Health Management and Services Group Co. Ltd. Class A(000503)</t>
  </si>
  <si>
    <t>GlobalSCAPE Inc.(GSB)</t>
  </si>
  <si>
    <t>Alpha Systems Inc.(4719)</t>
  </si>
  <si>
    <t>Allot Ltd.(ALLT)</t>
  </si>
  <si>
    <t>Kudelski SA(KUD)</t>
  </si>
  <si>
    <t>Winning Health Technology Group Co. Ltd. Class A(300253)</t>
  </si>
  <si>
    <t>Sonix Technology Co. Ltd.(5471)</t>
  </si>
  <si>
    <t>TES Co. Ltd./Korea(095610)</t>
  </si>
  <si>
    <t>Accelink Technologies Co. Ltd. Class A(002281)</t>
  </si>
  <si>
    <t>Hytera Communications Corp. Ltd. Class A(002583)</t>
  </si>
  <si>
    <t>Naphtha Israel Petroleum Corp. Ltd.(NFTA)</t>
  </si>
  <si>
    <t>Dommo Energia SA(DMMO3)</t>
  </si>
  <si>
    <t>Smart Sand Inc.(SND)</t>
  </si>
  <si>
    <t>Sungrow Power Supply Co. Ltd. Class A(300274)</t>
  </si>
  <si>
    <t>National Petrochemical Co.(2002)</t>
  </si>
  <si>
    <t>Asia Polymer Corp.(1308)</t>
  </si>
  <si>
    <t>Sekisui Plastics Co. Ltd.(4228)</t>
  </si>
  <si>
    <t>Jiangsu Changqing Agrochemical Co. Ltd. Class A(002391)</t>
  </si>
  <si>
    <t>Koatsu Gas Kogyo Co. Ltd.(4097)</t>
  </si>
  <si>
    <t>Kingenta Ecological Engineering Group Co. Ltd. Class A(002470)</t>
  </si>
  <si>
    <t>Riken Technos Corp.(4220)</t>
  </si>
  <si>
    <t>Hansol Paper Co. Ltd.(213500)</t>
  </si>
  <si>
    <t>Ur-Energy Inc.(URG)</t>
  </si>
  <si>
    <t>Hunan Valin Steel Co. Ltd. Class A(000932)</t>
  </si>
  <si>
    <t>United States Steel Corp.(X)</t>
  </si>
  <si>
    <t>Jiangsu Changbao Steeltube Co. Ltd. Class A(002478)</t>
  </si>
  <si>
    <t>Zumtobel Group AG(ZAG)</t>
  </si>
  <si>
    <t>Tangshan Jidong Cement Co. Ltd. Class A(000401)</t>
  </si>
  <si>
    <t>Metallurgical Corp. of China Ltd. Class A(601618)</t>
  </si>
  <si>
    <t>China Railway Hi-tech Industry Co. Ltd. Class A(600528)</t>
  </si>
  <si>
    <t>Shenzhen Sunlord Electronics Co. Ltd. Class A(002138)</t>
  </si>
  <si>
    <t>Taihan Electric Wire Co. Ltd.(001440)</t>
  </si>
  <si>
    <t>Houston Wire &amp; Cable Co.(HWCC)</t>
  </si>
  <si>
    <t>Nanyang Topsec Technologies Group Inc. Class A(002212)</t>
  </si>
  <si>
    <t>Kanaden Corp.(8081)</t>
  </si>
  <si>
    <t>Turtle Beach Corp.(HEAR)</t>
  </si>
  <si>
    <t>Eastcompeace Technology Co. Ltd. Class A(002017)</t>
  </si>
  <si>
    <t>Nichiden Corp.(9902)</t>
  </si>
  <si>
    <t>Rorze Corp.(6323)</t>
  </si>
  <si>
    <t>Iseki &amp; Co. Ltd.(6310)</t>
  </si>
  <si>
    <t>Hisaka Works Ltd.(6247)</t>
  </si>
  <si>
    <t>Torishima Pump Manufacturing Co. Ltd.(6363)</t>
  </si>
  <si>
    <t>Shanghai Highly Group Co. Ltd. Class A(600619)</t>
  </si>
  <si>
    <t>L&amp;K Engineering Co. Ltd.(6139)</t>
  </si>
  <si>
    <t>Hosokawa Micron Corp.(6277)</t>
  </si>
  <si>
    <t>NS United Kaiun Kaisha Ltd.(9110)</t>
  </si>
  <si>
    <t>Cardno Ltd.(CDD)</t>
  </si>
  <si>
    <t>Kyodo Printing Co. Ltd.(7914)</t>
  </si>
  <si>
    <t>Crawford &amp; Co. Class A(CRD.A)</t>
  </si>
  <si>
    <t>InnerWorkings Inc.(INWK)</t>
  </si>
  <si>
    <t>Groupe Crit(CEN)</t>
  </si>
  <si>
    <t>Advan Co. Ltd.(7463)</t>
  </si>
  <si>
    <t>Guizhou Tyre Co. Ltd. Class A(000589)</t>
  </si>
  <si>
    <t>Federal Corp.(2102)</t>
  </si>
  <si>
    <t>Hebei Chengde Lolo Co. Class A(000848)</t>
  </si>
  <si>
    <t>Shanghai Greencourt Investment Group Co. Ltd. Class B(900919)</t>
  </si>
  <si>
    <t>Angel Yeast Co. Ltd. Class A(600298)</t>
  </si>
  <si>
    <t>Jiangxi Huangshanghuang Group Food Co. Ltd. Class A(002695)</t>
  </si>
  <si>
    <t>Microbio Co. Ltd.(4128)</t>
  </si>
  <si>
    <t>Lifetime Brands Inc.(LCUT)</t>
  </si>
  <si>
    <t>Cuckoo Homesys Co. Ltd.(284740)</t>
  </si>
  <si>
    <t>Itoki Corp.(7972)</t>
  </si>
  <si>
    <t>Nautilus Inc.(NLS)</t>
  </si>
  <si>
    <t>Sasa Polyester Sanayi AS(SASA)</t>
  </si>
  <si>
    <t>Raymond Ltd.(RAYMOND)</t>
  </si>
  <si>
    <t>Delta Apparel Inc.(DLA)</t>
  </si>
  <si>
    <t>Arvind Ltd.(ARVIND)</t>
  </si>
  <si>
    <t>Kolmar Korea Holdings Co. Ltd.(024720)</t>
  </si>
  <si>
    <t>MLP Saglik Hizmetleri AS(MPARK)</t>
  </si>
  <si>
    <t>Misonix Inc.(MSON)</t>
  </si>
  <si>
    <t>Chembio Diagnostics Inc.(CEMI)</t>
  </si>
  <si>
    <t>InBody Co. Ltd.(041830)</t>
  </si>
  <si>
    <t>Beijing Strong Biotechnologies Inc. Class A(300406)</t>
  </si>
  <si>
    <t>Ardelyx Inc.(ARDX)</t>
  </si>
  <si>
    <t>Neos Therapeutics Inc.(NEOS)</t>
  </si>
  <si>
    <t>Catalyst Biosciences Inc.(CBIO)</t>
  </si>
  <si>
    <t>Celcuity Inc.(CELC)</t>
  </si>
  <si>
    <t>Twist Bioscience Corp.(TWST)</t>
  </si>
  <si>
    <t>Beijing Tongrentang Co. Ltd. Class A(600085)</t>
  </si>
  <si>
    <t>Fuso Pharmaceutical Industries Ltd.(4538)</t>
  </si>
  <si>
    <t>Zhejiang Hisoar Pharmaceutical Co. Ltd. Class A(002099)</t>
  </si>
  <si>
    <t>Chengzhi Co. Ltd. Class A(000990)</t>
  </si>
  <si>
    <t>Verrica Pharmaceuticals Inc.(VRCA)</t>
  </si>
  <si>
    <t>BGF Co. Ltd.(027410)</t>
  </si>
  <si>
    <t>Taiwan FamilyMart Co. Ltd./Taiwan(5903)</t>
  </si>
  <si>
    <t>HF Foods Group Inc.(HFFG)</t>
  </si>
  <si>
    <t>Jiajiayue Group Co. Ltd. Class A(603708)</t>
  </si>
  <si>
    <t>Wangfujing Group Co. Ltd. Class A(600859)</t>
  </si>
  <si>
    <t>Tokyo Individualized Educational Institute Inc.(4745)</t>
  </si>
  <si>
    <t>Alpen Co. Ltd.(3028)</t>
  </si>
  <si>
    <t>CJ Hello Co. Ltd.(037560)</t>
  </si>
  <si>
    <t>Saudi Research &amp; Marketing Group(4210)</t>
  </si>
  <si>
    <t>Gakken Holdings Co. Ltd.(9470)</t>
  </si>
  <si>
    <t>Marvelous Inc.(7844)</t>
  </si>
  <si>
    <t>Herfy Food Services Co.(6002)</t>
  </si>
  <si>
    <t>Infigen Energy(IFN)</t>
  </si>
  <si>
    <t>Hubei Energy Group Co. Ltd. Class A(000883)</t>
  </si>
  <si>
    <t>Zhejiang Zheneng Electric Power Co. Ltd. Class A(600023)</t>
  </si>
  <si>
    <t>SUI Southern Gas Co. Ltd.(SSGC)</t>
  </si>
  <si>
    <t>E1 Corp.(017940)</t>
  </si>
  <si>
    <t>Towa Bank Ltd.(8558)</t>
  </si>
  <si>
    <t>Michinoku Bank Ltd.(8350)</t>
  </si>
  <si>
    <t>Ohio Valley Banc Corp.(OVBC)</t>
  </si>
  <si>
    <t>DNB Financial Corp.(DNBF)</t>
  </si>
  <si>
    <t>Tochigi Bank Ltd.(8550)</t>
  </si>
  <si>
    <t>South Indian Bank Ltd.(SOUTHBANK)</t>
  </si>
  <si>
    <t>FIDEA Holdings Co. Ltd.(8713)</t>
  </si>
  <si>
    <t>Provident Financial Holdings Inc.(PROV)</t>
  </si>
  <si>
    <t>Prudential Bancorp Inc.(PBIP)</t>
  </si>
  <si>
    <t>Financial Street Holdings Co. Ltd. Class A(000402)</t>
  </si>
  <si>
    <t>Tianjin Realty Development Group Co. Ltd. Class A(600322)</t>
  </si>
  <si>
    <t>Tahoe Group Co. Ltd. Class A(000732)</t>
  </si>
  <si>
    <t>Shanghai Shimao Co. Ltd. Class A(600823)</t>
  </si>
  <si>
    <t>Shanghai Industrial Development Co. Ltd. Class A(600748)</t>
  </si>
  <si>
    <t>Tokyo Rakutenchi Co. Ltd.(8842)</t>
  </si>
  <si>
    <t>Shining Building Business Co. Ltd.(5531)</t>
  </si>
  <si>
    <t>Hong Pu Real Estate Development Co. Ltd.(2536)</t>
  </si>
  <si>
    <t>Wereldhave Belgium Comm VA(WEHB)</t>
  </si>
  <si>
    <t>BRT Apartments Corp.(BRT)</t>
  </si>
  <si>
    <t>Farmland Partners Inc.(FPI)</t>
  </si>
  <si>
    <t>GAMCO Investors Inc. Class A(GBL)</t>
  </si>
  <si>
    <t>International Money Express Inc.(IMXI)</t>
  </si>
  <si>
    <t>Riot Blockchain Inc.(RIOT)</t>
  </si>
  <si>
    <t>Convoy Global Holdings Ltd.(1019)</t>
  </si>
  <si>
    <t>Anxin Trust Co. Ltd. Class A(600816)</t>
  </si>
  <si>
    <t>Kyokuto Securities Co. Ltd.(8706)</t>
  </si>
  <si>
    <t>Shanxi Securities Co. Ltd. Class A(002500)</t>
  </si>
  <si>
    <t>Huaxi Securities Co. Ltd. Class A(002926)</t>
  </si>
  <si>
    <t>Allied Electronics Corp. Ltd.(AEL)</t>
  </si>
  <si>
    <t>INESA Intelligent Tech Inc. Class B(900901)</t>
  </si>
  <si>
    <t>Wangsu Science &amp; Technology Co. Ltd. Class A(300017)</t>
  </si>
  <si>
    <t>Tele Columbus AG(TC1)</t>
  </si>
  <si>
    <t>National Agricultural Holdings Ltd.(1236)</t>
  </si>
  <si>
    <t>Wonders Information Co. Ltd. Class A(300168)</t>
  </si>
  <si>
    <t>KLab Inc.(3656)</t>
  </si>
  <si>
    <t>Cyberlink Corp.(5203)</t>
  </si>
  <si>
    <t>SecureWorks Corp. Class A(SCWX)</t>
  </si>
  <si>
    <t>Unisplendour Corp. Ltd. Class A(000938)</t>
  </si>
  <si>
    <t>Jess-Link Products Co. Ltd.(6197)</t>
  </si>
  <si>
    <t>Shenzhen Goodix Technology Co. Ltd. Class A(603160)</t>
  </si>
  <si>
    <t>Mimasu Semiconductor Industry Co. Ltd.(8155)</t>
  </si>
  <si>
    <t>Impinj Inc.(PI)</t>
  </si>
  <si>
    <t>Sunplus Technology Co. Ltd.(2401)</t>
  </si>
  <si>
    <t>Etron Technology Inc.(5351)</t>
  </si>
  <si>
    <t>Jiangsu Zhongtian Technology Co. Ltd. Class A(600522)</t>
  </si>
  <si>
    <t>Etablissements Maurel et Prom(MAU)</t>
  </si>
  <si>
    <t>K&amp;O Energy Group Inc.(1663)</t>
  </si>
  <si>
    <t>Honghua Group Ltd.(196)</t>
  </si>
  <si>
    <t>Titan Wind Energy Suzhou Co. Ltd. Class A(002531)</t>
  </si>
  <si>
    <t>Zhefu Holding Group Co. Ltd. Class A(002266)</t>
  </si>
  <si>
    <t>Marrone Bio Innovations Inc.(MBII)</t>
  </si>
  <si>
    <t>Saudi Chemical Co.(2230)</t>
  </si>
  <si>
    <t>Zhejiang Jinke Culture Industry Co. Ltd. Class A(300459)</t>
  </si>
  <si>
    <t>Nickel Asia Corp.(NIKL)</t>
  </si>
  <si>
    <t>Hesteel Co. Ltd. Class A(000709)</t>
  </si>
  <si>
    <t>Mitsubishi Steel Manufacturing Co. Ltd.(5632)</t>
  </si>
  <si>
    <t>Schmolz + Bickenbach AG(STLN)</t>
  </si>
  <si>
    <t>Jenax Inc.(065620)</t>
  </si>
  <si>
    <t>Xinxing Ductile Iron Pipes Co. Ltd. Class A(000778)</t>
  </si>
  <si>
    <t>Seah Besteel Corp.(001430)</t>
  </si>
  <si>
    <t>Anhui Hengyuan Coal Industry and Electricity Power Co. Ltd. Class A(600971)</t>
  </si>
  <si>
    <t>Yintai Resources Co. Ltd. Class A(000975)</t>
  </si>
  <si>
    <t>MACA Ltd.(MLD)</t>
  </si>
  <si>
    <t>Jiangxi Wannianqing Cement Co. Ltd. Class A(000789)</t>
  </si>
  <si>
    <t>Xishui Strong Year Co. Ltd. Inner Mongolia Class A(600291)</t>
  </si>
  <si>
    <t>Yonggao Co. Ltd. Class A(002641)</t>
  </si>
  <si>
    <t>Rain Industries Ltd.(RAIN)</t>
  </si>
  <si>
    <t>Hongfa Technology Co. Ltd. Class A(600885)</t>
  </si>
  <si>
    <t>Onoken Co. Ltd.(7414)</t>
  </si>
  <si>
    <t>Surya Semesta Internusa Tbk PT(SSIA)</t>
  </si>
  <si>
    <t>Jamco Corp.(7408)</t>
  </si>
  <si>
    <t>Shanghai Shunho New Materials Technology Co. Ltd. Class A(002565)</t>
  </si>
  <si>
    <t>Zhejiang Chint Electrics Co. Ltd. Class A(601877)</t>
  </si>
  <si>
    <t>WUS Printed Circuit Kunshan Co. Ltd. Class A(002463)</t>
  </si>
  <si>
    <t>IRICO Display Devices Co. Ltd. Class A(600707)</t>
  </si>
  <si>
    <t>Wolong Electric Group Co. Ltd. Class A(600580)</t>
  </si>
  <si>
    <t>Luna Innovations Inc.(LUNA)</t>
  </si>
  <si>
    <t>Toyo Corp./Chuo-ku(8151)</t>
  </si>
  <si>
    <t>Zuken Inc.(6947)</t>
  </si>
  <si>
    <t>Furuno Electric Co. Ltd.(6814)</t>
  </si>
  <si>
    <t>Ninestar Corp. Class A(002180)</t>
  </si>
  <si>
    <t>Japan Cash Machine Co. Ltd.(6418)</t>
  </si>
  <si>
    <t>Aichi Corp.(6345)</t>
  </si>
  <si>
    <t>Namura Shipbuilding Co. Ltd.(7014)</t>
  </si>
  <si>
    <t>KISWIRE Ltd.(002240)</t>
  </si>
  <si>
    <t>Shinwa Co. Ltd./Nagoya(7607)</t>
  </si>
  <si>
    <t>Teikoku Electric Manufacturing Co. Ltd.(6333)</t>
  </si>
  <si>
    <t>Moon Environment Technology Co. Ltd. Class A(000811)</t>
  </si>
  <si>
    <t>Yushin Precision Equipment Co. Ltd.(6482)</t>
  </si>
  <si>
    <t>Nitto Kohki Co. Ltd.(6151)</t>
  </si>
  <si>
    <t>Kitagawa Corp.(6317)</t>
  </si>
  <si>
    <t>Hoegh LNG Holdings Ltd.(HLNG)</t>
  </si>
  <si>
    <t>China Merchants Port Group Co. Ltd. Class B(201872)</t>
  </si>
  <si>
    <t>PAM Transportation Services Inc.(PTSI)</t>
  </si>
  <si>
    <t>Crawford &amp; Co. Class B(CRD.B)</t>
  </si>
  <si>
    <t>General Finance Corp.(GFN)</t>
  </si>
  <si>
    <t>FAWER Automotive Parts Co. Ltd. Class A(000030)</t>
  </si>
  <si>
    <t>iMarketKorea Inc.(122900)</t>
  </si>
  <si>
    <t>Shanghai Ganglian E-Commerce Holdings Co. Ltd. Class A(300226)</t>
  </si>
  <si>
    <t>OptimizeRx Corp.(OPRX)</t>
  </si>
  <si>
    <t>Global Water Resources Inc.(GWRS)</t>
  </si>
  <si>
    <t>Sungwoo Hitech Co. Ltd.(015750)</t>
  </si>
  <si>
    <t>Kasai Kogyo Co. Ltd.(7256)</t>
  </si>
  <si>
    <t>T RAD Co. Ltd.(7236)</t>
  </si>
  <si>
    <t>Iron Force Industrial Co. Ltd.(2228)</t>
  </si>
  <si>
    <t>Strattec Security Corp.(STRT)</t>
  </si>
  <si>
    <t>Sichuan Swellfun Co. Ltd. Class A(600779)</t>
  </si>
  <si>
    <t>Thaifoods Group PCL(TFG-F)</t>
  </si>
  <si>
    <t>Heilongjiang Agriculture Co. Ltd. Class A(600598)</t>
  </si>
  <si>
    <t>Samyang Corp.(145990)</t>
  </si>
  <si>
    <t>Oppein Home Group Inc. Class A(603833)</t>
  </si>
  <si>
    <t>France Bed Holdings Co. Ltd.(7840)</t>
  </si>
  <si>
    <t>Direcional Engenharia SA(DIRR3)</t>
  </si>
  <si>
    <t>Vestel Elektronik Sanayi ve Ticaret AS(VESTL)</t>
  </si>
  <si>
    <t>Marine Products Corp.(MPX)</t>
  </si>
  <si>
    <t>Gamevil Inc.(063080)</t>
  </si>
  <si>
    <t>Van de Velde NV(VAN)</t>
  </si>
  <si>
    <t>Wuchan Zhongda Group Co. Ltd. Class A(600704)</t>
  </si>
  <si>
    <t>Able C&amp;C Co. Ltd.(078520)</t>
  </si>
  <si>
    <t>Quorum Health Corp.(QHC)</t>
  </si>
  <si>
    <t>CHC Healthcare Group(4164)</t>
  </si>
  <si>
    <t>i-SENS Inc.(099190)</t>
  </si>
  <si>
    <t>Vieworks Co. Ltd.(100120)</t>
  </si>
  <si>
    <t>SI-BONE Inc.(SIBN)</t>
  </si>
  <si>
    <t>ElectroCore Inc.(ECOR)</t>
  </si>
  <si>
    <t>Moderna Inc.(MRNA)</t>
  </si>
  <si>
    <t>Spero Therapeutics Inc.(SPRO)</t>
  </si>
  <si>
    <t>Organovo Holdings Inc.(ONVO)</t>
  </si>
  <si>
    <t>resTORbio Inc.(TORC)</t>
  </si>
  <si>
    <t>Bellicum Pharmaceuticals Inc.(BLCM)</t>
  </si>
  <si>
    <t>Staidson Beijing Biopharmaceuticals Co. Ltd. Class A(300204)</t>
  </si>
  <si>
    <t>Molecular Templates Inc.(MTEM)</t>
  </si>
  <si>
    <t>Moleculin Biotech Inc.(MBRX)</t>
  </si>
  <si>
    <t>Guangzhou Kingmed Diagnostics Group Co. Ltd. Class A(603882)</t>
  </si>
  <si>
    <t>PolarityTE Inc.(PTE)</t>
  </si>
  <si>
    <t>EyePoint Pharmaceuticals Inc.(EYPT)</t>
  </si>
  <si>
    <t>China Chemical &amp; Pharmaceutical Co. Ltd.(1701)</t>
  </si>
  <si>
    <t>Dae Hwa Pharmaceutical Co. Ltd.(067080)</t>
  </si>
  <si>
    <t>Dong-E-E-Jiao Co. Ltd. Class A(000423)</t>
  </si>
  <si>
    <t>Chengdu Kanghong Pharmaceutical Group Co. Ltd. Class A(002773)</t>
  </si>
  <si>
    <t>Optinose Inc.(OPTN)</t>
  </si>
  <si>
    <t>Chongkundang Holdings Corp.(001630)</t>
  </si>
  <si>
    <t>Joincare Pharmaceutical Group Industry Co. Ltd. Class A(600380)</t>
  </si>
  <si>
    <t>Kwang Dong Pharmaceutical Co. Ltd.(009290)</t>
  </si>
  <si>
    <t>JW Holdings Corp.(096760)</t>
  </si>
  <si>
    <t>Itochu-Shokuhin Co. Ltd.(2692)</t>
  </si>
  <si>
    <t>Guangzhou Grandbuy Co. Ltd. Class A(002187)</t>
  </si>
  <si>
    <t>Wuhan Department Store Group Co. Ltd. Class A(000501)</t>
  </si>
  <si>
    <t>Rainbow Department Store Co. Ltd. Class A(002419)</t>
  </si>
  <si>
    <t>Chongqing Department Store Co. Ltd. Class A(600729)</t>
  </si>
  <si>
    <t>Siam Makro PCL(MAKRO-F)</t>
  </si>
  <si>
    <t>Zhongbai Holdings Group Co. Ltd. Class A(000759)</t>
  </si>
  <si>
    <t>Weight Watchers International Inc.(WW)</t>
  </si>
  <si>
    <t>NS Shopping Co. Ltd.(138250)</t>
  </si>
  <si>
    <t>Anima Holding SA(ANIM3)</t>
  </si>
  <si>
    <t>Zhejiang Huace Film &amp; TV Co. Ltd. Class A(300133)</t>
  </si>
  <si>
    <t>MDC Partners Inc. Class A(MDCA)</t>
  </si>
  <si>
    <t>China South Publishing &amp; Media Group Co. Ltd. Class A(601098)</t>
  </si>
  <si>
    <t>China Eastern Airlines Corp. Ltd. Class A(600115)</t>
  </si>
  <si>
    <t>Dur Hospitality Co.(4010)</t>
  </si>
  <si>
    <t>PIA Corp.(4337)</t>
  </si>
  <si>
    <t>Biglari Holdings Inc.(BH A)</t>
  </si>
  <si>
    <t>BRONCO BILLY Co. Ltd.(3091)</t>
  </si>
  <si>
    <t>SG Fleet Group Ltd.(SGF)</t>
  </si>
  <si>
    <t>Superloop Ltd.(SLC)</t>
  </si>
  <si>
    <t>Liaoning Hongyang Energy Resource Invest Co. Ltd. Class A(600758)</t>
  </si>
  <si>
    <t>Guodian Changyuan Electric Power Co. Ltd. Class A(000966)</t>
  </si>
  <si>
    <t>SDIC Power Holdings Co. Ltd. Class A(600886)</t>
  </si>
  <si>
    <t>Huadian Energy Co. Ltd. Class B(900937)</t>
  </si>
  <si>
    <t>Huadian Power International Corp. Ltd. Class A(600027)</t>
  </si>
  <si>
    <t>Enerjisa Enerji AS(ENJSA)</t>
  </si>
  <si>
    <t>National Gas &amp; Industrialization Co.(2080)</t>
  </si>
  <si>
    <t>United Security Bancshares/Fresno CA(UBFO)</t>
  </si>
  <si>
    <t>Sterling Bancorp Inc./MI(SBT)</t>
  </si>
  <si>
    <t>Allahabad Bank(ALBK)</t>
  </si>
  <si>
    <t>Peoples Bancorp of North Carolina Inc.(PEBK)</t>
  </si>
  <si>
    <t>Union Properties PJSC(UPP)</t>
  </si>
  <si>
    <t>Nanjing Gaoke Co. Ltd. Class A(600064)</t>
  </si>
  <si>
    <t>Shenzhen Heungkong Holding Co. Ltd. Class A(600162)</t>
  </si>
  <si>
    <t>Everbright Jiabao Co. Ltd. Class A(600622)</t>
  </si>
  <si>
    <t>Sonae Sierra Brasil SA(SSBR3)</t>
  </si>
  <si>
    <t>Griffin Industrial Realty Inc.(GRIF)</t>
  </si>
  <si>
    <t>Guorui Properties Ltd.(2329)</t>
  </si>
  <si>
    <t>Korea Asset In Trust Co. Ltd.(123890)</t>
  </si>
  <si>
    <t>SK Securities Co. Ltd.(001510)</t>
  </si>
  <si>
    <t>Emperor Capital Group Ltd.(717)</t>
  </si>
  <si>
    <t>Sealand Securities Co. Ltd. Class A(000750)</t>
  </si>
  <si>
    <t>SooChow Securities Co. Ltd. Class A(601555)</t>
  </si>
  <si>
    <t>Federal Agricultural Mortgage Corp. Class A(AGM.A)</t>
  </si>
  <si>
    <t>RigNet Inc.(RNET)</t>
  </si>
  <si>
    <t>SRA Holdings(3817)</t>
  </si>
  <si>
    <t>Taiji Computer Corp. Ltd. Class A(002368)</t>
  </si>
  <si>
    <t>Jiangsu Hoperun Software Co. Ltd. Class A(300339)</t>
  </si>
  <si>
    <t>Dawning Information Industry Co. Ltd. Class A(603019)</t>
  </si>
  <si>
    <t>TPV Technology Ltd.(903)</t>
  </si>
  <si>
    <t>Tianjin Zhonghuan Semiconductor Co. Ltd. Class A(002129)</t>
  </si>
  <si>
    <t>ITE Technology Inc.(3014)</t>
  </si>
  <si>
    <t>Ryoden Corp.(8084)</t>
  </si>
  <si>
    <t>Towa Corp.(6315)</t>
  </si>
  <si>
    <t>TESSCO Technologies Inc.(TESS)</t>
  </si>
  <si>
    <t>VOXX International Corp. Class A(VOXX)</t>
  </si>
  <si>
    <t>Anton Oilfield Services Group/Hong Kong(3337)</t>
  </si>
  <si>
    <t>Yantai Jereh Oilfield Services Group Co. Ltd. Class A(002353)</t>
  </si>
  <si>
    <t>Shaan Xi Provincial Natural Gas Co. Ltd. Class A(002267)</t>
  </si>
  <si>
    <t>Xinjiang Goldwind Science &amp; Technology Co. Ltd. Class A(002202)</t>
  </si>
  <si>
    <t>Yunnan Energy Investment Co. Ltd. Class A(002053)</t>
  </si>
  <si>
    <t>Elion Clean Energy Co. Ltd. Class A(600277)</t>
  </si>
  <si>
    <t>China Jushi Co. Ltd. Class A(600176)</t>
  </si>
  <si>
    <t>AgroFresh Solutions Inc.(AGFS)</t>
  </si>
  <si>
    <t>Northern Technologies International Corp.(NTIC)</t>
  </si>
  <si>
    <t>Namhae Chemical Corp.(025860)</t>
  </si>
  <si>
    <t>Sichuan Hebang Biotechnology Co. Ltd. Class A(603077)</t>
  </si>
  <si>
    <t>Shandong Bohui Paper Industrial Co. Ltd. Class A(600966)</t>
  </si>
  <si>
    <t>Shanying International Holding Co. Ltd. Class A(600567)</t>
  </si>
  <si>
    <t>Matsuda Sangyo Co. Ltd.(7456)</t>
  </si>
  <si>
    <t>Zhejiang Hailiang Co. Ltd. Class A(002203)</t>
  </si>
  <si>
    <t>Hangzhou Iron &amp; Steel Co. Class A(600126)</t>
  </si>
  <si>
    <t>Kurimoto Ltd.(5602)</t>
  </si>
  <si>
    <t>Huolinhe Opencut Coal Industry Corp. Ltd. of Inner Mongolia Class A(002128)</t>
  </si>
  <si>
    <t>Shanghai Datun Energy Resources Co. Ltd. Class A(600508)</t>
  </si>
  <si>
    <t>Shanxi Xishan Coal &amp; Electricity Power Co. Ltd. Class A(000983)</t>
  </si>
  <si>
    <t>Lubelski Wegiel Bogdanka SA(LWB)</t>
  </si>
  <si>
    <t>Nittetsu Mining Co. Ltd.(1515)</t>
  </si>
  <si>
    <t>Xinjiang Tianshan Cement Co. Ltd. Class A(000877)</t>
  </si>
  <si>
    <t>Qassim Cement Co.(3040)</t>
  </si>
  <si>
    <t>Luyang Energy-Saving Materials Co. Ltd.(002088)</t>
  </si>
  <si>
    <t>Kuo Toong International Co. Ltd.(8936)</t>
  </si>
  <si>
    <t>Tengda Construction Group Co. Ltd. Class A(600512)</t>
  </si>
  <si>
    <t>Fudo Tetra Corp.(1813)</t>
  </si>
  <si>
    <t>Asunaro Aoki Construction Co. Ltd.(1865)</t>
  </si>
  <si>
    <t>Fukuda Corp.(1899)</t>
  </si>
  <si>
    <t>Tianjin Teda Co. Ltd. Class A(000652)</t>
  </si>
  <si>
    <t>Opus Global Nyrt(OPUS)</t>
  </si>
  <si>
    <t>Finolex Cables Ltd.(FINCABLES)</t>
  </si>
  <si>
    <t>Wuxi Lead Intelligent Equipment Co. Ltd. Class A(300450)</t>
  </si>
  <si>
    <t>Gold Circuit Electronics Ltd.(2368)</t>
  </si>
  <si>
    <t>Unity Opto Technology Co. Ltd.(2499)</t>
  </si>
  <si>
    <t>Cal-Comp Electronics Thailand PCL(null)</t>
  </si>
  <si>
    <t>Guangdong Fenghua Advanced Technology Holding Co. Ltd. Class A(000636)</t>
  </si>
  <si>
    <t>Avary Holding Shenzhen Co. Ltd. Class A(002938)</t>
  </si>
  <si>
    <t>Duk San Neolux Co. Ltd.(213420)</t>
  </si>
  <si>
    <t>Guosheng Financial Holding Inc. Class A(002670)</t>
  </si>
  <si>
    <t>CSG Smart Science&amp;Technology Co. Ltd. Class A(300222)</t>
  </si>
  <si>
    <t>Toptec Co. Ltd.(108230)</t>
  </si>
  <si>
    <t>Wuhan Raycus Fiber Laser Technologies Co. Ltd. Class A(300747)</t>
  </si>
  <si>
    <t>Kyosan Electric Manufacturing Co. Ltd.(6742)</t>
  </si>
  <si>
    <t>Beijing Jetsen Technology Co. Ltd. Class A(300182)</t>
  </si>
  <si>
    <t>Elematec Corp.(2715)</t>
  </si>
  <si>
    <t>Guangxi Liugong Machinery Co. Ltd. Class A(000528)</t>
  </si>
  <si>
    <t>XCMG Construction Machinery Co. Ltd. Class A(000425)</t>
  </si>
  <si>
    <t>Otokar Otomotiv Ve Savunma Sanayi A.S.(OTKAR)</t>
  </si>
  <si>
    <t>Denyo Co. Ltd.(6517)</t>
  </si>
  <si>
    <t>Toyo Kanetsu KK(6369)</t>
  </si>
  <si>
    <t>Yamashin-Filter Corp.(6240)</t>
  </si>
  <si>
    <t>Tong-Tai Machine &amp; Tool Co. Ltd.(4526)</t>
  </si>
  <si>
    <t>Sung Kwang Bend Co. Ltd.(014620)</t>
  </si>
  <si>
    <t>Dalian Port PDA Co. Ltd. Class A(601880)</t>
  </si>
  <si>
    <t>Kapsch TrafficCom AG(KTCG)</t>
  </si>
  <si>
    <t>Japan Transcity Corp.(9310)</t>
  </si>
  <si>
    <t>Jinzhou Port Co. Ltd. Class B(900952)</t>
  </si>
  <si>
    <t>Shanghai Jinjiang International Industrial Investment Co. Ltd. Class B(900914)</t>
  </si>
  <si>
    <t>ExOne Co.(XONE)</t>
  </si>
  <si>
    <t>JSTI Group Class A(300284)</t>
  </si>
  <si>
    <t>A2B Australia Ltd.(A2B)</t>
  </si>
  <si>
    <t>Wellnet Corp.(2428)</t>
  </si>
  <si>
    <t>CT Environmental Group Ltd.(1363)</t>
  </si>
  <si>
    <t>Shanghai Environment Group Co. Ltd. Class A(601200)</t>
  </si>
  <si>
    <t>Chongqing Sokon Industry Group Co. Ltd. Class A(601127)</t>
  </si>
  <si>
    <t>Ssangyong Motor Co.(003620)</t>
  </si>
  <si>
    <t>Core Molding Technologies Inc.(CMT)</t>
  </si>
  <si>
    <t>Zhejiang Wanfeng Auto Wheel Co. Ltd. Class A(002085)</t>
  </si>
  <si>
    <t>Luoniushan Co. Ltd. Class A(000735)</t>
  </si>
  <si>
    <t>Dae Han Flour Mills Co. Ltd.(001130)</t>
  </si>
  <si>
    <t>Fujiya Co. Ltd.(2211)</t>
  </si>
  <si>
    <t>Visionox Technology Inc. Class A(002387)</t>
  </si>
  <si>
    <t>C&amp;S Paper Co. Ltd. Class A(002511)</t>
  </si>
  <si>
    <t>Hyundai Livart Furniture Co. Ltd.(079430)</t>
  </si>
  <si>
    <t>Guangzhou Shangpin Home Collection Co. Ltd. Class A(300616)</t>
  </si>
  <si>
    <t>Jason Furniture Hangzhou Co. Ltd. Class A(603816)</t>
  </si>
  <si>
    <t>Shanghai Phoenix Enterprise Group Co. Ltd. Class B(900916)</t>
  </si>
  <si>
    <t>Youzu Interactive Co. Ltd. Class A(002174)</t>
  </si>
  <si>
    <t>YTO Express Group Co. Ltd. Class A(600233)</t>
  </si>
  <si>
    <t>Jiangsu Eastern Shenghong Co. Ltd. Class A(000301)</t>
  </si>
  <si>
    <t>We Solutions Ltd.(860)</t>
  </si>
  <si>
    <t>Li Peng Enterprise Co. Ltd.(1447)</t>
  </si>
  <si>
    <t>Zhejiang Weixing Industrial Development Co. Ltd. Class A(002003)</t>
  </si>
  <si>
    <t>BWX Ltd.(BWX)</t>
  </si>
  <si>
    <t>Virtus Health Ltd.(VRT)</t>
  </si>
  <si>
    <t>Al Hammadi Co. for Development and Investment(4007)</t>
  </si>
  <si>
    <t>Jiangsu Yuyue Medical Equipment &amp; Supply Co. Ltd. Class A(002223)</t>
  </si>
  <si>
    <t>Zosano Pharma Corp.(ZSAN)</t>
  </si>
  <si>
    <t>Millendo Therapeutics Inc.(MLND)</t>
  </si>
  <si>
    <t>Sienna Biopharmaceuticals Inc.(SNNA)</t>
  </si>
  <si>
    <t>Odonate Therapeutics Inc.(ODT)</t>
  </si>
  <si>
    <t>Neon Therapeutics Inc.(NTGN)</t>
  </si>
  <si>
    <t>Menlo Therapeutics Inc.(MNLO)</t>
  </si>
  <si>
    <t>Jointown Pharmaceutical Group Co. Ltd. Class A(600998)</t>
  </si>
  <si>
    <t>Tasly Pharmaceutical Group Co. Ltd. Class A(600535)</t>
  </si>
  <si>
    <t>ST Pharm Co. Ltd.(237690)</t>
  </si>
  <si>
    <t>Huons Global Co. Ltd.(084110)</t>
  </si>
  <si>
    <t>Shenzhen Hepalink Pharmaceutical Group Co. Ltd. Class A(002399)</t>
  </si>
  <si>
    <t>Jilin Aodong Pharmaceutical Group Co. Ltd. Class A(000623)</t>
  </si>
  <si>
    <t>Aprogen pharmaceuticals Inc.(003060)</t>
  </si>
  <si>
    <t>Tianjin Chase Sun Pharmaceutical Co. Ltd. Class A(300026)</t>
  </si>
  <si>
    <t>North China Pharmaceutical Co. Ltd. Class A(600812)</t>
  </si>
  <si>
    <t>Yunnan Hongxiang Yixintang Pharmaceutical Co. Ltd. Class A(002727)</t>
  </si>
  <si>
    <t>Dimed SA Distribuidora da Medicamentos(PNVL3)</t>
  </si>
  <si>
    <t>Halows Co. Ltd.(2742)</t>
  </si>
  <si>
    <t>Kansai Super Market Ltd.(9919)</t>
  </si>
  <si>
    <t>Toho Co. Ltd./Kobe(8142)</t>
  </si>
  <si>
    <t>Sac's Bar Holdings Inc.(9990)</t>
  </si>
  <si>
    <t>J. Jill Inc.(JILL)</t>
  </si>
  <si>
    <t>Tokyo Base Co. Ltd.(3415)</t>
  </si>
  <si>
    <t>Zhejiang Semir Garment Co. Ltd. Class A(002563)</t>
  </si>
  <si>
    <t>Hong Kong Television Network Ltd.(1137)</t>
  </si>
  <si>
    <t>Silver Plaza Group Co. Ltd. Class A(600858)</t>
  </si>
  <si>
    <t>Lifestyle China Group Ltd.(2136)</t>
  </si>
  <si>
    <t>Keiyo Co. Ltd.(8168)</t>
  </si>
  <si>
    <t>Meiko Network Japan Co. Ltd.(4668)</t>
  </si>
  <si>
    <t>Studio Alice Co. Ltd.(2305)</t>
  </si>
  <si>
    <t>Delek Automotive Systems Ltd.(DLEA)</t>
  </si>
  <si>
    <t>Fujian Zhangzhou Development Co. Ltd. Class A(000753)</t>
  </si>
  <si>
    <t>Huayi Brothers Media Corp. Class A(300027)</t>
  </si>
  <si>
    <t>Asian Pay Television Trust(S7OU)</t>
  </si>
  <si>
    <t>Mars Group Holdings Corp.(6419)</t>
  </si>
  <si>
    <t>NH Hotel Group SA(NHH)</t>
  </si>
  <si>
    <t>Yomiuri Land Co. Ltd.(9671)</t>
  </si>
  <si>
    <t>China Quanjude Group Co. Ltd. Class A(002186)</t>
  </si>
  <si>
    <t>Alkaline Water Co. Inc.(WTER)</t>
  </si>
  <si>
    <t>Emei Shan Tourism Co. Ltd. Class A(000888)</t>
  </si>
  <si>
    <t>Axtel SAB de CV(AXTELCPO)</t>
  </si>
  <si>
    <t>Mobile TeleSystems PJSC(MTSS)</t>
  </si>
  <si>
    <t>Guangzhou Hengyun Enterprises Holdings Ltd. Class A(000531)</t>
  </si>
  <si>
    <t>Bestsun Energy Co. Ltd. Class A(600681)</t>
  </si>
  <si>
    <t>Samchully Co. Ltd.(004690)</t>
  </si>
  <si>
    <t>Shenzhen Gas Corp. Ltd. Class A(601139)</t>
  </si>
  <si>
    <t>Sinanen Holdings Co. Ltd.(8132)</t>
  </si>
  <si>
    <t>ERM Power Ltd.(EPW)</t>
  </si>
  <si>
    <t>Syndicate Bank(SYNDIBANK)</t>
  </si>
  <si>
    <t>Permanent TSB Group Holdings plc(IL0A)</t>
  </si>
  <si>
    <t>Luther Burbank Corp.(LBC)</t>
  </si>
  <si>
    <t>Central Bank of India(CENTRALBK)</t>
  </si>
  <si>
    <t>Middlefield Banc Corp.(MBCN)</t>
  </si>
  <si>
    <t>1st Constitution Bancorp(FCCY)</t>
  </si>
  <si>
    <t>Corp Bank(CORPBANK)</t>
  </si>
  <si>
    <t>Union Bankshares Inc./Morrisville VT(UNB)</t>
  </si>
  <si>
    <t>Carolina Trust Bancshares Inc.(CART)</t>
  </si>
  <si>
    <t>First Guaranty Bancshares Inc.(FGBI)</t>
  </si>
  <si>
    <t>Standard AVB Financial Corp.(STND)</t>
  </si>
  <si>
    <t>First United Corp.(FUNC)</t>
  </si>
  <si>
    <t>Oriental Bank of Commerce(ORIENTBANK)</t>
  </si>
  <si>
    <t>Coastal Financial Corp./WA(CCB)</t>
  </si>
  <si>
    <t>Suzhou New District Hi-Tech Industrial Co. Ltd. Class A(600736)</t>
  </si>
  <si>
    <t>Shenzhen Centralcon Investment Holding Co. Ltd. Class A(000042)</t>
  </si>
  <si>
    <t>Sichuan Languang Development Co. Ltd. Class A(600466)</t>
  </si>
  <si>
    <t>Huafa Industrial Co. Ltd. Zhuhai Class A(600325)</t>
  </si>
  <si>
    <t>Glorious Property Holdings Ltd.(845)</t>
  </si>
  <si>
    <t>Goldcrest Co. Ltd.(8871)</t>
  </si>
  <si>
    <t>Beijing Vantone Real Estate Co. Ltd. Class A(600246)</t>
  </si>
  <si>
    <t>Tianjin Guangyu Development Co. Ltd. Class A(000537)</t>
  </si>
  <si>
    <t>CBL &amp; Associates Properties Inc.(CBL)</t>
  </si>
  <si>
    <t>Sotherly Hotels Inc.(SOHO)</t>
  </si>
  <si>
    <t>GCA Corp.(2174)</t>
  </si>
  <si>
    <t>Everbright Securities Co. Ltd.(6178)</t>
  </si>
  <si>
    <t>China Galaxy Securities Co. Ltd. Class A(601881)</t>
  </si>
  <si>
    <t>Hanwha Investment &amp; Securities Co. Ltd.(003530)</t>
  </si>
  <si>
    <t>Huaan Securities Co. Ltd. Class A(600909)</t>
  </si>
  <si>
    <t>Sinolink Securities Co. Ltd. Class A(600109)</t>
  </si>
  <si>
    <t>People.cn Co. Ltd. Class A(603000)</t>
  </si>
  <si>
    <t>Park City Group Inc.(PCYG)</t>
  </si>
  <si>
    <t>China National Software &amp; Service Co. Ltd. Class A(600536)</t>
  </si>
  <si>
    <t>Alfa Financial Software Holdings plc(ALFA)</t>
  </si>
  <si>
    <t>EMCORE Corp.(EMKR)</t>
  </si>
  <si>
    <t>KC Tech Co. Ltd.(281820)</t>
  </si>
  <si>
    <t>Tyntek Corp.(2426)</t>
  </si>
  <si>
    <t>Weltrend Semiconductor(2436)</t>
  </si>
  <si>
    <t>Lingsen Precision Industries Ltd.(2369)</t>
  </si>
  <si>
    <t>CITIC Guoan Information Industry Co. Ltd. Class A(000839)</t>
  </si>
  <si>
    <t>Westone Information Industry Inc. Class A(002268)</t>
  </si>
  <si>
    <t>Shenzhen Sunway Communication Co. Ltd. Class A(300136)</t>
  </si>
  <si>
    <t>Icom Inc.(6820)</t>
  </si>
  <si>
    <t>Gosuncn Technology Group Co. Ltd. Class A(300098)</t>
  </si>
  <si>
    <t>Fiberhome Telecommunication Technologies Co. Ltd. Class A(600498)</t>
  </si>
  <si>
    <t>Hankook Shell Oil Co. Ltd.(002960)</t>
  </si>
  <si>
    <t>Montage Resources Corp.(MR)</t>
  </si>
  <si>
    <t>Motech Industries Inc.(6244)</t>
  </si>
  <si>
    <t>Greattown Holdings Ltd. Class A(600094)</t>
  </si>
  <si>
    <t>Zhejiang Satellite Petrochemical Co. Ltd. Class A(002648)</t>
  </si>
  <si>
    <t>Zhejiang Huafeng Spandex Co. Ltd. Class A(002064)</t>
  </si>
  <si>
    <t>Shandong Hi-Speed Road &amp; Bridge Co. Ltd. Class A(000498)</t>
  </si>
  <si>
    <t>Weihai Guangwei Composites Co. Ltd. Class A(300699)</t>
  </si>
  <si>
    <t>Beijing Sanju Environmental Protection and New Material Co. Ltd. Class A(300072)</t>
  </si>
  <si>
    <t>Lier Chemical Co. Ltd. Class A(002258)</t>
  </si>
  <si>
    <t>ST Corp.(4951)</t>
  </si>
  <si>
    <t>ADAMA Ltd. Class A(000553)</t>
  </si>
  <si>
    <t>Holitech Technology Co. Ltd. Class A(002217)</t>
  </si>
  <si>
    <t>Hubei Xinyangfeng Fertilizer Co. Ltd. Class A(000902)</t>
  </si>
  <si>
    <t>Yifan Pharmaceutical Co. Ltd. Class A(002019)</t>
  </si>
  <si>
    <t>Hubei Dinglong Co. Ltd. Class A(300054)</t>
  </si>
  <si>
    <t>Shandong Chenming Paper Holdings Ltd.(1812)</t>
  </si>
  <si>
    <t>KuangChi Science Ltd.(439)</t>
  </si>
  <si>
    <t>Yunnan Chihong Zinc&amp;Germanium Co. Ltd. Class A(600497)</t>
  </si>
  <si>
    <t>Xinyu Iron &amp; Steel Co. Ltd. Class A(600782)</t>
  </si>
  <si>
    <t>Krakatau Steel Persero Tbk PT(KRAS)</t>
  </si>
  <si>
    <t>Osaka Steel Co. Ltd.(5449)</t>
  </si>
  <si>
    <t>Iskenderun Demir ve Celik AS(ISDMR)</t>
  </si>
  <si>
    <t>Chongqing Iron &amp; Steel Co. Ltd. Class A(601005)</t>
  </si>
  <si>
    <t>Mitsui Matsushima Holdings Co. Ltd.(1518)</t>
  </si>
  <si>
    <t>Guangdong Tapai Group Co. Ltd. Class A(002233)</t>
  </si>
  <si>
    <t>Yahagi Construction Co. Ltd.(1870)</t>
  </si>
  <si>
    <t>Shanghai Construction Group Co. Ltd. Class A(600170)</t>
  </si>
  <si>
    <t>Tokyo Energy &amp; Systems Inc.(1945)</t>
  </si>
  <si>
    <t>Shenzhen Tagen Group Co. Ltd. Class A(000090)</t>
  </si>
  <si>
    <t>Run Long Construction Co. Ltd.(1808)</t>
  </si>
  <si>
    <t>Hokkan Holdings Ltd.(5902)</t>
  </si>
  <si>
    <t>Youlchon Chemical Co. Ltd.(008730)</t>
  </si>
  <si>
    <t>Viohalco SA(VIO)</t>
  </si>
  <si>
    <t>Shanghai Chinafortune Co. Ltd. Class A(600621)</t>
  </si>
  <si>
    <t>SWCC Showa Holdings Co. Ltd.(5805)</t>
  </si>
  <si>
    <t>TBEA Co. Ltd. Class A(600089)</t>
  </si>
  <si>
    <t>China Fiber Optic Network System Group Ltd.(null)</t>
  </si>
  <si>
    <t>Hochiki Corp.(6745)</t>
  </si>
  <si>
    <t>Wuhan Guide Infrared Co. Ltd. Class A(002414)</t>
  </si>
  <si>
    <t>Jiangsu Guoxin Corp. Ltd. Class A(002608)</t>
  </si>
  <si>
    <t>Manitex International Inc.(MNTX)</t>
  </si>
  <si>
    <t>Shenzhen Yinghe Technology Co. Ltd. Class A(300457)</t>
  </si>
  <si>
    <t>Hubei Jumpcan Pharmaceutical Co. Ltd. Class A(600566)</t>
  </si>
  <si>
    <t>Maezawa Kyuso Industries Co. Ltd.(6485)</t>
  </si>
  <si>
    <t>Zhongji Innolight Co. Ltd. Class A(300308)</t>
  </si>
  <si>
    <t>TangShan Port Group Co. Ltd. Class A(601000)</t>
  </si>
  <si>
    <t>Guangdong Provincial Expressway Development Co. Ltd. Class A(000429)</t>
  </si>
  <si>
    <t>Xiamen International Airport Co. Ltd. Class A(600897)</t>
  </si>
  <si>
    <t>Rizhao Port Co. Ltd. Class A(600017)</t>
  </si>
  <si>
    <t>Shenzhen Yan Tian Port Holding Co. Ltd. Class A(000088)</t>
  </si>
  <si>
    <t>Nissin Corp.(9066)</t>
  </si>
  <si>
    <t>StarTek Inc.(SRT)</t>
  </si>
  <si>
    <t>Pronexus Inc.(7893)</t>
  </si>
  <si>
    <t>Tosho Printing Co. Ltd.(7913)</t>
  </si>
  <si>
    <t>Hito Communications Holdings Inc.(4433)</t>
  </si>
  <si>
    <t>World Holdings Co. Ltd.(2429)</t>
  </si>
  <si>
    <t>GEM Co. Ltd. Class A(002340)</t>
  </si>
  <si>
    <t>Aqua Metals Inc.(AQMS)</t>
  </si>
  <si>
    <t>Zhengzhou Yutong Bus Co. Ltd. Class A(600066)</t>
  </si>
  <si>
    <t>China Shipbuilding Industry Group Power Co. Ltd. Class A(600482)</t>
  </si>
  <si>
    <t>Sanden Holdings Corp.(6444)</t>
  </si>
  <si>
    <t>Guizhou Guihang Automotive Components Co. Ltd. Class A(600523)</t>
  </si>
  <si>
    <t>AKWEL(AKW)</t>
  </si>
  <si>
    <t>Shiloh Industries Inc.(SHLO)</t>
  </si>
  <si>
    <t>Muhak Co. Ltd.(033920)</t>
  </si>
  <si>
    <t>Tech-Bank Food Co. Ltd. Class A(002124)</t>
  </si>
  <si>
    <t>Bumitama Agri Ltd.(P8Z)</t>
  </si>
  <si>
    <t>Shandong Yisheng Livestock &amp; Poultry Breeding Co. Ltd. Class A(002458)</t>
  </si>
  <si>
    <t>Tecon Biology Co. Ltd. Class A(002100)</t>
  </si>
  <si>
    <t>Fortune Ng Fung Food Hebei Co. Ltd. Class A(600965)</t>
  </si>
  <si>
    <t>Eagle High Plantations Tbk PT(BWPT)</t>
  </si>
  <si>
    <t>Nippon Beet Sugar Manufacturing Co. Ltd.(2108)</t>
  </si>
  <si>
    <t>AGV Products Corp.(1217)</t>
  </si>
  <si>
    <t>Natural Alternatives International Inc.(NAII)</t>
  </si>
  <si>
    <t>Cuckoo Holdings Co. Ltd.(192400)</t>
  </si>
  <si>
    <t>Shenzhen Fuanna Bedding and Furnishing Co. Ltd. Class A(002327)</t>
  </si>
  <si>
    <t>Ecovacs Robotics Co. Ltd. Class A(603486)</t>
  </si>
  <si>
    <t>Vatti Corp. Ltd. Class A(002035)</t>
  </si>
  <si>
    <t>Beijing Enterprises Medical &amp; Health Group Ltd.(2389)</t>
  </si>
  <si>
    <t>Changhong Meiling Co. Ltd. Class A(000521)</t>
  </si>
  <si>
    <t>Escalade Inc.(ESCA)</t>
  </si>
  <si>
    <t>Ability Enterprise Co. Ltd.(2374)</t>
  </si>
  <si>
    <t>Ourpalm Co. Ltd. Class A(300315)</t>
  </si>
  <si>
    <t>Happinet Corp.(7552)</t>
  </si>
  <si>
    <t>Global Top E-Commerce Co. Ltd. Class A(002640)</t>
  </si>
  <si>
    <t>Sankyo Seiko Co. Ltd.(8018)</t>
  </si>
  <si>
    <t>Lakeland Industries Inc.(LAKE)</t>
  </si>
  <si>
    <t>Toung Loong Textile Manufacturing(4401)</t>
  </si>
  <si>
    <t>Sanyo Shokai Ltd.(8011)</t>
  </si>
  <si>
    <t>elf Beauty Inc.(ELF)</t>
  </si>
  <si>
    <t>Vapotherm Inc.(VAPO)</t>
  </si>
  <si>
    <t>Alphatec Holdings Inc.(ATEC)</t>
  </si>
  <si>
    <t>Matinas BioPharma Holdings Inc.(MTNB)</t>
  </si>
  <si>
    <t>Guangzhou Wondfo Biotech Co. Ltd. Class A(300482)</t>
  </si>
  <si>
    <t>Guizhou Xinbang Pharmaceutical Co. Ltd. Class A(002390)</t>
  </si>
  <si>
    <t>Kamada Ltd.(KMDA)</t>
  </si>
  <si>
    <t>Tibet Rhodiola Pharmaceutical Holding Co. Class A(600211)</t>
  </si>
  <si>
    <t>Hunan Er-Kang Pharmaceutical Co. Ltd. Class A(300267)</t>
  </si>
  <si>
    <t>China National Accord Medicines Corp. Ltd. Class A(000028)</t>
  </si>
  <si>
    <t>SCYNEXIS Inc.(SCYX)</t>
  </si>
  <si>
    <t>Infinity Pharmaceuticals Inc.(INFI)</t>
  </si>
  <si>
    <t>Daikokutenbussan Co. Ltd.(2791)</t>
  </si>
  <si>
    <t>5I5J Holding Group Co. Ltd. Class A(000560)</t>
  </si>
  <si>
    <t>Zhejiang China Commodities City Group Co. Ltd. Class A(600415)</t>
  </si>
  <si>
    <t>Daekyo Co. Ltd.(019680)</t>
  </si>
  <si>
    <t>Asahi Co. Ltd.(3333)</t>
  </si>
  <si>
    <t>Vita Group Ltd.(VTG)</t>
  </si>
  <si>
    <t>Xinhua Winshare Publishing and Media Co. Ltd.(811)</t>
  </si>
  <si>
    <t>Phoenix Media Investment Holdings Ltd.(2008)</t>
  </si>
  <si>
    <t>Chinese Universe Publishing and Media Group Co. Ltd. Class A(600373)</t>
  </si>
  <si>
    <t>Spring Airlines Co. Ltd. Class A(601021)</t>
  </si>
  <si>
    <t>AirAsia X Bhd.(AAX)</t>
  </si>
  <si>
    <t>Kanagawa Chuo Kotsu Co. Ltd.(9081)</t>
  </si>
  <si>
    <t>Guilin Tourism Co. Ltd. Class A(000978)</t>
  </si>
  <si>
    <t>BTG Hotels Group Co. Ltd. Class A(600258)</t>
  </si>
  <si>
    <t>Huangshan Tourism Development Co. Ltd. Class A(600054)</t>
  </si>
  <si>
    <t>Alaska Communications Systems Group Inc.(ALSK)</t>
  </si>
  <si>
    <t>MTI Ltd.(9438)</t>
  </si>
  <si>
    <t>Globalstar Inc.(GSAT)</t>
  </si>
  <si>
    <t>Guangdong Baolihua New Energy Stock Co. Ltd. Class A(000690)</t>
  </si>
  <si>
    <t>Top Energy Co. Ltd. Shanxi Class A(600780)</t>
  </si>
  <si>
    <t>CGN New Energy Holdings Co. Ltd.(1811)</t>
  </si>
  <si>
    <t>North Bangkok Power Plant Block 1 Infrastructure Fund - EGAT(EGATIF)</t>
  </si>
  <si>
    <t>Level One Bancorp Inc.(LEVL)</t>
  </si>
  <si>
    <t>Hawthorn Bancshares Inc.(HWBK)</t>
  </si>
  <si>
    <t>Thanachart Capital PCL(TCAP-F)</t>
  </si>
  <si>
    <t>PDL Community Bancorp(PDLB)</t>
  </si>
  <si>
    <t>SB Financial Group Inc.(SBFG)</t>
  </si>
  <si>
    <t>Jimoto Holdings Inc.(7161)</t>
  </si>
  <si>
    <t>Kita-Nippon Bank Ltd.(8551)</t>
  </si>
  <si>
    <t>Indian Overseas Bank(IOB)</t>
  </si>
  <si>
    <t>Provident Bancorp Inc.(PVBC)</t>
  </si>
  <si>
    <t>Greene County Bancorp Inc.(GCBC)</t>
  </si>
  <si>
    <t>Aksigorta AS(AKGRT)</t>
  </si>
  <si>
    <t>Shanghai Tianchen Co. Ltd. Class A(600620)</t>
  </si>
  <si>
    <t>Shanghai Lujiazui Finance &amp; Trade Zone Development Co. Ltd. Class A(600663)</t>
  </si>
  <si>
    <t>Beijing Capital Development Co. Ltd. Class A(600376)</t>
  </si>
  <si>
    <t>Rich Development Co. Ltd.(5512)</t>
  </si>
  <si>
    <t>Housing Development &amp; Infrastructure Ltd.(HDIL)</t>
  </si>
  <si>
    <t>Beijing Electronic Zone Investment and Development Co. Ltd. Class A(600658)</t>
  </si>
  <si>
    <t>Metro Land Corp. Ltd. Class A(600683)</t>
  </si>
  <si>
    <t>China World Trade Center Co. Ltd. Class A(600007)</t>
  </si>
  <si>
    <t>Plymouth Industrial REIT Inc.(PLYM)</t>
  </si>
  <si>
    <t>Associated Capital Group Inc. Class A(AC)</t>
  </si>
  <si>
    <t>MoneyGram International Inc.(MGI)</t>
  </si>
  <si>
    <t>IFCI Ltd.(IFCI)</t>
  </si>
  <si>
    <t>Jiangsu Financial Leasing Co. Ltd. Class A(600901)</t>
  </si>
  <si>
    <t>Pacific Securities Co. Ltd. China Class A(601099)</t>
  </si>
  <si>
    <t>Shanghai AJ Group Co. Ltd. Class A(600643)</t>
  </si>
  <si>
    <t>Ashford Inc.(AINC)</t>
  </si>
  <si>
    <t>Kyobo Securities Co. Ltd.(030610)</t>
  </si>
  <si>
    <t>Caitong Securities Co. Ltd. Class A(601108)</t>
  </si>
  <si>
    <t>Medical Data Vision Co. Ltd.(3902)</t>
  </si>
  <si>
    <t>Shenghe Resources Holding Co. Ltd. Class A(600392)</t>
  </si>
  <si>
    <t>Hakim Unique Internet Co. Ltd. Class A(300300)</t>
  </si>
  <si>
    <t>Newland Digital Technology Co. Ltd. Class A(000997)</t>
  </si>
  <si>
    <t>Hancom Inc.(030520)</t>
  </si>
  <si>
    <t>Shandong New Beiyang Information Technology Co. Ltd. Class A(002376)</t>
  </si>
  <si>
    <t>Sindoh Co. Ltd.(029530)</t>
  </si>
  <si>
    <t>SFA Semicon Co. Ltd.(036540)</t>
  </si>
  <si>
    <t>Everspin Technologies Inc.(MRAM)</t>
  </si>
  <si>
    <t>Tianshui Huatian Technology Co. Ltd. Class A(002185)</t>
  </si>
  <si>
    <t>Jiangsu Changjiang Electronics Technology Co. Ltd. Class A(600584)</t>
  </si>
  <si>
    <t>Guangzhou Haige Communications Group Inc. Co. Class A(002465)</t>
  </si>
  <si>
    <t>INTOPS Co. Ltd.(049070)</t>
  </si>
  <si>
    <t>Wuhan Yangtze Communications Industry Group Co. Ltd. Class A(600345)</t>
  </si>
  <si>
    <t>Karoon Energy Ltd.(KAR)</t>
  </si>
  <si>
    <t>VAALCO Energy Inc.(EGY)</t>
  </si>
  <si>
    <t>Contango Oil &amp; Gas Co.(MCF)</t>
  </si>
  <si>
    <t>Liquefied Natural Gas Ltd.(LNG)</t>
  </si>
  <si>
    <t>Petroleo Brasileiro SA ADR(PBR)</t>
  </si>
  <si>
    <t>Yunnan Coal &amp; Energy Co. Ltd. Class A(600792)</t>
  </si>
  <si>
    <t>Minmetals Capital Co. Ltd. Class A(600390)</t>
  </si>
  <si>
    <t>Anhui Jinhe Industrial Co. Ltd. Class A(002597)</t>
  </si>
  <si>
    <t>Hangzhou First Applied Material Co. Ltd. Class A(603806)</t>
  </si>
  <si>
    <t>Inner Mongolia Yuan Xing Energy Co. Ltd. Class A(000683)</t>
  </si>
  <si>
    <t>Jiangsu Yangnong Chemical Co. Ltd. Class A(600486)</t>
  </si>
  <si>
    <t>Zhejiang Xinan Chemical Industrial Group Co. Ltd. Class A(600596)</t>
  </si>
  <si>
    <t>Zhejiang Juhua Co. Ltd. Class A(600160)</t>
  </si>
  <si>
    <t>Shanghai Pret Composites Co. Ltd. Class A(002324)</t>
  </si>
  <si>
    <t>Sinoma Science &amp; Technology Co. Ltd. Class A(002080)</t>
  </si>
  <si>
    <t>Shanghai Bairun Investment Holding Group Co. Ltd. Class A(002568)</t>
  </si>
  <si>
    <t>Kolon Corp.(002020)</t>
  </si>
  <si>
    <t>Shenzhen Capchem Technology Co. Ltd. Class A(300037)</t>
  </si>
  <si>
    <t>Okura Industrial Co. Ltd.(4221)</t>
  </si>
  <si>
    <t>Shandong Sun Paper Industry JSC Ltd. Class A(002078)</t>
  </si>
  <si>
    <t>Mitsubishi Paper Mills Ltd.(3864)</t>
  </si>
  <si>
    <t>Hansol Holdings Co. Ltd.(004150)</t>
  </si>
  <si>
    <t>Jiangsu Asia-Pacific Light Alloy Technology Co. Ltd. Class A(002540)</t>
  </si>
  <si>
    <t>Godo Steel Ltd.(5410)</t>
  </si>
  <si>
    <t>Guangdong Hongda Blasting Co. Ltd. Class A(002683)</t>
  </si>
  <si>
    <t>New Gold Inc.(NGD)</t>
  </si>
  <si>
    <t>Zhongjin Gold Corp. Ltd. Class A(600489)</t>
  </si>
  <si>
    <t>Semen Baturaja Persero TBK PT(SMBR)</t>
  </si>
  <si>
    <t>CEMEX Holdings Philippines Inc.(CHP)</t>
  </si>
  <si>
    <t>China Electric Manufacturing Corp.(1611)</t>
  </si>
  <si>
    <t>Nihon Tokushu Toryo Co. Ltd.(4619)</t>
  </si>
  <si>
    <t>Space Value Holdings Co. Ltd.(1448)</t>
  </si>
  <si>
    <t>Tibet Tianlu Co. Ltd. Class A(600326)</t>
  </si>
  <si>
    <t>China Gezhouba Group Co. Ltd. Class A(600068)</t>
  </si>
  <si>
    <t>Orion Group Holdings Inc.(ORN)</t>
  </si>
  <si>
    <t>Jaiprakash Associates Ltd.(JPASSOCIAT)</t>
  </si>
  <si>
    <t>CPI Aerostructures Inc.(CVU)</t>
  </si>
  <si>
    <t>Arotech Corp.(ARTX)</t>
  </si>
  <si>
    <t>Tomoku Co. Ltd.(3946)</t>
  </si>
  <si>
    <t>Bera Holding AS(BERA)</t>
  </si>
  <si>
    <t>Suzhou Chunxing Precision Mechanical Co. Ltd. Class A(002547)</t>
  </si>
  <si>
    <t>Sieyuan Electric Co. Ltd. Class A(002028)</t>
  </si>
  <si>
    <t>Wuhu Token Science Co. Ltd. Class A(300088)</t>
  </si>
  <si>
    <t>Tatsuta Electric Wire and Cable Co. Ltd.(5809)</t>
  </si>
  <si>
    <t>Frequency Electronics Inc.(FEIM)</t>
  </si>
  <si>
    <t>Guoxuan High-Tech Co. Ltd.(002074)</t>
  </si>
  <si>
    <t>Shanghai Zhixin Electric Co. Ltd. Class A(600517)</t>
  </si>
  <si>
    <t>Guangdong Goworld Co. Ltd. Class A(000823)</t>
  </si>
  <si>
    <t>Kung Long Batteries Industrial Co. Ltd.(1537)</t>
  </si>
  <si>
    <t>MicroVision Inc.(MVIS)</t>
  </si>
  <si>
    <t>Hakuto Co. Ltd.(7433)</t>
  </si>
  <si>
    <t>Sintex Plastics Technology Ltd.(SPTL)</t>
  </si>
  <si>
    <t>HyUnion Holding Co. Ltd. Class A(002537)</t>
  </si>
  <si>
    <t>Zhejiang Jingsheng Mechanical &amp; Electrical Co. Ltd. Class A(300316)</t>
  </si>
  <si>
    <t>Harbin Boshi Automation Co. Ltd. Class A(002698)</t>
  </si>
  <si>
    <t>Zuiko Corp.(6279)</t>
  </si>
  <si>
    <t>Hangzhou Advance Gearbox Group Co. Ltd. Class A(601177)</t>
  </si>
  <si>
    <t>Hyundai Corp.(011760)</t>
  </si>
  <si>
    <t>Hangzhou Weiguang Electronic Co. Ltd. Class A(002801)</t>
  </si>
  <si>
    <t>Hunan Jingfeng Pharmaceutical Co. Ltd. Class A(000908)</t>
  </si>
  <si>
    <t>TK Corp.(023160)</t>
  </si>
  <si>
    <t>Eusu Holdings Co. Ltd.(000700)</t>
  </si>
  <si>
    <t>Shibusawa Warehouse Co. Ltd.(9304)</t>
  </si>
  <si>
    <t>Yingkou Port Liability Co. Ltd. Class A(600317)</t>
  </si>
  <si>
    <t>Evergreen International Storage &amp; Transport Corp.(2607)</t>
  </si>
  <si>
    <t>Gateway Distriparks Ltd.(GDL)</t>
  </si>
  <si>
    <t>Tianjin Port Development Holdings Ltd.(3382)</t>
  </si>
  <si>
    <t>Weathernews Inc.(4825)</t>
  </si>
  <si>
    <t>Tus-Sound Environmental Resources Co. Ltd. Class A(000826)</t>
  </si>
  <si>
    <t>Berry Genomics Co. Ltd. Class A(000710)</t>
  </si>
  <si>
    <t>Fangda Special Steel Technology Co. Ltd. Class A(600507)</t>
  </si>
  <si>
    <t>Fuyao Glass Industry Group Co. Ltd.(3606)</t>
  </si>
  <si>
    <t>Changchun Faway Automobile Components Co. Ltd. Class A(600742)</t>
  </si>
  <si>
    <t>IKD Co. Ltd. Class A(600933)</t>
  </si>
  <si>
    <t>Guangzhou Zhujiang Brewery Co. Ltd. Class A(002461)</t>
  </si>
  <si>
    <t>National Agriculture Development Co.(6010)</t>
  </si>
  <si>
    <t>Hunan Dakang International Food &amp; Agriculture Co. Ltd. Class A(002505)</t>
  </si>
  <si>
    <t>Qiaqia Food Co. Ltd. Class A(002557)</t>
  </si>
  <si>
    <t>Guangdong Vanward New Electric Co. Ltd. Class A(002543)</t>
  </si>
  <si>
    <t>Guangdong Xinbao Electrical Appliances Holdings Co. Ltd. Class A(002705)</t>
  </si>
  <si>
    <t>China Strategic Holdings Ltd.(235)</t>
  </si>
  <si>
    <t>Oriental Weavers(ORWE)</t>
  </si>
  <si>
    <t>Homecast Co. Ltd.(064240)</t>
  </si>
  <si>
    <t>Huafon Microfibre Shanghai Co. Ltd. Class A(300180)</t>
  </si>
  <si>
    <t>Chori Co. Ltd.(8014)</t>
  </si>
  <si>
    <t>Fujian Funeng Co. Ltd. Class A(600483)</t>
  </si>
  <si>
    <t>Fiyta Holdings Ltd. Class A(000026)</t>
  </si>
  <si>
    <t>Zhejiang Orient Financial Holdings Group Co. Ltd. Class A(600120)</t>
  </si>
  <si>
    <t>Geox SPA(GEO)</t>
  </si>
  <si>
    <t>Catasys Inc.(CATS)</t>
  </si>
  <si>
    <t>Beijing Bohui Innovation Biotechnology Co. Ltd. Class A(300318)</t>
  </si>
  <si>
    <t>Blue Sail Medical Co. Ltd. Class A(002382)</t>
  </si>
  <si>
    <t>Chimerix Inc.(CMRX)</t>
  </si>
  <si>
    <t>Spring Bank Pharmaceuticals Inc.(SBPH)</t>
  </si>
  <si>
    <t>Aptinyx Inc.(APTX)</t>
  </si>
  <si>
    <t>Cell Biotech Co. Ltd.(049960)</t>
  </si>
  <si>
    <t>Evelo Biosciences Inc.(EVLO)</t>
  </si>
  <si>
    <t>Enochian Biosciences Inc.(ENOB)</t>
  </si>
  <si>
    <t>Cue Biopharma Inc.(CUE)</t>
  </si>
  <si>
    <t>Guangdong Taiantang Pharmaceutical Co. Ltd. Class A(002433)</t>
  </si>
  <si>
    <t>Akorn Inc.(AKRX)</t>
  </si>
  <si>
    <t>Adamis Pharmaceuticals Corp.(ADMP)</t>
  </si>
  <si>
    <t>Northeast Pharmaceutical Group Co. Ltd. Class A(000597)</t>
  </si>
  <si>
    <t>Guangxi Wuzhou Zhongheng Group Co. Ltd. Class A(600252)</t>
  </si>
  <si>
    <t>Huapont Life Sciences Co. Ltd. Class A(002004)</t>
  </si>
  <si>
    <t>Sunflower Pharmaceutical Group Co. Ltd. Class A(002737)</t>
  </si>
  <si>
    <t>Zhejiang Yatai Pharmaceutical Co. Ltd. Class A(002370)</t>
  </si>
  <si>
    <t>Jiangsu Nhwa Pharmaceutical Co. Ltd. Class A(002262)</t>
  </si>
  <si>
    <t>Zhejiang Xianju Pharmaceutical Co. Ltd. Class A(002332)</t>
  </si>
  <si>
    <t>BeijingHualian Hypermarket Co. Ltd. Class A(600361)</t>
  </si>
  <si>
    <t>Tsutsumi Jewelry Co. Ltd.(7937)</t>
  </si>
  <si>
    <t>Fawaz Abdulaziz Al Hokair &amp; Co.(4240)</t>
  </si>
  <si>
    <t>Destination XL Group Inc.(DXLG)</t>
  </si>
  <si>
    <t>Guangzhou Yuexiu Financial Holdings Group Co. Ltd. Class A(000987)</t>
  </si>
  <si>
    <t>Maoye Commericial Co. Ltd. Class A(600828)</t>
  </si>
  <si>
    <t>Kirkland's Inc.(KIRK)</t>
  </si>
  <si>
    <t>Jiangsu Broadcasting Cable Information Network Corp. Ltd. Class A(600959)</t>
  </si>
  <si>
    <t>KT Skylife Co. Ltd.(053210)</t>
  </si>
  <si>
    <t>Cellumed Co. Ltd.(049180)</t>
  </si>
  <si>
    <t>Bluefocus Intelligent Communications Group Co. Ltd. Class A(300058)</t>
  </si>
  <si>
    <t>Xinhuanet Co. Ltd. Class A(603888)</t>
  </si>
  <si>
    <t>Rizzoli Corriere Della Sera Mediagroup SPA(RCS)</t>
  </si>
  <si>
    <t>JP-Holdings Inc.(2749)</t>
  </si>
  <si>
    <t>Travelzoo(TZOO)</t>
  </si>
  <si>
    <t>Guangshen Railway Co. Ltd. Class A(601333)</t>
  </si>
  <si>
    <t>CESC Ventures Ltd.(CESCVENT)</t>
  </si>
  <si>
    <t>Panda Green Energy Group Ltd.(686)</t>
  </si>
  <si>
    <t>ALBIOMA PRIME FIDELITE COMMON STOCK(null)</t>
  </si>
  <si>
    <t>Shanghai Dazhong Public Utilities Group Co. Ltd. Class A(600635)</t>
  </si>
  <si>
    <t>Changchunjingkai Group Co. Ltd. Class A(600215)</t>
  </si>
  <si>
    <t>Luenmei Quantum Co. Ltd. Class A(600167)</t>
  </si>
  <si>
    <t>VA Tech Wabag Ltd.(WABAG)</t>
  </si>
  <si>
    <t>HopFed Bancorp Inc.(HFBC)</t>
  </si>
  <si>
    <t>Plumas Bancorp(PLBC)</t>
  </si>
  <si>
    <t>OP Bancorp(OPBK)</t>
  </si>
  <si>
    <t>Shimizu Bank Ltd.(8364)</t>
  </si>
  <si>
    <t>Two River Bancorp(TRCB)</t>
  </si>
  <si>
    <t>Tsukuba Bank Ltd.(8338)</t>
  </si>
  <si>
    <t>Bank7 Corp.(BSVN)</t>
  </si>
  <si>
    <t>China Merchants Land Ltd.(978)</t>
  </si>
  <si>
    <t>LOG Commercial Properties e Participacoes SA(LOGG3)</t>
  </si>
  <si>
    <t>Huang Hsiang Construction Corp.(2545)</t>
  </si>
  <si>
    <t>Yang Guang Co. Ltd. Class A(000608)</t>
  </si>
  <si>
    <t>Cinda Real Estate Co. Ltd. Class A(600657)</t>
  </si>
  <si>
    <t>Maui Land &amp; Pineapple Co. Inc.(MLP)</t>
  </si>
  <si>
    <t>DeA Capital SPA(DEA)</t>
  </si>
  <si>
    <t>Concord Securities Co. Ltd.(6016)</t>
  </si>
  <si>
    <t>Eugene Investment &amp; Securities Co. Ltd.(001200)</t>
  </si>
  <si>
    <t>Guangdong Golden Dragon Development Inc. Class A(000712)</t>
  </si>
  <si>
    <t>B-Soft Co. Ltd. Class A(300451)</t>
  </si>
  <si>
    <t>Exela Technologies Inc.(XELA)</t>
  </si>
  <si>
    <t>Sangfor Technologies Inc. Class A(300454)</t>
  </si>
  <si>
    <t>Ateam Inc.(3662)</t>
  </si>
  <si>
    <t>NetSol Technologies Inc.(NTWK)</t>
  </si>
  <si>
    <t>Beijing Kunlun Tech Co. Ltd. Class A(300418)</t>
  </si>
  <si>
    <t>Intelligent Systems Corp.(INS)</t>
  </si>
  <si>
    <t>Great Elm Capital Group Inc.(GEC)</t>
  </si>
  <si>
    <t>NEC Capital Solutions Ltd.(8793)</t>
  </si>
  <si>
    <t>Wonik Holdings Co. Ltd.(030530)</t>
  </si>
  <si>
    <t>Hangzhou Silan Microelectronics Co. Ltd. Class A(600460)</t>
  </si>
  <si>
    <t>Senao International Co. Ltd.(2450)</t>
  </si>
  <si>
    <t>Shenzhen SDG Information Co. Ltd. Class A(000070)</t>
  </si>
  <si>
    <t>Zinwell Corp.(2485)</t>
  </si>
  <si>
    <t>LRAD Corp.(LRAD)</t>
  </si>
  <si>
    <t>Sunsea AIoT Technology Co. Ltd. Class A(002313)</t>
  </si>
  <si>
    <t>DASAN Zhone Solutions Inc.(DZSI)</t>
  </si>
  <si>
    <t>Comstock Resources Inc.(CRK)</t>
  </si>
  <si>
    <t>Isramco Inc.(ISRL)</t>
  </si>
  <si>
    <t>Adams Resources &amp; Energy Inc.(AE)</t>
  </si>
  <si>
    <t>Lonestar Resources US Inc. Class A(LONE)</t>
  </si>
  <si>
    <t>Guanghui Energy Co. Ltd. Class A(600256)</t>
  </si>
  <si>
    <t>Sinopec Oilfield Service Corp. Class A(600871)</t>
  </si>
  <si>
    <t>CropEnergies AG(CE2)</t>
  </si>
  <si>
    <t>Xinjiang Zhongtai Chemical Co. Ltd. Class A(002092)</t>
  </si>
  <si>
    <t>Fujikura Kasei Co. Ltd.(4620)</t>
  </si>
  <si>
    <t>Hodogaya Chemical Co. Ltd.(4112)</t>
  </si>
  <si>
    <t>Shanghai Milkground Food Tech Co. Ltd. Class A(600882)</t>
  </si>
  <si>
    <t>Shanghai Putailai New Energy Technology Co. Ltd. Class A(603659)</t>
  </si>
  <si>
    <t>Zhejiang Runtu Co. Ltd. Class A(002440)</t>
  </si>
  <si>
    <t>Kordsa Teknik Tekstil AS(KORDS)</t>
  </si>
  <si>
    <t>Qinghai Salt Lake Industry Co. Ltd. Class A(000792)</t>
  </si>
  <si>
    <t>Chung Hwa Pulp Corp.(1905)</t>
  </si>
  <si>
    <t>Xiamen Tungsten Co. Ltd. Class A(600549)</t>
  </si>
  <si>
    <t>Jiangxi Copper Co. Ltd. Class A(600362)</t>
  </si>
  <si>
    <t>Nanjing Hanrui Cobalt Co. Ltd. Class A(300618)</t>
  </si>
  <si>
    <t>Anhui Honglu Steel Construction Group Co. Ltd. Class A(002541)</t>
  </si>
  <si>
    <t>Chun Yuan Steel(2010)</t>
  </si>
  <si>
    <t>Maanshan Iron &amp; Steel Co. Ltd. Class A(600808)</t>
  </si>
  <si>
    <t>Tokyo Rope Manufacturing Co. Ltd.(5981)</t>
  </si>
  <si>
    <t>Nippon Coke &amp; Engineering Co. Ltd.(3315)</t>
  </si>
  <si>
    <t>Gansu Jingyuan Coal Industry and Electricity Power Co. Ltd. Class A(000552)</t>
  </si>
  <si>
    <t>Guizhou Panjiang Refined Coal Co. Ltd. Class A(600395)</t>
  </si>
  <si>
    <t>Shanxi Lu'an Environmental Energy Development Co. Ltd. Class A(601699)</t>
  </si>
  <si>
    <t>City Cement Co.(3003)</t>
  </si>
  <si>
    <t>Hongrun Construction Group Co. Ltd. Class A(002062)</t>
  </si>
  <si>
    <t>Boustead Singapore Ltd.(F9D)</t>
  </si>
  <si>
    <t>Kitano Construction Corp.(1866)</t>
  </si>
  <si>
    <t>China Communications Construction Co. Ltd. Class A(601800)</t>
  </si>
  <si>
    <t>Toyo Engineering Corp.(6330)</t>
  </si>
  <si>
    <t>Goldfield Corp.(GV)</t>
  </si>
  <si>
    <t>Sumitomo Precision Products Co. Ltd.(6355)</t>
  </si>
  <si>
    <t>Anhui Sun-Create Electronics Co. Ltd. Class A(600990)</t>
  </si>
  <si>
    <t>Shantou Dongfeng Printing Co. Ltd. Class A(601515)</t>
  </si>
  <si>
    <t>Nihon Yamamura Glass Co. Ltd.(5210)</t>
  </si>
  <si>
    <t>Shenzhen Jinjia Group Co. Ltd. Class A(002191)</t>
  </si>
  <si>
    <t>Shandong Xinchao Energy Corp. Ltd. Class A(600777)</t>
  </si>
  <si>
    <t>Jonjee Hi-Tech Industrial And Commercial Holding Co. Ltd. Class A(600872)</t>
  </si>
  <si>
    <t>Create Technology &amp; Science Co. Ltd. Class A(000551)</t>
  </si>
  <si>
    <t>Qingdao Hanhe Cable Co. Ltd. Class A(002498)</t>
  </si>
  <si>
    <t>Guangzhou Shiyuan Electronic Technology Co. Ltd. Class A(002841)</t>
  </si>
  <si>
    <t>RS Technologies Co. Ltd.(3445)</t>
  </si>
  <si>
    <t>Interflex Co. Ltd.(051370)</t>
  </si>
  <si>
    <t>Phihong Technology Co. Ltd.(2457)</t>
  </si>
  <si>
    <t>FSP Technology Inc.(3015)</t>
  </si>
  <si>
    <t>Zhejiang Crystal-Optech Co. Ltd. Class A(002273)</t>
  </si>
  <si>
    <t>Hengdian Group DMEGC Magnetics Co. Ltd. Class A(002056)</t>
  </si>
  <si>
    <t>Hangzhou Century Co. Ltd. Class A(300078)</t>
  </si>
  <si>
    <t>Vidente Co. Ltd.(121800)</t>
  </si>
  <si>
    <t>Huagong Tech Co. Ltd. Class A(000988)</t>
  </si>
  <si>
    <t>Haulotte Group SA(PIG)</t>
  </si>
  <si>
    <t>Turk Traktor ve Ziraat Makineleri AS(TTRAK)</t>
  </si>
  <si>
    <t>Kunming Yunnei Power Co. Ltd. Class A(000903)</t>
  </si>
  <si>
    <t>Square Technology Group Co. Ltd. Class A(603339)</t>
  </si>
  <si>
    <t>Fujian Longking Co. Ltd. Class A(600388)</t>
  </si>
  <si>
    <t>Maezawa Kasei Industries Co. Ltd.(7925)</t>
  </si>
  <si>
    <t>Wuxi Huadong Heavy Machinery Co. Ltd. Class A(002685)</t>
  </si>
  <si>
    <t>Xi'An Shaangu Power Co. Ltd. Class A(601369)</t>
  </si>
  <si>
    <t>Hangzhou Hangyang Co. Ltd. Class A(002430)</t>
  </si>
  <si>
    <t>Guangzhou Port Co. Ltd. Class A(601228)</t>
  </si>
  <si>
    <t>Shandong Hi-speed Co. Ltd. Class A(600350)</t>
  </si>
  <si>
    <t>Sino GeoPhysical Co. Ltd. Class A(300191)</t>
  </si>
  <si>
    <t>PFSweb Inc.(PFSW)</t>
  </si>
  <si>
    <t>Universal Technical Institute Inc.(UTI)</t>
  </si>
  <si>
    <t>Meidu Energy Corp. Class A(600175)</t>
  </si>
  <si>
    <t>Zhejiang Weiming Environment Protection Co. Ltd. Class A(603568)</t>
  </si>
  <si>
    <t>DongFeng Automobile Co. Ltd. Class A(600006)</t>
  </si>
  <si>
    <t>Easysight Supply Chain Management Co. Ltd. Class A(600093)</t>
  </si>
  <si>
    <t>Shanghai Aerospace Automobile Electromechanical Co. Ltd. Class A(600151)</t>
  </si>
  <si>
    <t>Zhejiang Wanliyang Co. Ltd. Class A(002434)</t>
  </si>
  <si>
    <t>Chuo Spring Co. Ltd.(5992)</t>
  </si>
  <si>
    <t>Hybrid Kinetic Group Ltd.(1188)</t>
  </si>
  <si>
    <t>Wanxiang Qianchao Co. Ltd. Class A(000559)</t>
  </si>
  <si>
    <t>S&amp;T Dynamics Co. Ltd.(003570)</t>
  </si>
  <si>
    <t>Ningxia Western Venture Industrial Co. Ltd. Class A(000557)</t>
  </si>
  <si>
    <t>Anhui Kouzi Distillery Co. Ltd. Class A(603589)</t>
  </si>
  <si>
    <t>Reed's Inc.(REED)</t>
  </si>
  <si>
    <t>Shandong Minhe Animal Husbandry Co. Ltd. Class A(002234)</t>
  </si>
  <si>
    <t>Toly Bread Co. Ltd. Class A(603866)</t>
  </si>
  <si>
    <t>Celsius Holdings Inc.(CELH)</t>
  </si>
  <si>
    <t>RiceBran Technologies(RIBT)</t>
  </si>
  <si>
    <t>Nature's Sunshine Products Inc.(NATR)</t>
  </si>
  <si>
    <t>Zhejiang Meida Industrial Co. Ltd. Class A(002677)</t>
  </si>
  <si>
    <t>Corona Corp. Class A(5909)</t>
  </si>
  <si>
    <t>Hunan Mendale Hometextile Co. Ltd. Class A(002397)</t>
  </si>
  <si>
    <t>Yatas Yatak ve Yorgan Sanayi ve Ticaret AS(YATAS)</t>
  </si>
  <si>
    <t>Markor International Home Furnishings Co. Ltd. Class A(600337)</t>
  </si>
  <si>
    <t>Legacy Housing Corp.(LEGH)</t>
  </si>
  <si>
    <t>Misawa Homes Co. Ltd.(1722)</t>
  </si>
  <si>
    <t>COSON Co. Ltd.(069110)</t>
  </si>
  <si>
    <t>Camping World Holdings Inc. Class A(CWH)</t>
  </si>
  <si>
    <t>Neowiz(095660)</t>
  </si>
  <si>
    <t>G-bits Network Technology Xiamen Co. Ltd. Class A(603444)</t>
  </si>
  <si>
    <t>Baoxiniao Holding Co. Ltd. Class A(002154)</t>
  </si>
  <si>
    <t>Bros Eastern Co. Ltd. Class A(601339)</t>
  </si>
  <si>
    <t>Anhui Korrun Co. Ltd. Class A(300577)</t>
  </si>
  <si>
    <t>Huafu Fashion Co. Ltd. Class A(002042)</t>
  </si>
  <si>
    <t>Changjiang Publishing &amp; Media Co. Ltd. Class A(600757)</t>
  </si>
  <si>
    <t>Anhui Huamao Textile Co. Class A(000850)</t>
  </si>
  <si>
    <t>Honeys Holdings Co. Ltd.(2792)</t>
  </si>
  <si>
    <t>Jiangsu Sunshine Co. Ltd. Class A(600220)</t>
  </si>
  <si>
    <t>Luolai Lifestyle Technology Co. Ltd. Class A(002293)</t>
  </si>
  <si>
    <t>Forus SA(FORUS)</t>
  </si>
  <si>
    <t>American Renal Associates Holdings Inc.(ARA)</t>
  </si>
  <si>
    <t>Genesis Healthcare Inc.(GEN)</t>
  </si>
  <si>
    <t>National Medical Care Co.(4005)</t>
  </si>
  <si>
    <t>Shin Nippon Biomedical Laboratories Ltd.(2395)</t>
  </si>
  <si>
    <t>Sinocare Inc.(300298)</t>
  </si>
  <si>
    <t>Sensus Healthcare Inc.(SRTS)</t>
  </si>
  <si>
    <t>Pihsiang Machinery Manufacturing Co. Ltd.(1729)</t>
  </si>
  <si>
    <t>Lutronic Corp.(085370)</t>
  </si>
  <si>
    <t>CMIC Holdings Co. Ltd.(2309)</t>
  </si>
  <si>
    <t>Shanghai Kinetic Medical Co. Ltd. Class A(300326)</t>
  </si>
  <si>
    <t>Selecta Biosciences Inc.(SELB)</t>
  </si>
  <si>
    <t>Zafgen Inc.(ZFGN)</t>
  </si>
  <si>
    <t>Beijing SL Pharmaceutical Co. Ltd. Class A(002038)</t>
  </si>
  <si>
    <t>Jinyu Bio-Technology Co. Ltd. Class A(600201)</t>
  </si>
  <si>
    <t>Otonomy Inc.(OTIC)</t>
  </si>
  <si>
    <t>Fortress Biotech Inc.(FBIO)</t>
  </si>
  <si>
    <t>Liquidia Technologies Inc.(LQDA)</t>
  </si>
  <si>
    <t>Surface Oncology Inc.(SURF)</t>
  </si>
  <si>
    <t>Dova Pharmaceuticals Inc.(DOVA)</t>
  </si>
  <si>
    <t>Verastem Inc.(VSTM)</t>
  </si>
  <si>
    <t>HTG Molecular Diagnostics Inc.(HTGM)</t>
  </si>
  <si>
    <t>Catabasis Pharmaceuticals Inc.(CATB)</t>
  </si>
  <si>
    <t>Shenzhen Neptunus Bioengineering Co. Ltd. Class A(000078)</t>
  </si>
  <si>
    <t>Jilin Zixin Pharmaceutical Industrial Co. Ltd. Class A(002118)</t>
  </si>
  <si>
    <t>Laobaixing Pharmacy Chain JSC Class A(603883)</t>
  </si>
  <si>
    <t>Stallergenes Greer plc(STAGR)</t>
  </si>
  <si>
    <t>Anavex Life Sciences Corp.(AVXL)</t>
  </si>
  <si>
    <t>Samsung Pharmaceutical Co. Ltd.(001360)</t>
  </si>
  <si>
    <t>Renhe Pharmacy Co. Ltd. Class A(000650)</t>
  </si>
  <si>
    <t>Jiuzhitang Co. Ltd. Class A(000989)</t>
  </si>
  <si>
    <t>Shanghai Shyndec Pharmaceutical Co. Ltd. Class A(600420)</t>
  </si>
  <si>
    <t>Zhejiang Huahai Pharmaceutical Co. Ltd. Class A(600521)</t>
  </si>
  <si>
    <t>Guangdong Zhongsheng Pharmaceutical Co. Ltd. Class A(002317)</t>
  </si>
  <si>
    <t>Tianjin ZhongXin Pharmaceutical Group Corp. Ltd. Class A(600329)</t>
  </si>
  <si>
    <t>Durect Corp.(DRRX)</t>
  </si>
  <si>
    <t>Humedix Co. Ltd.(200670)</t>
  </si>
  <si>
    <t>China Resources Double Crane Pharmaceutical Co. Ltd. Class A(600062)</t>
  </si>
  <si>
    <t>Asymchem Laboratories Tianjin Co. Ltd. Class A(002821)</t>
  </si>
  <si>
    <t>Hybio Pharmaceutical Co. Ltd. Class A(300199)</t>
  </si>
  <si>
    <t>CECEP Solar Energy Co. Ltd. Class A(000591)</t>
  </si>
  <si>
    <t>CJ Freshway Corp.(051500)</t>
  </si>
  <si>
    <t>Natural Health Trends Corp.(NHTC)</t>
  </si>
  <si>
    <t>Migros Ticaret AS(MGROS)</t>
  </si>
  <si>
    <t>Parco Co. Ltd.(8251)</t>
  </si>
  <si>
    <t>Wuxi Commercial Mansion Grand Orient Co. Ltd. Class A(600327)</t>
  </si>
  <si>
    <t>China Minsheng Financial Holding Corp. Ltd.(245)</t>
  </si>
  <si>
    <t>Stadio Holdings Ltd.(SDO)</t>
  </si>
  <si>
    <t>Aldrees Petroleum and Transport Services Co.(4200)</t>
  </si>
  <si>
    <t>Shenzhen Guangju Energy Co. Ltd. Class A(000096)</t>
  </si>
  <si>
    <t>United Electronics Co.(4003)</t>
  </si>
  <si>
    <t>IDOM Inc.(7599)</t>
  </si>
  <si>
    <t>WPP AUNZ Ltd.(WPP)</t>
  </si>
  <si>
    <t>Gurunavi Inc.(2440)</t>
  </si>
  <si>
    <t>Central Sports Co. Ltd.(4801)</t>
  </si>
  <si>
    <t>Daisyo Corp.(9979)</t>
  </si>
  <si>
    <t>Biglari Holdings Inc. Class B(BH)</t>
  </si>
  <si>
    <t>Orascom Investment Holding(OIH)</t>
  </si>
  <si>
    <t>Xinjiang Tianfu Energy Co. Ltd. Class A(600509)</t>
  </si>
  <si>
    <t>TGC-1 PJSC(TGKA)</t>
  </si>
  <si>
    <t>Jointo Energy Investment Co. Ltd. Hebei Class A(000600)</t>
  </si>
  <si>
    <t>RattanIndia Power Ltd.(RTNPOWER)</t>
  </si>
  <si>
    <t>Yunnan Wenshan Electric Power Co. Ltd. Class A(600995)</t>
  </si>
  <si>
    <t>Foshan Gas Group Co. Ltd. Class A(002911)</t>
  </si>
  <si>
    <t>Zhongyuan Environment-Protection Co. Ltd. Class A(000544)</t>
  </si>
  <si>
    <t>Beijing Capital Co. Ltd. Class A(600008)</t>
  </si>
  <si>
    <t>Heilongjiang Interchina Water Treatment Co. Ltd. Class A(600187)</t>
  </si>
  <si>
    <t>Old Point Financial Corp.(OPOF)</t>
  </si>
  <si>
    <t>Chiba Kogyo Bank Ltd.(8337)</t>
  </si>
  <si>
    <t>Randolph Bancorp Inc.(RNDB)</t>
  </si>
  <si>
    <t>Bank of Chengdu Co. Ltd. Class A(601838)</t>
  </si>
  <si>
    <t>Tongyang Life Insurance Co. Ltd.(082640)</t>
  </si>
  <si>
    <t>China Baoan Group Co. Ltd. Class A(000009)</t>
  </si>
  <si>
    <t>Arriyadh Development Co.(4150)</t>
  </si>
  <si>
    <t>Kunwu Jiuding Investment Holdings Co. Ltd. Class A(600053)</t>
  </si>
  <si>
    <t>China Wuyi Co. Ltd. Class A(000797)</t>
  </si>
  <si>
    <t>Beijing Dalong Weiye Real Estate Development Co. Ltd. Class A(600159)</t>
  </si>
  <si>
    <t>Shanxi Guoxin Energy Corp. Ltd. Class A(600617)</t>
  </si>
  <si>
    <t>Hangzhou Binjiang Real Estate Group Co. Ltd. Class A(002244)</t>
  </si>
  <si>
    <t>Suning Universal Co. Ltd. Class A(000718)</t>
  </si>
  <si>
    <t>Gree Real Estate Co. Ltd. Class A(600185)</t>
  </si>
  <si>
    <t>Guangdong Shirongzhaoye Co. Ltd. Class A(002016)</t>
  </si>
  <si>
    <t>Norstar Holdings Inc.(NSTR)</t>
  </si>
  <si>
    <t>Sanei Architecture Planning Co. Ltd.(3228)</t>
  </si>
  <si>
    <t>eXp World Holdings Inc.(EXPI)</t>
  </si>
  <si>
    <t>Aspen Group Inc./CO(ASPU)</t>
  </si>
  <si>
    <t>KTB Investment &amp; Securities Co. Ltd.(030210)</t>
  </si>
  <si>
    <t>Srei Infrastructure Finance Ltd.(SREINFRA)</t>
  </si>
  <si>
    <t>Mito Securities Co. Ltd.(8622)</t>
  </si>
  <si>
    <t>Zheshang Securities Co. Ltd. Class A(601878)</t>
  </si>
  <si>
    <t>MMA Capital Holdings Inc.(MMAC)</t>
  </si>
  <si>
    <t>Mitsubishi Research Institute Inc.(3636)</t>
  </si>
  <si>
    <t>Computer Task Group Inc.(CTG)</t>
  </si>
  <si>
    <t>China TransInfo Technology Co. Ltd. Class A(002373)</t>
  </si>
  <si>
    <t>CAC Holdings Corp.(4725)</t>
  </si>
  <si>
    <t>Neusoft Corp. Class A(600718)</t>
  </si>
  <si>
    <t>Beijing Lanxum Technology Co. Ltd. Class A(300010)</t>
  </si>
  <si>
    <t>Veritone Inc.(VERI)</t>
  </si>
  <si>
    <t>Finjan Holdings Inc.(FNJN)</t>
  </si>
  <si>
    <t>Tsinghua Tongfang Co. Ltd. Class A(600100)</t>
  </si>
  <si>
    <t>TransAct Technologies Inc.(TACT)</t>
  </si>
  <si>
    <t>Infortrend Technology Inc.(2495)</t>
  </si>
  <si>
    <t>Elitegroup Computer Systems Co. Ltd.(2331)</t>
  </si>
  <si>
    <t>Beijing BDStar Navigation Co. Ltd. Class A(002151)</t>
  </si>
  <si>
    <t>Fujian Star-net Communication Co. Ltd. Class A(002396)</t>
  </si>
  <si>
    <t>China Spacesat Co. Ltd. Class A(600118)</t>
  </si>
  <si>
    <t>Beijing UniStrong Science &amp; Technology Co. Ltd. Class A(002383)</t>
  </si>
  <si>
    <t>Ipek Dogal Enerji Kaynaklari Arastirma Ve Uretim AS(IPEKE)</t>
  </si>
  <si>
    <t>Fuji Oil Co. Ltd.(5017)</t>
  </si>
  <si>
    <t>Ultra Petroleum Corp.(UPL)</t>
  </si>
  <si>
    <t>CARBO Ceramics Inc.(CRR)</t>
  </si>
  <si>
    <t>Jiangsu SINOJIT Wind Energy Technology Co. Ltd. Class A(601218)</t>
  </si>
  <si>
    <t>Befar Group Co. Ltd. Class A(601678)</t>
  </si>
  <si>
    <t>Yantai Tayho Advanced Materials Co. Ltd. Class A(002254)</t>
  </si>
  <si>
    <t>Jiangsu Chengxing Phosph-Chemicals Co. Ltd. Class A(600078)</t>
  </si>
  <si>
    <t>Maoming Petro-Chemical Shihua Co. Ltd. Class A(000637)</t>
  </si>
  <si>
    <t>Yibin Tianyuan Group Co. Ltd. Class A(002386)</t>
  </si>
  <si>
    <t>Shenma Industry Co. Ltd. Class A(600810)</t>
  </si>
  <si>
    <t>Jiangsu Yoke Technology Co. Ltd. Class A(002409)</t>
  </si>
  <si>
    <t>Inner Mongolia Lantai Industrial Co. Ltd. Class A(600328)</t>
  </si>
  <si>
    <t>Tongkun Group Co. Ltd. Class A(601233)</t>
  </si>
  <si>
    <t>Sichuan Meifeng Chemical IND Class A(000731)</t>
  </si>
  <si>
    <t>Anhui Guofeng Plastic Industry Co. Ltd. Class A(000859)</t>
  </si>
  <si>
    <t>Jinneng Science&amp;Technology Co. Ltd. Class A(603113)</t>
  </si>
  <si>
    <t>Huaibei Mining Holdings Co. Ltd. Class A(600985)</t>
  </si>
  <si>
    <t>Gun-Ei Chemical Industry Co. Ltd.(4229)</t>
  </si>
  <si>
    <t>Transfar Zhilian Co. Ltd. Class A(002010)</t>
  </si>
  <si>
    <t>Yushiro Chemical Industry Co. Ltd.(5013)</t>
  </si>
  <si>
    <t>Red Avenue New Materials Group Co. Ltd. Class A(603650)</t>
  </si>
  <si>
    <t>Polisan Holding AS(POLHO)</t>
  </si>
  <si>
    <t>Shenyang Chemical Co. Ltd. Class A(000698)</t>
  </si>
  <si>
    <t>Yiwu Huading Nylon Co. Ltd. Class A(601113)</t>
  </si>
  <si>
    <t>Nihon Nohyaku Co. Ltd.(4997)</t>
  </si>
  <si>
    <t>Chuetsu Pulp &amp; Paper Co. Ltd.(3877)</t>
  </si>
  <si>
    <t>Shandong Chenming Paper Holdings Ltd. Class A(000488)</t>
  </si>
  <si>
    <t>Yunnan Aluminium Co. Ltd. Class A(000807)</t>
  </si>
  <si>
    <t>Tibet Summit Resources Co. Ltd. Class A(600338)</t>
  </si>
  <si>
    <t>Baiyin Nonferrous Group Co. Ltd. Class A(601212)</t>
  </si>
  <si>
    <t>KISCO Corp.(104700)</t>
  </si>
  <si>
    <t>Beijing Shougang Co. Ltd. Class A(000959)</t>
  </si>
  <si>
    <t>Sheng Yu Steel Co. Ltd.(2029)</t>
  </si>
  <si>
    <t>Angang Steel Co. Ltd. Class A(000898)</t>
  </si>
  <si>
    <t>Lingyuan Iron &amp; Steel Co. Ltd. Class A(600231)</t>
  </si>
  <si>
    <t>Mechel PJSC Preference Shares(MTLRP)</t>
  </si>
  <si>
    <t>Novolipetsk Steel PJSC(NLMK)</t>
  </si>
  <si>
    <t>Daye Special Steel Co. Ltd. Class A(000708)</t>
  </si>
  <si>
    <t>Anyang Iron &amp; Steel Inc. Class A(600569)</t>
  </si>
  <si>
    <t>Guangzhou Guangri Stock Co. Ltd. Class A(600894)</t>
  </si>
  <si>
    <t>Hubei Fuxing Science And Technology Co. Ltd. Class A(000926)</t>
  </si>
  <si>
    <t>Kardemir Karabuk Demir Celik Sanayi ve Ticaret AS Class A(KRDMA)</t>
  </si>
  <si>
    <t>Ramaco Resources Inc.(METC)</t>
  </si>
  <si>
    <t>Kailuan Energy Chemical Co. Ltd. Class A(600997)</t>
  </si>
  <si>
    <t>Hallador Energy Co.(HNRG)</t>
  </si>
  <si>
    <t>Sinosteel Engineering &amp; Technology Co. Ltd. Class A(000928)</t>
  </si>
  <si>
    <t>DRDGOLD Ltd.(DRD)</t>
  </si>
  <si>
    <t>Dare Power Dekor Home Co. Ltd. Class A(000910)</t>
  </si>
  <si>
    <t>Byucksan Corp.(007210)</t>
  </si>
  <si>
    <t>Southern Province Cement Co.(3050)</t>
  </si>
  <si>
    <t>Zhuzhou Kibing Group Co. Ltd. Class A(601636)</t>
  </si>
  <si>
    <t>Sichuan Shuangma Cement Co. Ltd. Class A(000935)</t>
  </si>
  <si>
    <t>Toli Corp.(7971)</t>
  </si>
  <si>
    <t>Shenzhen Bauing Construction Holding Group Co. Ltd. Class A(002047)</t>
  </si>
  <si>
    <t>Wuhu Conch Profiles and Science Co. Ltd. Class A(000619)</t>
  </si>
  <si>
    <t>Norinco International Cooperation Ltd. Class A(000065)</t>
  </si>
  <si>
    <t>KC Co. Ltd.(029460)</t>
  </si>
  <si>
    <t>Takamiya Co. Ltd.(2445)</t>
  </si>
  <si>
    <t>Beijing Urban Construction Design &amp; Development Group Co. Ltd.(1599)</t>
  </si>
  <si>
    <t>Shenzhen Grandland Group Co. Ltd. Class A(002482)</t>
  </si>
  <si>
    <t>Shaanxi Yanchang Petroleum Chemical Engineering Co. Ltd. Class A(600248)</t>
  </si>
  <si>
    <t>Taisei Lamick Co. Ltd.(4994)</t>
  </si>
  <si>
    <t>Future World Financial Holdings Ltd.(572)</t>
  </si>
  <si>
    <t>CGN Nuclear Technology Development Co. Ltd. Class A(000881)</t>
  </si>
  <si>
    <t>Netposa Technologies Ltd. Class A(300367)</t>
  </si>
  <si>
    <t>Ningbo Sanxing Medical Electric Co. Ltd. Class A(601567)</t>
  </si>
  <si>
    <t>Tongding Interconnection Information Co. Ltd. Class A(002491)</t>
  </si>
  <si>
    <t>Sam Young Electronics Co. Ltd.(005680)</t>
  </si>
  <si>
    <t>Shenzhen Kinwong Electronic Co. Ltd. Class A(603228)</t>
  </si>
  <si>
    <t>Shenzhen Huaqiang Industry Co. Ltd. Class A(000062)</t>
  </si>
  <si>
    <t>Tech Pro Technology Development Ltd.(3823)</t>
  </si>
  <si>
    <t>Suzhou Victory Precision Manufacture Co. Ltd. Class A(002426)</t>
  </si>
  <si>
    <t>Tellhow Sci-Tech Co. Ltd. Class A(600590)</t>
  </si>
  <si>
    <t>Suzhou Anjie Technology Co. Ltd. Class A(002635)</t>
  </si>
  <si>
    <t>RF Industries Ltd.(RFIL)</t>
  </si>
  <si>
    <t>Beijing Zhong Ke San Huan High-Tech Co. Ltd. Class A(000970)</t>
  </si>
  <si>
    <t>SMK Corp.(6798)</t>
  </si>
  <si>
    <t>Takaoka Toko Co. Ltd.(6617)</t>
  </si>
  <si>
    <t>Shenzhen H&amp;T Intelligent Control Co. Ltd. Class A(002402)</t>
  </si>
  <si>
    <t>Shenzhen Woer Heat-Shrinkable Material Co. Ltd. Class A(002130)</t>
  </si>
  <si>
    <t>Shenzhen Laibao Hi-tech Co. Ltd. Class A(002106)</t>
  </si>
  <si>
    <t>Kingsignal Technology Co. Ltd. Class A(300252)</t>
  </si>
  <si>
    <t>Ohara Inc.(5218)</t>
  </si>
  <si>
    <t>Universal Scientific Industrial Shanghai Co. Ltd. Class A(601231)</t>
  </si>
  <si>
    <t>Richardson Electronics Ltd./United States(RELL)</t>
  </si>
  <si>
    <t>Huizhou Desay Sv Automotive Co. Ltd. Class A(002920)</t>
  </si>
  <si>
    <t>Goldcard Smart Group Co. Ltd.(300349)</t>
  </si>
  <si>
    <t>KONA I Co. Ltd.(052400)</t>
  </si>
  <si>
    <t>Anhui Zhongding Sealing Parts Co. Ltd. Class A(000887)</t>
  </si>
  <si>
    <t>Chongqing Zaisheng Technology Corp. Ltd. Class A(603601)</t>
  </si>
  <si>
    <t>GE Power India Ltd.(GEPIL)</t>
  </si>
  <si>
    <t>Huadian Heavy Industries Co. Ltd. Class A(601226)</t>
  </si>
  <si>
    <t>EVA Precision Industrial Holdings Ltd.(838)</t>
  </si>
  <si>
    <t>Seika Corp.(8061)</t>
  </si>
  <si>
    <t>Luxin Venture Capital Group Co. Ltd. Class A(600783)</t>
  </si>
  <si>
    <t>Huayi Compressor Co. Ltd. Class A(000404)</t>
  </si>
  <si>
    <t>Changjiang &amp; Jinggong Steel Building Group Co. Ltd. Class A(600496)</t>
  </si>
  <si>
    <t>Clean TeQ Holdings Ltd.(CLQ)</t>
  </si>
  <si>
    <t>Puyang Refractories Group Co. Ltd. Class A(002225)</t>
  </si>
  <si>
    <t>Suzhou Hailu Heavy Industry Co. Ltd. Class A(002255)</t>
  </si>
  <si>
    <t>Fujian Longxi Bearing Group Co. Ltd. Class A(600592)</t>
  </si>
  <si>
    <t>Sincere Navigation Corp.(2605)</t>
  </si>
  <si>
    <t>Hainan Strait Shipping Co. Ltd. Class A(002320)</t>
  </si>
  <si>
    <t>Sichuan Expressway Co. Ltd. Class A(601107)</t>
  </si>
  <si>
    <t>Tianjin Port Co. Ltd. Class A(600717)</t>
  </si>
  <si>
    <t>Jiangsu Expressway Co. Ltd. Class A(600377)</t>
  </si>
  <si>
    <t>ARC Document Solutions Inc.(ARC)</t>
  </si>
  <si>
    <t>Lens Technology Co. Ltd. Class A(300433)</t>
  </si>
  <si>
    <t>Shenzhen Center Power Tech Co. Ltd. Class A(002733)</t>
  </si>
  <si>
    <t>Charah Solutions Inc.(CHRA)</t>
  </si>
  <si>
    <t>Shenyang Jinbei Automotive Co. Ltd. Class A(600609)</t>
  </si>
  <si>
    <t>Taiho Kogyo Co. Ltd.(6470)</t>
  </si>
  <si>
    <t>Sanoh Industrial Co. Ltd.(6584)</t>
  </si>
  <si>
    <t>Xin Jiang Ready Health Industry Co. Ltd. Class A(600090)</t>
  </si>
  <si>
    <t>Anhui Gujing Distillery Co. Ltd. Class A(000596)</t>
  </si>
  <si>
    <t>Shede Spirits Co. Ltd. Class A(600702)</t>
  </si>
  <si>
    <t>Yantai Changyu Pioneer Wine Co. Ltd. Class A(000869)</t>
  </si>
  <si>
    <t>Yuan Longping High-tech Agriculture Co. Ltd. Class A(000998)</t>
  </si>
  <si>
    <t>Jiangsu Provincial Agricultural Reclamation and Development Corp.(601952)</t>
  </si>
  <si>
    <t>Rocky Mountain Chocolate Factory Inc.(RMCF)</t>
  </si>
  <si>
    <t>CCS Supply Chain Management Co. Ltd. Class A(600180)</t>
  </si>
  <si>
    <t>CJ CheilJedang Corp. Preference Shares(097955)</t>
  </si>
  <si>
    <t>COSMAX NBT Inc.(222040)</t>
  </si>
  <si>
    <t>Sanquan Food Co. Ltd. Class A(002216)</t>
  </si>
  <si>
    <t>Rhythm Watch Co. Ltd.(7769)</t>
  </si>
  <si>
    <t>Hang Zhou Great Star Industrial Co. Ltd. Class A(002444)</t>
  </si>
  <si>
    <t>Inaba Seisakusho Co. Ltd.(3421)</t>
  </si>
  <si>
    <t>Shanghai Flyco Electrical Appliance Co. Ltd. Class A(603868)</t>
  </si>
  <si>
    <t>Guangzhou Pearl River Piano Group Co. Ltd. Class A(002678)</t>
  </si>
  <si>
    <t>Johnson Health Tech Co. Ltd.(1736)</t>
  </si>
  <si>
    <t>GOLFZON Co. Ltd.(215000)</t>
  </si>
  <si>
    <t>Kingnet Network Co. Ltd. Class A(002517)</t>
  </si>
  <si>
    <t>Jiangsu Hongdou Industrial Co. Ltd. Class A(600400)</t>
  </si>
  <si>
    <t>Visual China Group Co. Ltd. Class A(000681)</t>
  </si>
  <si>
    <t>Capital Environment Holdings Ltd.(3989)</t>
  </si>
  <si>
    <t>Atsugi Co. Ltd.(3529)</t>
  </si>
  <si>
    <t>Sou Yu Te Group Co. Ltd. Class A(002503)</t>
  </si>
  <si>
    <t>Shanghai Jahwa United Co. Ltd. Class A(600315)</t>
  </si>
  <si>
    <t>Leaders Cosmetics Co. Ltd.(016100)</t>
  </si>
  <si>
    <t>It's Hanbul Co. Ltd.(226320)</t>
  </si>
  <si>
    <t>Dian Diagnostics Group Co. Ltd. Class A(300244)</t>
  </si>
  <si>
    <t>Linical Co. Ltd.(2183)</t>
  </si>
  <si>
    <t>PW Medtech Group Ltd.(1358)</t>
  </si>
  <si>
    <t>T2 Biosystems Inc.(TTOO)</t>
  </si>
  <si>
    <t>Shanghai Tofflon Science &amp; Technology Co. Ltd. Class A(300171)</t>
  </si>
  <si>
    <t>Shinva Medical Instrument Co. Ltd. Class A(600587)</t>
  </si>
  <si>
    <t>Shanghai Runda Medical Technology Co. Ltd. Class A(603108)</t>
  </si>
  <si>
    <t>Anhui Anke Biotechnology Group Co. Ltd. Class A(300009)</t>
  </si>
  <si>
    <t>BrainStorm Cell Therapeutics Inc.(BCLI)</t>
  </si>
  <si>
    <t>Anixa Biosciences Inc.(ANIX)</t>
  </si>
  <si>
    <t>Idera Pharmaceuticals Inc.(IDRA)</t>
  </si>
  <si>
    <t>LogicBio Therapeutics Inc.(LOGC)</t>
  </si>
  <si>
    <t>Sunesis Pharmaceuticals Inc.(SNSS)</t>
  </si>
  <si>
    <t>Allena Pharmaceuticals Inc.(ALNA)</t>
  </si>
  <si>
    <t>Tyme Technologies Inc.(TYME)</t>
  </si>
  <si>
    <t>Zhejiang Jingxin Pharmaceutical Co. Ltd. Class A(002020)</t>
  </si>
  <si>
    <t>Tianjin Lisheng Pharmaceutical Co. Ltd. Class A(002393)</t>
  </si>
  <si>
    <t>Haisco Pharmaceutical Group Co. Ltd. Class A(002653)</t>
  </si>
  <si>
    <t>Guilin Sanjin Pharmaceutical Co. Ltd. Class A(002275)</t>
  </si>
  <si>
    <t>Tianjin Tianyao Pharmaceutical Co. Ltd. Class A(600488)</t>
  </si>
  <si>
    <t>Ascendis Health Ltd.(ASC)</t>
  </si>
  <si>
    <t>Champions Oncology Inc.(CSBR)</t>
  </si>
  <si>
    <t>Nanjing Pharmaceutical Co. Ltd. Class A(600713)</t>
  </si>
  <si>
    <t>GuangYuYuan Chinese Herbal Medicine Co. Ltd. Class A(600771)</t>
  </si>
  <si>
    <t>Hainan Poly Pharm Co. Ltd.(300630)</t>
  </si>
  <si>
    <t>Guizhou Bailing Group Pharmaceutical Co. Ltd. Class A(002424)</t>
  </si>
  <si>
    <t>Guangxi Liuzhou Pharmaceutical Co. Ltd. Class A(603368)</t>
  </si>
  <si>
    <t>Saudi Pharmaceutical Industries &amp; Medical Appliances Corp.(2070)</t>
  </si>
  <si>
    <t>Ampio Pharmaceuticals Inc.(AMPE)</t>
  </si>
  <si>
    <t>Realcan Pharmaceutical Group Co. Ltd. Class A(002589)</t>
  </si>
  <si>
    <t>Youngevity International Inc.(YGYI)</t>
  </si>
  <si>
    <t>RTW RetailWinds Inc.(RTW)</t>
  </si>
  <si>
    <t>Shanghai Xujiahui Commercial Co. Ltd. Class A(002561)</t>
  </si>
  <si>
    <t>Pier 1 Imports Inc.(PIR)</t>
  </si>
  <si>
    <t>COOKPAD Inc.(2193)</t>
  </si>
  <si>
    <t>Kojima Co. Ltd.(7513)</t>
  </si>
  <si>
    <t>Liaoning Cheng Da Co. Ltd. Class A(600739)</t>
  </si>
  <si>
    <t>PC Depot Corp.(7618)</t>
  </si>
  <si>
    <t>Dogus Otomotiv Servis ve Ticaret AS(DOAS)</t>
  </si>
  <si>
    <t>Big 5 Sporting Goods Corp.(BGFV)</t>
  </si>
  <si>
    <t>SBS Media Holdings Co. Ltd.(101060)</t>
  </si>
  <si>
    <t>Woongjin Thinkbig Co. Ltd.(095720)</t>
  </si>
  <si>
    <t>CSS Industries Inc.(CSS)</t>
  </si>
  <si>
    <t>Shanghai Jinjiang International Hotels Development Co. Ltd. Class A(600754)</t>
  </si>
  <si>
    <t>Papa Murphy's Holdings Inc.(FRSH)</t>
  </si>
  <si>
    <t>Seera Group Holding(1810)</t>
  </si>
  <si>
    <t>KNT-CT Holdings Co. Ltd.(9726)</t>
  </si>
  <si>
    <t>Jiangxi Ganneng Co. Ltd. Class A(000899)</t>
  </si>
  <si>
    <t>Eneva SA(ENEV3)</t>
  </si>
  <si>
    <t>Inner Mongolia Xingye Mining Co. Ltd. Class A(000426)</t>
  </si>
  <si>
    <t>Shanghai Electric Power Co. Ltd. Class A(600021)</t>
  </si>
  <si>
    <t>SPIC Dongfang New Energy Corp. Class A(000958)</t>
  </si>
  <si>
    <t>Guangxi Guiguan Electric Power Co. Ltd. Class A(600236)</t>
  </si>
  <si>
    <t>Hokkaido Gas Co. Ltd.(9534)</t>
  </si>
  <si>
    <t>Bank of Kaohsiung Co. Ltd.(2836)</t>
  </si>
  <si>
    <t>AmeriServ Financial Inc.(ASRV)</t>
  </si>
  <si>
    <t>American River Bankshares(AMRB)</t>
  </si>
  <si>
    <t>First Savings Financial Group Inc.(FSFG)</t>
  </si>
  <si>
    <t>China Union Holdings Ltd. Class A(000036)</t>
  </si>
  <si>
    <t>Mingfa Group International Co. Ltd.(846)</t>
  </si>
  <si>
    <t>Shanghai Jinqiao Export Processing Zone Development Co. Ltd. Class A(600639)</t>
  </si>
  <si>
    <t>Avic Sunda Holding Co. Ltd.(000043)</t>
  </si>
  <si>
    <t>Beijing North Star Co. Ltd. Class A(601588)</t>
  </si>
  <si>
    <t>Yinyi Co. Ltd. Class A(000981)</t>
  </si>
  <si>
    <t>Salam International Investment Ltd. QSC(SIIS)</t>
  </si>
  <si>
    <t>JiangSu Jin Tong Ling Fluid Machinery Technology Co. Ltd. Class A(300091)</t>
  </si>
  <si>
    <t>CMC Markets plc(CMCX)</t>
  </si>
  <si>
    <t>Siebert Financial Corp.(SIEB)</t>
  </si>
  <si>
    <t>Haitong Securities Co. Ltd. Class A(600837)</t>
  </si>
  <si>
    <t>DB Financial Investment Co. Ltd.(016610)</t>
  </si>
  <si>
    <t>Shenwan Hongyuan HK Ltd.(218)</t>
  </si>
  <si>
    <t>Nanjing Securities Co. Ltd. Class A(601990)</t>
  </si>
  <si>
    <t>Shenzhen Das Intellitech Co. Ltd. Class A(002421)</t>
  </si>
  <si>
    <t>Shenzhen Kingdom Sci-Tech Co. Ltd. Class A(600446)</t>
  </si>
  <si>
    <t>Shanghai Weaver Network Co. Ltd. Class A(603039)</t>
  </si>
  <si>
    <t>Insigma Technology Co. Ltd. Class A(600797)</t>
  </si>
  <si>
    <t>Rimini Street Inc.(RMNI)</t>
  </si>
  <si>
    <t>Beijing E-Hualu Information Technology Co. Ltd. Class A(300212)</t>
  </si>
  <si>
    <t>Hangzhou Shunwang Technology Co. Ltd. Class A(300113)</t>
  </si>
  <si>
    <t>Shanghai 2345 Network Holding Group Co. Ltd. Class A(002195)</t>
  </si>
  <si>
    <t>Beijing Ultrapower Software Co. Ltd. Class A(300002)</t>
  </si>
  <si>
    <t>YGSOFT Inc. Class A(002063)</t>
  </si>
  <si>
    <t>Sumavision Technologies Co. Ltd. Class A(300079)</t>
  </si>
  <si>
    <t>Inspur Software Co. Ltd. Class A(600756)</t>
  </si>
  <si>
    <t>Beijing Orient National Communication Science &amp; Technology Co. Ltd. Class A(300166)</t>
  </si>
  <si>
    <t>PC-Tel Inc.(PCTI)</t>
  </si>
  <si>
    <t>Shenzhen Kaifa Technology Co. Ltd. Class A(000021)</t>
  </si>
  <si>
    <t>MLS Co. Ltd. Class A(002745)</t>
  </si>
  <si>
    <t>East Group Co. Ltd. Class A(300376)</t>
  </si>
  <si>
    <t>ALI Corp.(3041)</t>
  </si>
  <si>
    <t>Silicon Integrated Systems Corp.(2363)</t>
  </si>
  <si>
    <t>Kopin Corp.(KOPN)</t>
  </si>
  <si>
    <t>QuickLogic Corp.(QUIK)</t>
  </si>
  <si>
    <t>Yangzhou Yangjie Electronic Technology Co. Ltd. Class A(300373)</t>
  </si>
  <si>
    <t>Gigadevice Semiconductor Beijing Inc. Class A(603986)</t>
  </si>
  <si>
    <t>Aviat Networks Inc.(AVNW)</t>
  </si>
  <si>
    <t>Addsino Co. Ltd. Class A(000547)</t>
  </si>
  <si>
    <t>Shenzhen Tat Fook Technology Co. Ltd. Class A(300134)</t>
  </si>
  <si>
    <t>Eastern Communications Co. Ltd. Class B(900941)</t>
  </si>
  <si>
    <t>Torchlight Energy Resources Inc.(TRCH)</t>
  </si>
  <si>
    <t>NCS Multistage Holdings Inc.(NCSM)</t>
  </si>
  <si>
    <t>Sinopec Oilfield Equipment Corp. Class A(000852)</t>
  </si>
  <si>
    <t>Dawson Geophysical Co.(DWSN)</t>
  </si>
  <si>
    <t>Basic Energy Services Inc.(BAS)</t>
  </si>
  <si>
    <t>Changchun Gas Co. Ltd. Class A(600333)</t>
  </si>
  <si>
    <t>Guangdong Huatie Tongda High-speed Railway Equipment Corp. Class A(000976)</t>
  </si>
  <si>
    <t>Hoshine Silicon Industry Co. Ltd. Class A(603260)</t>
  </si>
  <si>
    <t>Aksa Akrilik Kimya Sanayii AS(AKSA)</t>
  </si>
  <si>
    <t>ENN Ecological Holdings Co. Ltd. Class A(600803)</t>
  </si>
  <si>
    <t>Hubei Xingfa Chemicals Group Co. Ltd. Class A(600141)</t>
  </si>
  <si>
    <t>Guangzhou Tinci Materials Technology Co. Ltd. Class A(002709)</t>
  </si>
  <si>
    <t>Sinochem International Corp. Class A(600500)</t>
  </si>
  <si>
    <t>Nanjing Redsun Co. Ltd. Class A(000525)</t>
  </si>
  <si>
    <t>Polaris Bay Group Co. Ltd. Class A(600155)</t>
  </si>
  <si>
    <t>Beijing Lier High-temperature Materials Co. Ltd. Class A(002392)</t>
  </si>
  <si>
    <t>Yechiu Metal Recycling China Ltd. Class A(601388)</t>
  </si>
  <si>
    <t>Henan Shenhuo Coal &amp; Power Co. Ltd. Class A(000933)</t>
  </si>
  <si>
    <t>Western Mining Co. Ltd. Class A(601168)</t>
  </si>
  <si>
    <t>Jinduicheng Molybdenum Co. Ltd. Class A(601958)</t>
  </si>
  <si>
    <t>Rising Nonferrous Metals Share Co. Ltd. Class A(600259)</t>
  </si>
  <si>
    <t>TMK PJSC(TRMK)</t>
  </si>
  <si>
    <t>Nanjing Iron &amp; Steel Co. Ltd. Class A(600282)</t>
  </si>
  <si>
    <t>Shanxi Lanhua Sci-Tech Venture Co. Ltd. Class A(600123)</t>
  </si>
  <si>
    <t>Gujarat Mineral Development Corp. Ltd.(GMDCLTD)</t>
  </si>
  <si>
    <t>Sino-Platinum Metals Co. Ltd. Class A(600459)</t>
  </si>
  <si>
    <t>China Silver Group Ltd.(815)</t>
  </si>
  <si>
    <t>Henan Mingtai Al Industrial Co. Ltd. Class A(601677)</t>
  </si>
  <si>
    <t>Forterra Inc.(FRTA)</t>
  </si>
  <si>
    <t>Yanbu Cement Co.(3060)</t>
  </si>
  <si>
    <t>Eastern Province Cement Co.(3080)</t>
  </si>
  <si>
    <t>Hainan Ruize New Building Material Co. Ltd. Class A(002596)</t>
  </si>
  <si>
    <t>Grupo Rotoplas SAB de CV(AGUA*)</t>
  </si>
  <si>
    <t>ALEATICA SAB de CV(ALEATIC*)</t>
  </si>
  <si>
    <t>Xinjiang Beixin Road &amp; Bridge Group Co. Ltd. Class A(002307)</t>
  </si>
  <si>
    <t>LingNan Eco&amp;Culture-Tourism Co. Ltd. Class A(002717)</t>
  </si>
  <si>
    <t>Zhejiang Yasha Decoration Co. Ltd. Class A(002375)</t>
  </si>
  <si>
    <t>East China Engineering Science and Technology Co. Ltd. Class A(002140)</t>
  </si>
  <si>
    <t>Construction Partners Inc. Class A(ROAD)</t>
  </si>
  <si>
    <t>China Aerospace Times Electronics Co. Ltd. Class A(600879)</t>
  </si>
  <si>
    <t>Xi'an Tian He Defense Technology Co. Ltd. Class A(300397)</t>
  </si>
  <si>
    <t>Glarun Technology Co. Ltd. Class A(600562)</t>
  </si>
  <si>
    <t>Shanghai Baosteel Packaging Co. Ltd. Class A(601968)</t>
  </si>
  <si>
    <t>Shimojima Co. Ltd.(7482)</t>
  </si>
  <si>
    <t>Huangshan Novel Co. Ltd. Class A(002014)</t>
  </si>
  <si>
    <t>Baoding Tianwei Baobian Electric Co. Ltd. Class A(600550)</t>
  </si>
  <si>
    <t>Aerospace CH UAV Co. Ltd.(002389)</t>
  </si>
  <si>
    <t>China Zhenhua Group Science &amp; Technology Co. Ltd. Class A(000733)</t>
  </si>
  <si>
    <t>FDK Corp.(6955)</t>
  </si>
  <si>
    <t>Shenzhen Deren Electronic Co. Ltd. Class A(002055)</t>
  </si>
  <si>
    <t>Guangdong Ellington Electronics Technology Co. Ltd. Class A(603328)</t>
  </si>
  <si>
    <t>LSI Industries Inc.(LYTS)</t>
  </si>
  <si>
    <t>Xiamen Faratronic Co. Ltd. Class A(600563)</t>
  </si>
  <si>
    <t>Jiangsu Etern Co. Ltd. Class A(600105)</t>
  </si>
  <si>
    <t>IEC Electronics Corp.(IEC)</t>
  </si>
  <si>
    <t>Baosheng Science and Technology Innovation Co. Ltd. Class A(600973)</t>
  </si>
  <si>
    <t>KH Vatec Co. Ltd.(060720)</t>
  </si>
  <si>
    <t>Ningbo Shanshan Co. Ltd. Class A(600884)</t>
  </si>
  <si>
    <t>Maxwell Technologies Inc.(MXWL)</t>
  </si>
  <si>
    <t>Shenzhen Danbond Technology Co. Ltd. Class A(002618)</t>
  </si>
  <si>
    <t>Perceptron Inc.(PRCP)</t>
  </si>
  <si>
    <t>Hansol Technics Co. Ltd.(004710)</t>
  </si>
  <si>
    <t>Ningbo Ligong Environment And Energy Technology Co. Ltd. Class A(002322)</t>
  </si>
  <si>
    <t>Newcapec Electronics Co. Ltd. Class A(300248)</t>
  </si>
  <si>
    <t>Hanjin Heavy Industries &amp; Construction Co. Ltd.(097230)</t>
  </si>
  <si>
    <t>First Tractor Co. Ltd.(38)</t>
  </si>
  <si>
    <t>Nippon Sharyo Ltd.(7102)</t>
  </si>
  <si>
    <t>China Automotive Engineering Research Institute Co. Ltd. Class A(601965)</t>
  </si>
  <si>
    <t>Shanghai Hanbell Precise Machinery Co. Ltd. Class A(002158)</t>
  </si>
  <si>
    <t>Xinjiang Machinery Research Institute Co. Ltd. Class A(300159)</t>
  </si>
  <si>
    <t>Hangxiao Steel Structure Co. Ltd. Class A(600477)</t>
  </si>
  <si>
    <t>Huachangda Intelligent Equipment Group Co. Ltd. Class A(300278)</t>
  </si>
  <si>
    <t>Taiyuan Heavy Industry Co. Ltd. Class A(600169)</t>
  </si>
  <si>
    <t>Guangdong Dongfang Precision Science &amp; Technology Co. Ltd. Class A(002611)</t>
  </si>
  <si>
    <t>Shuangliang Eco-Energy Systems Co. Ltd. Class A(600481)</t>
  </si>
  <si>
    <t>Changchai Co. Ltd. Class A(000570)</t>
  </si>
  <si>
    <t>Beijing SDL Technology Co. Ltd. Class A(002658)</t>
  </si>
  <si>
    <t>Babcock &amp; Wilcox Enterprises Inc.(BW)</t>
  </si>
  <si>
    <t>Beijing Sanlian Hope Shin-Gosen Technical Service Co. Ltd. Class A(300384)</t>
  </si>
  <si>
    <t>Beijing Water Business Doctor Co. Ltd. Class A(300055)</t>
  </si>
  <si>
    <t>Jack Sewing Machine Co. Ltd. Class A(603337)</t>
  </si>
  <si>
    <t>Leo Group Co. Ltd. Class A(002131)</t>
  </si>
  <si>
    <t>Shanghai Mechanical and Electrical Industry Co. Ltd. Class A(600835)</t>
  </si>
  <si>
    <t>Hubei Chutian Smart Communication Co. Ltd. Class A(600035)</t>
  </si>
  <si>
    <t>Jiangsu Lianyungang Port Co. Ltd. Class A(601008)</t>
  </si>
  <si>
    <t>Guangdong Great River Smarter Logistics Co. Ltd. Class A(002930)</t>
  </si>
  <si>
    <t>Xiamen Port Development Co. Ltd. Class A(000905)</t>
  </si>
  <si>
    <t>Henderson Investment Ltd.(97)</t>
  </si>
  <si>
    <t>Patriot Transportation Holding Inc.(PATI)</t>
  </si>
  <si>
    <t>Hudson Technologies Inc.(HDSN)</t>
  </si>
  <si>
    <t>Zhuhai Port Co. Ltd. Class A(000507)</t>
  </si>
  <si>
    <t>Chiho Environmental Group Ltd.(976)</t>
  </si>
  <si>
    <t>Jiangling Motors Corp. Ltd. Class A(000550)</t>
  </si>
  <si>
    <t>FAW CAR Co. Ltd. Class A(000800)</t>
  </si>
  <si>
    <t>China Avionics Systems Co. Ltd. Class A(600372)</t>
  </si>
  <si>
    <t>Kuangda Technology Group Co. Ltd. Class A(002516)</t>
  </si>
  <si>
    <t>Dongfeng Electronic Technology Co. Ltd. Class A(600081)</t>
  </si>
  <si>
    <t>Xuchang Yuandong Drive Shaft Co. Ltd. Class A(002406)</t>
  </si>
  <si>
    <t>Sailun Group Co. Ltd.(601058)</t>
  </si>
  <si>
    <t>Blink Charging Co.(BLNK)</t>
  </si>
  <si>
    <t>Qingdao Doublestar Co. Ltd. Class A(000599)</t>
  </si>
  <si>
    <t>Xinjiang Yilite Industry Co. Ltd. Class A(600197)</t>
  </si>
  <si>
    <t>Anhui Golden Seed Winery Co. Ltd. Class A(600199)</t>
  </si>
  <si>
    <t>Castle Brands Inc.(ROX)</t>
  </si>
  <si>
    <t>Shenzhen Agricultural Products Group Co. Ltd. Class A(000061)</t>
  </si>
  <si>
    <t>Haoxiangni Health Food Co. Ltd. Class A(002582)</t>
  </si>
  <si>
    <t>Beijing Sanyuan Foods Co. Ltd. Class A(600429)</t>
  </si>
  <si>
    <t>Farmer Brothers Co.(FARM)</t>
  </si>
  <si>
    <t>Zhejiang Garden Bio-Chemical High-tech Co. Ltd. Class A(300401)</t>
  </si>
  <si>
    <t>Salim Ivomas Pratama Tbk PT(SIMP)</t>
  </si>
  <si>
    <t>Zhejiang Huatong Meat Products Co. Ltd. Class A(002840)</t>
  </si>
  <si>
    <t>Xiamen Kingdomway Group Co. Class A(002626)</t>
  </si>
  <si>
    <t>Crown Crafts Inc.(CRWS)</t>
  </si>
  <si>
    <t>Zhejiang Yankon Group Co. Ltd. Class A(600261)</t>
  </si>
  <si>
    <t>Libbey Inc.(LBY)</t>
  </si>
  <si>
    <t>Hovnanian Enterprises Inc. Class A(HOV)</t>
  </si>
  <si>
    <t>Xiamen Intretech Inc. Class A(002925)</t>
  </si>
  <si>
    <t>Humax Co. Ltd.(115160)</t>
  </si>
  <si>
    <t>Shenzhen MTC Co. Ltd. Class A(002429)</t>
  </si>
  <si>
    <t>Vuzix Corp.(VUZI)</t>
  </si>
  <si>
    <t>Funai Electric Co. Ltd.(6839)</t>
  </si>
  <si>
    <t>Zhonglu Co. Ltd. Class B(900915)</t>
  </si>
  <si>
    <t>Alpha Group Class A(002292)</t>
  </si>
  <si>
    <t>Jiangsu Sainty Corp. Ltd. Class A(600287)</t>
  </si>
  <si>
    <t>Shijiazhuang Changshan BeiMing Technology Co. Ltd. Class A(000158)</t>
  </si>
  <si>
    <t>Jiangsu Huaxicun Co. Ltd. Class A(000936)</t>
  </si>
  <si>
    <t>Centric Brands Inc.(CTRC)</t>
  </si>
  <si>
    <t>Haining China Leather Market Co. Ltd. Class A(002344)</t>
  </si>
  <si>
    <t>GNCO Co. Ltd.(065060)</t>
  </si>
  <si>
    <t>Teamax Smart City Technology Corp. Ltd. Class A(000662)</t>
  </si>
  <si>
    <t>Artnature Inc.(7823)</t>
  </si>
  <si>
    <t>Coreana Cosmetics Co. Ltd.(027050)</t>
  </si>
  <si>
    <t>cbdMD Inc.(LEVB)</t>
  </si>
  <si>
    <t>Capital Senior Living Corp.(CSU)</t>
  </si>
  <si>
    <t>Siloam International Hospitals Tbk PT(SILO)</t>
  </si>
  <si>
    <t>Psychemedics Corp.(PMD)</t>
  </si>
  <si>
    <t>InfuSystem Holdings Inc.(INFU)</t>
  </si>
  <si>
    <t>Ovctek China Inc. Class A(300595)</t>
  </si>
  <si>
    <t>Sonoscape Medical Corp. Class A(300633)</t>
  </si>
  <si>
    <t>Shanghai Hile Bio-Technology Co. Ltd. Class A(603718)</t>
  </si>
  <si>
    <t>Ekso Bionics Holdings Inc.(EKSO)</t>
  </si>
  <si>
    <t>Bioxcel Therapeutics Inc.(BTAI)</t>
  </si>
  <si>
    <t>Naturalendo Tech Co. Ltd.(168330)</t>
  </si>
  <si>
    <t>XOMA Corp.(XOMA)</t>
  </si>
  <si>
    <t>Beijing Tiantan Biological Products Corp. Ltd. Class A(600161)</t>
  </si>
  <si>
    <t>Applied Genetic Technologies Corp./DE(AGTC)</t>
  </si>
  <si>
    <t>Synthorx Inc.(THOR)</t>
  </si>
  <si>
    <t>Curis Inc.(CRIS)</t>
  </si>
  <si>
    <t>Ovid therapeutics Inc.(OVID)</t>
  </si>
  <si>
    <t>Shandong Buchang Pharmaceuticals Co. Ltd. Class A(603858)</t>
  </si>
  <si>
    <t>Jiangsu Kanion Pharmaceutical Co. Ltd. Class A(600557)</t>
  </si>
  <si>
    <t>Sesen Bio Inc.(SESN)</t>
  </si>
  <si>
    <t>Henan Taloph Pharmaceutical Stock Co. Ltd. Class A(600222)</t>
  </si>
  <si>
    <t>Harbin Pharmaceutical Group Co. Ltd. Class A(600664)</t>
  </si>
  <si>
    <t>Chongqing Taiji Industry Group Co. Ltd. Class A(600129)</t>
  </si>
  <si>
    <t>Shandong Shanda WIT Science &amp; Tech Co. Ltd. Class A(000915)</t>
  </si>
  <si>
    <t>Tetraphase Pharmaceuticals Inc.(TTPH)</t>
  </si>
  <si>
    <t>KemPharm Inc.(KMPH)</t>
  </si>
  <si>
    <t>Shanghai Kaibao Pharmaceutical Co. Ltd. Class A(300039)</t>
  </si>
  <si>
    <t>Teligent Inc./NJ(TLGT)</t>
  </si>
  <si>
    <t>China Animal Husbandry Industry Co. Ltd. Class A(600195)</t>
  </si>
  <si>
    <t>KPC Pharmaceuticals Inc. Class A(600422)</t>
  </si>
  <si>
    <t>Cumberland Pharmaceuticals Inc.(CPIX)</t>
  </si>
  <si>
    <t>Jilin Jian Yisheng Pharmaceutical Co. Ltd. Class A(002566)</t>
  </si>
  <si>
    <t>Jinling Pharmaceutical Co. Ltd. Class A(000919)</t>
  </si>
  <si>
    <t>Zhejiang Hisun Pharmaceutical Co. Ltd. Class A(600267)</t>
  </si>
  <si>
    <t>Cachet Pharmaceutical Co. Ltd. Class A(002462)</t>
  </si>
  <si>
    <t>Better Life Commercial Chain Share Co. Ltd. Class A(002251)</t>
  </si>
  <si>
    <t>Emperor Watch &amp; Jewellery Ltd.(887)</t>
  </si>
  <si>
    <t>New World Department Store China Ltd.(825)</t>
  </si>
  <si>
    <t>Sunny Loan Top Co. Ltd. Class A(600830)</t>
  </si>
  <si>
    <t>Hunan Friendship &amp; Apollo Commercial Co. Ltd. Class A(002277)</t>
  </si>
  <si>
    <t>Beijing Urban-Rural Commercial Group Co. Ltd. Class A(600861)</t>
  </si>
  <si>
    <t>ZJBC Information Technology Co. Ltd. Class A(000889)</t>
  </si>
  <si>
    <t>Hefei Department Store Group Co. Ltd. Class A(000417)</t>
  </si>
  <si>
    <t>Suzhou Electrical Apparatus Science Academy Co. Ltd. Class A(300215)</t>
  </si>
  <si>
    <t>China CIFCO Investment Co. Ltd. Class A(000996)</t>
  </si>
  <si>
    <t>A-Mark Precious Metals Inc.(AMRK)</t>
  </si>
  <si>
    <t>Tv Tokyo Holdings Corp.(9413)</t>
  </si>
  <si>
    <t>Cultural Investment Holdings Co. Ltd. Class A(600715)</t>
  </si>
  <si>
    <t>Thinkingdom Media Group Ltd. Class A(603096)</t>
  </si>
  <si>
    <t>Northern United Publishing &amp; Media Group Co. Ltd. Class A(601999)</t>
  </si>
  <si>
    <t>Ainsworth Game Technology Ltd.(AGI)</t>
  </si>
  <si>
    <t>Full House Resorts Inc.(FLL)</t>
  </si>
  <si>
    <t>Fields Corp.(2767)</t>
  </si>
  <si>
    <t>Peak Resorts Inc.(SKIS)</t>
  </si>
  <si>
    <t>KONZUM Befektetesi es Vagyonkezelo Nyrt(KONZUM)</t>
  </si>
  <si>
    <t>Huatian Hotel Group Co. Ltd. Class A(000428)</t>
  </si>
  <si>
    <t>Town Sports International Holdings Inc.(CLUB)</t>
  </si>
  <si>
    <t>Beijing Jingxi Culture &amp; Tourism Co. Ltd. Class A(000802)</t>
  </si>
  <si>
    <t>UTour Group Co. Ltd. Class A(002707)</t>
  </si>
  <si>
    <t>HC2 Holdings Inc.(HCHC)</t>
  </si>
  <si>
    <t>Datang International Power Generation Co. Ltd. Class A(601991)</t>
  </si>
  <si>
    <t>Reliance Power Ltd.(RPOWER)</t>
  </si>
  <si>
    <t>Datang Huayin Electric Power Co. Ltd. Class A(600744)</t>
  </si>
  <si>
    <t>OGK-2 PJSC(OGKB)</t>
  </si>
  <si>
    <t>Guizhou Gas Group Corp. Ltd. Class A(600903)</t>
  </si>
  <si>
    <t>Tianjin Development Holdings Ltd.(882)</t>
  </si>
  <si>
    <t>Bank of Zhengzhou Co. Ltd. Class A(002936)</t>
  </si>
  <si>
    <t>Auburn National Bancorporation Inc.(AUBN)</t>
  </si>
  <si>
    <t>Severn Bancorp Inc.(SVBI)</t>
  </si>
  <si>
    <t>UCO Bank(UCOBANK)</t>
  </si>
  <si>
    <t>MSB Financial Corp./MD(MSBF)</t>
  </si>
  <si>
    <t>Dongguan Winnerway Industrial Zone Ltd. Class A(000573)</t>
  </si>
  <si>
    <t>Langold Real Estate Co. Ltd. Class A(002305)</t>
  </si>
  <si>
    <t>Airport Facilities Co. Ltd.(8864)</t>
  </si>
  <si>
    <t>Property &amp; Building Corp. Ltd.(PTBL)</t>
  </si>
  <si>
    <t>Wenfeng Great World Chain Development Corp. Class A(601010)</t>
  </si>
  <si>
    <t>Shanghai Tongji Science &amp; Technology Industrial Co. Ltd. Class A(600846)</t>
  </si>
  <si>
    <t>Tianjin Tianbao Infrastructure Co. Ltd. Class A(000965)</t>
  </si>
  <si>
    <t>Tianjin Jinbin Development Co. Ltd. Class A(000897)</t>
  </si>
  <si>
    <t>Beijing Centergate Technologies Holding Co. Ltd. Class A(000931)</t>
  </si>
  <si>
    <t>Black Peony Group Co. Ltd. Class A(600510)</t>
  </si>
  <si>
    <t>Nanjing Chixia Development Co. Ltd. Class A(600533)</t>
  </si>
  <si>
    <t>Shanghai SMI Holding Co. Ltd. Class A(600649)</t>
  </si>
  <si>
    <t>Shenzhen World Union Properties Consultancy Inc. Class A(002285)</t>
  </si>
  <si>
    <t>Delta Property Fund Ltd.(DLT)</t>
  </si>
  <si>
    <t>Hunt Cos. Finance Trust Inc.(HCFT)</t>
  </si>
  <si>
    <t>Condor Hospitality Trust Inc.(CDOR)</t>
  </si>
  <si>
    <t>Central China Securities Co. Ltd. Class A(601375)</t>
  </si>
  <si>
    <t>Orient Securities Co. Ltd./China(3958)</t>
  </si>
  <si>
    <t>Beyondsoft Corp. Class A(002649)</t>
  </si>
  <si>
    <t>V1 Group Ltd.(82)</t>
  </si>
  <si>
    <t>Smith Micro Software Inc.(SMSI)</t>
  </si>
  <si>
    <t>Logo Yazilim Sanayi Ve Ticaret AS(LOGO)</t>
  </si>
  <si>
    <t>Fukui Computer Holdings Inc.(9790)</t>
  </si>
  <si>
    <t>Xiamen Meiya Pico Information Co. Ltd. Class A(300188)</t>
  </si>
  <si>
    <t>Beijing Forever Technology Co. Ltd. Class A(300365)</t>
  </si>
  <si>
    <t>Shenzhen Ysstech Info-tech Co. Ltd. Class A(300377)</t>
  </si>
  <si>
    <t>Majesco(MJCO)</t>
  </si>
  <si>
    <t>Longshine Technology Co. Ltd. Class A(300682)</t>
  </si>
  <si>
    <t>Identiv Inc.(INVE)</t>
  </si>
  <si>
    <t>Founder Technology Group Corp. Class A(600601)</t>
  </si>
  <si>
    <t>Key Tronic Corp.(KTCC)</t>
  </si>
  <si>
    <t>RumbleON Inc. Class B(RMBL)</t>
  </si>
  <si>
    <t>MIN AIK Technology Co. Ltd.(3060)</t>
  </si>
  <si>
    <t>CUROCOM Co. Ltd.(040350)</t>
  </si>
  <si>
    <t>AOI Electronics Co. Ltd.(6832)</t>
  </si>
  <si>
    <t>inTEST Corp.(INTT)</t>
  </si>
  <si>
    <t>ICD Co. Ltd.(040910)</t>
  </si>
  <si>
    <t>Dai-ichi Seiko Co. Ltd.(6640)</t>
  </si>
  <si>
    <t>Guangdong Shenglu Telecommunication Tech Co. Ltd. Class A(002446)</t>
  </si>
  <si>
    <t>H&amp;R Century Union Corp. Class A(000892)</t>
  </si>
  <si>
    <t>Shaanxi Fenghuo Electronics Co. Ltd. Class A(000561)</t>
  </si>
  <si>
    <t>Huizhou Speed Wireless Technology Co. Ltd. Class A(300322)</t>
  </si>
  <si>
    <t>Brigham Minerals Inc.(MNRL)</t>
  </si>
  <si>
    <t>Lilis Energy Inc.(LLEX)</t>
  </si>
  <si>
    <t>Toa Oil Co. Ltd.(5008)</t>
  </si>
  <si>
    <t>Esso SA Francaise(ES)</t>
  </si>
  <si>
    <t>ZhongMan Petroleum and Natural Gas Group Corp. Ltd.(603619)</t>
  </si>
  <si>
    <t>Ranger Energy Services Inc.(RNGR)</t>
  </si>
  <si>
    <t>Quintana Energy Services Inc.(QES)</t>
  </si>
  <si>
    <t>Infrastructure and Energy Alternatives Inc.(IEA)</t>
  </si>
  <si>
    <t>Gigasolar Materials Corp.(3691)</t>
  </si>
  <si>
    <t>Solareast Holdings Co. Ltd. Class A(603366)</t>
  </si>
  <si>
    <t>China Singyes Solar Technologies Holdings Ltd.(750)</t>
  </si>
  <si>
    <t>Wuxi Taiji Industry Co. Ltd. Class A(600667)</t>
  </si>
  <si>
    <t>Valiant Co. Ltd. Class A(002643)</t>
  </si>
  <si>
    <t>Yunnan Yuntianhua Co. Ltd. Class A(600096)</t>
  </si>
  <si>
    <t>Zhejiang Hailide New Material Co. Ltd. Class A(002206)</t>
  </si>
  <si>
    <t>Huabao Flavours &amp; Fragrances Co. Ltd. Class A(300741)</t>
  </si>
  <si>
    <t>Do-Fluoride Chemicals Co. Ltd. Class A(002407)</t>
  </si>
  <si>
    <t>Qingdao Citymedia Co. Ltd. Class A(600229)</t>
  </si>
  <si>
    <t>Shandong Sinocera Functional Material Co. Ltd. Class A(300285)</t>
  </si>
  <si>
    <t>Hubei Kaile Science &amp; Technology Co. Ltd. Class A(600260)</t>
  </si>
  <si>
    <t>Lianhe Chemical Technology Co. Ltd. Class A(002250)</t>
  </si>
  <si>
    <t>North Huajin Chemical Industries Co. Ltd. Class A(000059)</t>
  </si>
  <si>
    <t>CNNC Hua Yuan Titanium Dioxide Co. Ltd. Class A(002145)</t>
  </si>
  <si>
    <t>MCC Meili Cloud Computing Industry Investment Co. Ltd. Class A(000815)</t>
  </si>
  <si>
    <t>Guangxi Yuegui Guangye Holding Co. Ltd. Class A(000833)</t>
  </si>
  <si>
    <t>Suzano SA ADR(SUZ)</t>
  </si>
  <si>
    <t>Xinjiang Joinworld Co. Ltd. Class A(600888)</t>
  </si>
  <si>
    <t>China Nonferrous Metal Industry's Foreign Engineering and Construction Co. Ltd. Class A(000758)</t>
  </si>
  <si>
    <t>Shenzhen Zhongjin Lingnan Nonfemet Co. Ltd. Class A(000060)</t>
  </si>
  <si>
    <t>Baoji Titanium Industry Co. Ltd. Class A(600456)</t>
  </si>
  <si>
    <t>Ningbo Boway Alloy Material Co. Ltd. Class A(601137)</t>
  </si>
  <si>
    <t>Yunnan Tin Co. Ltd. Class A(000960)</t>
  </si>
  <si>
    <t>Yunnan Copper Co. Ltd. Class A(000878)</t>
  </si>
  <si>
    <t>Sichuan Hongda Co. Ltd. Class A(600331)</t>
  </si>
  <si>
    <t>Nanjing Yunhai Special Metals Co. Ltd. Class A(002182)</t>
  </si>
  <si>
    <t>Liuzhou Iron &amp; Steel Co. Ltd. Class A(601003)</t>
  </si>
  <si>
    <t>Changshu Fengfan Power Equipment Co. Ltd. Class A(601700)</t>
  </si>
  <si>
    <t>Henan Hengxing Science &amp; Technology Co. Ltd. Class A(002132)</t>
  </si>
  <si>
    <t>Ampco-Pittsburgh Corp.(AP)</t>
  </si>
  <si>
    <t>Grupo Simec SAB de CV Class B(SIMECB)</t>
  </si>
  <si>
    <t>Gansu Jiu Steel Group Hongxing Iron &amp; Steel Co. Ltd. Class A(600307)</t>
  </si>
  <si>
    <t>China Coal Energy Co. Ltd. Class A(601898)</t>
  </si>
  <si>
    <t>Baotailong New Materials Co. Ltd. Class A(601011)</t>
  </si>
  <si>
    <t>Jizhong Energy Resources Co. Ltd. Class A(000937)</t>
  </si>
  <si>
    <t>Shandong Humon Smelting Co. Ltd. Class A(002237)</t>
  </si>
  <si>
    <t>Hunan Gold Corp. Ltd. Class A(002155)</t>
  </si>
  <si>
    <t>Jangho Group Co. Ltd. Class A(601886)</t>
  </si>
  <si>
    <t>Youngy Co. Ltd. Class A(002192)</t>
  </si>
  <si>
    <t>Fujian Cement Inc. Class A(600802)</t>
  </si>
  <si>
    <t>Jilin Yatai Group Co. Ltd. Class A(600881)</t>
  </si>
  <si>
    <t>Northern Region Cement Co.(3004)</t>
  </si>
  <si>
    <t>Cimsa Cimento Sanayi VE Ticaret AS(CIMSA)</t>
  </si>
  <si>
    <t>Akcansa Cimento AS(AKCNS)</t>
  </si>
  <si>
    <t>Ningxia Building Materials Group Co. Ltd. Class A(600449)</t>
  </si>
  <si>
    <t>Fauji Cement Co. Ltd.(FCCL)</t>
  </si>
  <si>
    <t>Gecoss Corp.(9991)</t>
  </si>
  <si>
    <t>Decmil Group Ltd.(DCG)</t>
  </si>
  <si>
    <t>Shanghai Tunnel Engineering Co. Ltd. Class A(600820)</t>
  </si>
  <si>
    <t>AVIC Helicopter Co. Ltd. Class A(600038)</t>
  </si>
  <si>
    <t>Changsha Jingjia Microelectronics Co. Ltd. Class A(300474)</t>
  </si>
  <si>
    <t>Shenzhen YUTO Packaging Technology Co. Ltd. Class A(002831)</t>
  </si>
  <si>
    <t>Anadolu Cam Sanayii AS(ANACM)</t>
  </si>
  <si>
    <t>Hanil Holdings Co. Ltd.(003300)</t>
  </si>
  <si>
    <t>Hunan Aihua Group Co. Ltd. Class A(603989)</t>
  </si>
  <si>
    <t>Genimous Technology Co. Ltd. Class A(000676)</t>
  </si>
  <si>
    <t>Montnets Rongxin Technology Group Co. Ltd. Class A(002123)</t>
  </si>
  <si>
    <t>Dynamic Electronics Co. Ltd.(6251)</t>
  </si>
  <si>
    <t>Fujian Torch Electron Technology Co. Ltd. Class A(603678)</t>
  </si>
  <si>
    <t>Henan Senyuan Electric Co. Ltd. Class A(002358)</t>
  </si>
  <si>
    <t>Shenzhen Desay Battery Technology Co. Class A(000049)</t>
  </si>
  <si>
    <t>North Electro-Optic Co. Ltd. Class A(600184)</t>
  </si>
  <si>
    <t>LianChuang Electronic Technology Co. Ltd. Class A(002036)</t>
  </si>
  <si>
    <t>Henan Ancai Hi-Tech Co. Ltd. Class A(600207)</t>
  </si>
  <si>
    <t>Qingdao Zhongzi Zhongcheng Group Co. Ltd.(300208)</t>
  </si>
  <si>
    <t>Shenzhen Infinova Ltd. Class A(002528)</t>
  </si>
  <si>
    <t>Capstone Turbine Corp.(CPST)</t>
  </si>
  <si>
    <t>Vivotek Inc.(3454)</t>
  </si>
  <si>
    <t>Jilin Sino-Microelectronics Co. Ltd. Class A(600360)</t>
  </si>
  <si>
    <t>Zhongshan Broad Ocean Motor Co. Ltd. Class A(002249)</t>
  </si>
  <si>
    <t>Shenzhen Invt Electric Co. Ltd. Class A(002334)</t>
  </si>
  <si>
    <t>Boxlight Corp. Class A(BOXL)</t>
  </si>
  <si>
    <t>Suzhou Jinfu Technology Co. Ltd. Class A(300128)</t>
  </si>
  <si>
    <t>Unilumin Group Co. Ltd. Class A(300232)</t>
  </si>
  <si>
    <t>Nanjing Keyuan Automatic Corp. Co. Ltd. Class A(002380)</t>
  </si>
  <si>
    <t>Launch Tech Co. Ltd.(2488)</t>
  </si>
  <si>
    <t>Jiangsu Linyang Energy Co. Ltd. Class A(601222)</t>
  </si>
  <si>
    <t>Zhejiang Huamei Holding Co. Ltd. Class A(000607)</t>
  </si>
  <si>
    <t>BOE Varitronix Ltd.(710)</t>
  </si>
  <si>
    <t>Shenzhen Everwin Precision Technology Co. Ltd. Class A(300115)</t>
  </si>
  <si>
    <t>Guodian Nanjing Automation Co. Ltd. Class A(600268)</t>
  </si>
  <si>
    <t>Horizon Global Corp.(HZN)</t>
  </si>
  <si>
    <t>Kinki Sharyo Co. Ltd.(7122)</t>
  </si>
  <si>
    <t>First Tractor Co. Ltd. Class A(601038)</t>
  </si>
  <si>
    <t>JC Finance &amp; Tax Interconnect Holdings Ltd. Class A(002530)</t>
  </si>
  <si>
    <t>Beijing Jingyuntong Technology Co. Ltd. Class A(601908)</t>
  </si>
  <si>
    <t>Nanfang Zhongjin Environment Co. Ltd. Class A(300145)</t>
  </si>
  <si>
    <t>Zhejiang Dingli Machinery Co. Ltd. Class A(603338)</t>
  </si>
  <si>
    <t>Canny Elevator Co. Ltd. Class A(002367)</t>
  </si>
  <si>
    <t>Perma-Pipe International Holdings Inc.(PPIH)</t>
  </si>
  <si>
    <t>Dongfang Electric Corp. Ltd. Class A(600875)</t>
  </si>
  <si>
    <t>Dalian Refrigeration Co. Ltd. Class A(000530)</t>
  </si>
  <si>
    <t>Gem-Year Industrial Co. Ltd. Class A(601002)</t>
  </si>
  <si>
    <t>Taewoong Co. Ltd.(044490)</t>
  </si>
  <si>
    <t>North Navigation Control Technology Co. Ltd. Class A(600435)</t>
  </si>
  <si>
    <t>Zhengzhou Coal Mining Machinery Group Co. Ltd. Class A(601717)</t>
  </si>
  <si>
    <t>CSSC Science &amp; Technology Co. Ltd. Class A(600072)</t>
  </si>
  <si>
    <t>Jiangsu Rainbow Heavy Industries Co. Ltd. Class A(002483)</t>
  </si>
  <si>
    <t>Chugai Ro Co. Ltd.(1964)</t>
  </si>
  <si>
    <t>Tian Di Science &amp; Technology Co. Ltd. Class A(600582)</t>
  </si>
  <si>
    <t>Deppon Logistics Co. Ltd. Class A(603056)</t>
  </si>
  <si>
    <t>Shipping Corp. of India Ltd.(SCI)</t>
  </si>
  <si>
    <t>Chongqing Road &amp; Bridge Co. Ltd. Class A(600106)</t>
  </si>
  <si>
    <t>Eternal Asia Supply Chain Management Ltd. Class A(002183)</t>
  </si>
  <si>
    <t>Shenzhen Expressway Co. Ltd. Class A(600548)</t>
  </si>
  <si>
    <t>Sinotrans Ltd. Class A(601598)</t>
  </si>
  <si>
    <t>Beijing Changjiu Logistics Corp. Class A(603569)</t>
  </si>
  <si>
    <t>Anhui Wanjiang Logistics Group Co. Ltd. Class A(600575)</t>
  </si>
  <si>
    <t>Dalian Port PDA Co. Ltd.(2880)</t>
  </si>
  <si>
    <t>CMST Development Co. Ltd. Class A(600787)</t>
  </si>
  <si>
    <t>Shenzhen Selen Science &amp; Technology Co. Ltd. Class A(002341)</t>
  </si>
  <si>
    <t>DLH Holdings Corp.(DLHC)</t>
  </si>
  <si>
    <t>Lincoln Educational Services Corp.(LINC)</t>
  </si>
  <si>
    <t>China National Complete Plant Import &amp; Export Corp. Ltd. Class A(000151)</t>
  </si>
  <si>
    <t>Grand Industrial Holding Group Co. Ltd.(000626)</t>
  </si>
  <si>
    <t>Sharps Compliance Corp.(SMED)</t>
  </si>
  <si>
    <t>Beiqi Foton Motor Co. Ltd. Class A(600166)</t>
  </si>
  <si>
    <t>Akebono Brake Industry Co. Ltd.(7238)</t>
  </si>
  <si>
    <t>Shanghai Jiao Yun Co. Ltd. Class A(600676)</t>
  </si>
  <si>
    <t>GuangDong PaiSheng Intelligent Technology Co. Ltd. Class A(300176)</t>
  </si>
  <si>
    <t>EGE Endustri VE Ticaret AS(EGEEN)</t>
  </si>
  <si>
    <t>Songz Automobile Air Conditioning Co. Ltd. Class A(002454)</t>
  </si>
  <si>
    <t>JiuGui Liquor Co. Ltd. Class A(000799)</t>
  </si>
  <si>
    <t>Qinghai Huzhu Barley Wine Co. Ltd. Class A(002646)</t>
  </si>
  <si>
    <t>Inner Mongolia M-Grass Ecology And Enviroment Group Co. Ltd. Class A(300355)</t>
  </si>
  <si>
    <t>Guangdong Guanghong Holdings Co. Ltd. Class A(000529)</t>
  </si>
  <si>
    <t>S&amp;W Seed Co.(SANW)</t>
  </si>
  <si>
    <t>Liaoning Wellhope Agri-Tech JSC Ltd. Class A(603609)</t>
  </si>
  <si>
    <t>Bajaj Hindusthan Sugar Ltd.(BAJAJHIND)</t>
  </si>
  <si>
    <t>Cleanup Corp.(7955)</t>
  </si>
  <si>
    <t>AUCMA Co. Ltd. Class A(600336)</t>
  </si>
  <si>
    <t>Acme United Corp.(ACU)</t>
  </si>
  <si>
    <t>Kewaunee Scientific Corp.(KEQU)</t>
  </si>
  <si>
    <t>Shenzhen Fenda Technology Co. Ltd. Class A(002681)</t>
  </si>
  <si>
    <t>Shenzhen Absen Optoelectronic Co. Ltd. Class A(300389)</t>
  </si>
  <si>
    <t>Innovate Biopharmaceuticals Inc.(INNT)</t>
  </si>
  <si>
    <t>Advanced International Multitech Co. Ltd.(8938)</t>
  </si>
  <si>
    <t>China Beidahuang Industry Group Holdings Ltd.(39)</t>
  </si>
  <si>
    <t>Fujian Septwolves Industry Co. Ltd. Class A(002029)</t>
  </si>
  <si>
    <t>Jihua Group Corp. Ltd. Class A(601718)</t>
  </si>
  <si>
    <t>Global Brands Group Holding Ltd.(787)</t>
  </si>
  <si>
    <t>Xinfengming Group Co. Ltd. Class A(603225)</t>
  </si>
  <si>
    <t>Nien Hsing Textile Co. Ltd.(1451)</t>
  </si>
  <si>
    <t>Agabang&amp;Company(013990)</t>
  </si>
  <si>
    <t>Takihyo Co. Ltd.(9982)</t>
  </si>
  <si>
    <t>Cosmax BTI Inc(044820)</t>
  </si>
  <si>
    <t>Strata Skin Sciences Inc.(SSKN)</t>
  </si>
  <si>
    <t>Silk Road Medical Inc.(SILK)</t>
  </si>
  <si>
    <t>Medicalsystem Biotechnology Co. Ltd. Class A(300439)</t>
  </si>
  <si>
    <t>Kodiak Sciences Inc.(KOD)</t>
  </si>
  <si>
    <t>Maccura Biotechnology Co. Ltd. Class A(300463)</t>
  </si>
  <si>
    <t>Changzhou Qianhong Biopharma Co. Ltd. Class A(002550)</t>
  </si>
  <si>
    <t>Chongqing Pharscin Pharmaceutical Co. Ltd. Class A(002907)</t>
  </si>
  <si>
    <t>AgeX Therapeutics Inc.(AGE)</t>
  </si>
  <si>
    <t>Corvus Pharmaceuticals Inc.(CRVS)</t>
  </si>
  <si>
    <t>Cohbar Inc.(CWBR)</t>
  </si>
  <si>
    <t>BGI Genomics Co. Ltd.(300676)</t>
  </si>
  <si>
    <t>Yantai Dongcheng Pharmaceutical Co. Ltd. Class A(002675)</t>
  </si>
  <si>
    <t>HPGC Renmintongtai Pharmaceutical Corp. Class A(600829)</t>
  </si>
  <si>
    <t>Humanwell Healthcare Group Co. Ltd. Class A(600079)</t>
  </si>
  <si>
    <t>Aquestive Therapeutics Inc.(AQST)</t>
  </si>
  <si>
    <t>Shandong Xinhua Pharmaceutical Co. Ltd. Class A(000756)</t>
  </si>
  <si>
    <t>Zhejiang Jiuzhou Pharmaceutical Co. Ltd. Class A(603456)</t>
  </si>
  <si>
    <t>EIS Eczacibasi Ilac ve Sinai ve Finansal Yatirimlar Sanayi ve Ticaret AS(ECILC)</t>
  </si>
  <si>
    <t>Huaren Pharmaceutical Co. Ltd. Class A(300110)</t>
  </si>
  <si>
    <t>Beijing Science Sun Pharmaceutical Co. Ltd. Class A(300485)</t>
  </si>
  <si>
    <t>Zhejiang Medicine Co. Ltd. Class A(600216)</t>
  </si>
  <si>
    <t>HeiLongJiang ZBD Pharmaceutical Co. Ltd. Class A(603567)</t>
  </si>
  <si>
    <t>Fred's Inc. Class A(FRED)</t>
  </si>
  <si>
    <t>Interpark Holdings Corp.(035080)</t>
  </si>
  <si>
    <t>Baida Group Co. Ltd. Class A(600865)</t>
  </si>
  <si>
    <t>Parkson Retail Group Ltd.(3368)</t>
  </si>
  <si>
    <t>Shanghai Bailian Group Co. Ltd. Class A(600827)</t>
  </si>
  <si>
    <t>Shanghai Xin Nanyang Only Education &amp; Technology Co. Ltd. Class A(600661)</t>
  </si>
  <si>
    <t>Laox Co. Ltd.(8202)</t>
  </si>
  <si>
    <t>Paris Miki Holdings Inc.(7455)</t>
  </si>
  <si>
    <t>Zhejiang China Light &amp; Textile Industrial City Group Co. Ltd. Class A(600790)</t>
  </si>
  <si>
    <t>RealNetworks Inc.(RNWK)</t>
  </si>
  <si>
    <t>China Television Media Ltd. Class A(600088)</t>
  </si>
  <si>
    <t>Chicken Soup For The Soul Entertainment Inc.(CSSE)</t>
  </si>
  <si>
    <t>Shenzhen Topway Video Communication Co. Ltd. Class A(002238)</t>
  </si>
  <si>
    <t>LiveXLive Media Inc.(LIVX)</t>
  </si>
  <si>
    <t>Tateru Inc.(1435)</t>
  </si>
  <si>
    <t>Hunan TV &amp; Broadcast Intermediary Co. Ltd. Class A(000917)</t>
  </si>
  <si>
    <t>Shandong Publishing &amp; Media Co. Ltd. Class A(601019)</t>
  </si>
  <si>
    <t>Twin River Worldwide Holdings Inc.(TRWH)</t>
  </si>
  <si>
    <t>China CYTS Tours Holding Co. Ltd. Class A(600138)</t>
  </si>
  <si>
    <t>Total Access Communication PCL (Foreign)(DTAC-F)</t>
  </si>
  <si>
    <t>Zorlu Enerji Elektrik Uretim AS(ZOREN)</t>
  </si>
  <si>
    <t>Guangzhou Development Group Inc. Class A(600098)</t>
  </si>
  <si>
    <t>Aksa Enerji Uretim AS Class B(AKSEN)</t>
  </si>
  <si>
    <t>An Hui Wenergy Co. Ltd. Class A(000543)</t>
  </si>
  <si>
    <t>Spencer's Retail Ltd.(SPENCERS)</t>
  </si>
  <si>
    <t>CECEP Wind-Power Corp. Class A(601016)</t>
  </si>
  <si>
    <t>Chongqing Three Gorges Water Conservancy &amp; Electric Power Co. Ltd. Class A(600116)</t>
  </si>
  <si>
    <t>Hyflux Ltd.(600)</t>
  </si>
  <si>
    <t>Chongqing Water Group Co. Ltd. Class A(601158)</t>
  </si>
  <si>
    <t>Shengjing Bank Co. Ltd.(2066)</t>
  </si>
  <si>
    <t>Sekerbank Turk AS(SKBNK)</t>
  </si>
  <si>
    <t>IF Bancorp Inc.(IROQ)</t>
  </si>
  <si>
    <t>Oak Valley Bancorp(OVLY)</t>
  </si>
  <si>
    <t>Albaraka Turk Katilim Bankasi AS(ALBRK)</t>
  </si>
  <si>
    <t>GWG Holdings Inc.(GWGH)</t>
  </si>
  <si>
    <t>Shenzhen Special Economic Zone Real Estate &amp; Properties Group Co. Ltd. Class A(000029)</t>
  </si>
  <si>
    <t>Agung Podomoro Land Tbk PT(APLN)</t>
  </si>
  <si>
    <t>China Calxon Group Co. Ltd. Class A(000918)</t>
  </si>
  <si>
    <t>Avalon GloboCare Corp.(AVCO)</t>
  </si>
  <si>
    <t>Bekasi Fajar Industrial Estate Tbk PT(BEST)</t>
  </si>
  <si>
    <t>Guangzhou Pearl River Industrial Development Co. Ltd. Class A(600684)</t>
  </si>
  <si>
    <t>Beijing Urban Construction Investment &amp; Development Co. Ltd. Class A(600266)</t>
  </si>
  <si>
    <t>Zhongchang Big Data Corp. Ltd. Class A(600242)</t>
  </si>
  <si>
    <t>Is Gayrimenkul Yatirim Ortakligi AS(ISGYO)</t>
  </si>
  <si>
    <t>Rebosis Property Fund Ltd.(REB)</t>
  </si>
  <si>
    <t>Global Self Storage Inc.(SELF)</t>
  </si>
  <si>
    <t>Union Financiere de France BQE SA(UFF)</t>
  </si>
  <si>
    <t>Manning &amp; Napier Inc.(MN)</t>
  </si>
  <si>
    <t>Consumer Portfolio Services Inc.(CPSS)</t>
  </si>
  <si>
    <t>Manhattan Bridge Capital Inc.(LOAN)</t>
  </si>
  <si>
    <t>First Capital Securities Co. Ltd. Class A(002797)</t>
  </si>
  <si>
    <t>Reliance Home Finance Ltd.(RHFL)</t>
  </si>
  <si>
    <t>Guomai Technologies Inc. Class A(002093)</t>
  </si>
  <si>
    <t>Hand Enterprise Solutions Co. Ltd. Class A(300170)</t>
  </si>
  <si>
    <t>Enjoyor Co. Ltd. Class A(300020)</t>
  </si>
  <si>
    <t>Wutong Holding Group Co. Ltd. Class A(300292)</t>
  </si>
  <si>
    <t>IReader Technology Co. Ltd. Class A(603533)</t>
  </si>
  <si>
    <t>Sichuan Jiuyuan Yinhai Software Co. Ltd. Class A(002777)</t>
  </si>
  <si>
    <t>Thunder Software Technology Co. Ltd. Class A(300496)</t>
  </si>
  <si>
    <t>Daheng New Epoch Technology Inc. Class A(600288)</t>
  </si>
  <si>
    <t>Fujian Rongji Software Co. Ltd. Class A(002474)</t>
  </si>
  <si>
    <t>NSFOCUS Information Technology Co. Ltd. Class A(300369)</t>
  </si>
  <si>
    <t>Dr Peng Telecom &amp; Media Group Co. Ltd. Class A(600804)</t>
  </si>
  <si>
    <t>263 Network Communications Co. Ltd. Class A(002467)</t>
  </si>
  <si>
    <t>Shenzhen Infogem Technologies Co. Ltd. Class A(300085)</t>
  </si>
  <si>
    <t>QAD Inc. Class B(QADB)</t>
  </si>
  <si>
    <t>Shenzhen Sunline Tech Co. Ltd. Class A(300348)</t>
  </si>
  <si>
    <t>Support.com Inc.(SPRT)</t>
  </si>
  <si>
    <t>Beijing Join-Cheer Software Co. Ltd. Class A(002279)</t>
  </si>
  <si>
    <t>Beijing VRV Software Corp. Ltd. Class A(300352)</t>
  </si>
  <si>
    <t>Hangzhou Lianluo Interactive Information Technology Co. Ltd. Class A(002280)</t>
  </si>
  <si>
    <t>Hanwang Technology Co. Ltd. Class A(002362)</t>
  </si>
  <si>
    <t>Fujitsu Frontech Ltd.(6945)</t>
  </si>
  <si>
    <t>Icad Inc.(ICAD)</t>
  </si>
  <si>
    <t>TongFu Microelectronics Co. Ltd. Class A(002156)</t>
  </si>
  <si>
    <t>Zhuhai Orbita Aerospace Science &amp; Technology Co. Ltd. Class A(300053)</t>
  </si>
  <si>
    <t>Tokyo Electron Device Ltd.(2760)</t>
  </si>
  <si>
    <t>Lumens Co. Ltd.(038060)</t>
  </si>
  <si>
    <t>Resonant Inc.(RESN)</t>
  </si>
  <si>
    <t>Nanjing Panda Electronics Co. Ltd. Class A(600775)</t>
  </si>
  <si>
    <t>Seachange International Inc.(SEAC)</t>
  </si>
  <si>
    <t>Gohigh Data Networks Technology Co. Ltd. Class A(000851)</t>
  </si>
  <si>
    <t>Lantronix Inc.(LTRX)</t>
  </si>
  <si>
    <t>Albioma SA(null)</t>
  </si>
  <si>
    <t>HY Energy Group Co. Ltd. Class A(600387)</t>
  </si>
  <si>
    <t>Sinopec Shandong Taishan Petroleum Co. Ltd. Class A(000554)</t>
  </si>
  <si>
    <t>Sunshine Oilsands Ltd.(2012)</t>
  </si>
  <si>
    <t>Legacy Reserves Inc.(LGCY)</t>
  </si>
  <si>
    <t>Rosehill Resources Inc. Class A(ROSE)</t>
  </si>
  <si>
    <t>Bourbon Corp.(GBB)</t>
  </si>
  <si>
    <t>China Oil HBP Science &amp; Technology Co. Ltd. Class A(002554)</t>
  </si>
  <si>
    <t>Jiangsu Zongyi Co. Ltd. Class A(600770)</t>
  </si>
  <si>
    <t>Jolywood Suzhou Sunwatt Co. Ltd. Class A(300393)</t>
  </si>
  <si>
    <t>Pacific Ethanol Inc.(PEIX)</t>
  </si>
  <si>
    <t>Zhejiang Yongtai Technology Co. Ltd. Class A(002326)</t>
  </si>
  <si>
    <t>Tangshan Sanyou Chemical Industries Co. Ltd. Class A(600409)</t>
  </si>
  <si>
    <t>Shanxi Coking Co. Ltd. Class A(600740)</t>
  </si>
  <si>
    <t>Anhui Wanwei Updated High-Tech Material Industry Co. Ltd. Class A(600063)</t>
  </si>
  <si>
    <t>Anhui Sierte Fertilizer Industry Ltd. Co. Class A(002538)</t>
  </si>
  <si>
    <t>Great Chinasoft Technology Co. Ltd. Class A(002453)</t>
  </si>
  <si>
    <t>Shandong Sinobioway Biomedicine Co. Ltd. Class A(002581)</t>
  </si>
  <si>
    <t>United-Guardian Inc.(UG)</t>
  </si>
  <si>
    <t>Zhejiang Communications Technology Co. Ltd.(002061)</t>
  </si>
  <si>
    <t>Stanley Agricultural Group Co. Ltd. Class A(002588)</t>
  </si>
  <si>
    <t>Cangzhou Mingzhu Plastic Co. Ltd. Class A(002108)</t>
  </si>
  <si>
    <t>Sichuan Yahua Industrial Group Co. Ltd. Class A(002497)</t>
  </si>
  <si>
    <t>Kingfa Sci &amp; Tech Co. Ltd. Class A(600143)</t>
  </si>
  <si>
    <t>Fujian Qingshan Paper Industry Co. Ltd. Class A(600103)</t>
  </si>
  <si>
    <t>Chengtun Mining Group Co. Ltd. Class A(600711)</t>
  </si>
  <si>
    <t>Hunan Corun New Energy Co. Ltd. Class A(600478)</t>
  </si>
  <si>
    <t>Advanced Technology &amp; Materials Co. Ltd. Class A(000969)</t>
  </si>
  <si>
    <t>Nakayama Steel Works Ltd.(5408)</t>
  </si>
  <si>
    <t>SeAH Steel Corp.(306200)</t>
  </si>
  <si>
    <t>Zhe Jiang Kangsheng Co. Ltd. Class A(002418)</t>
  </si>
  <si>
    <t>SeAH Steel Holdings Corp.(003030)</t>
  </si>
  <si>
    <t>Gansu Gangtai Holding Group Co. Ltd. Class A(600687)</t>
  </si>
  <si>
    <t>SGIS Songshan Co. Ltd. Class A(000717)</t>
  </si>
  <si>
    <t>Friedman Industries Inc.(FRD)</t>
  </si>
  <si>
    <t>Pingdingshan Tianan Coal Mining Co. Ltd. Class A(601666)</t>
  </si>
  <si>
    <t>Yanzhou Coal Mining Co. Ltd. Class A(600188)</t>
  </si>
  <si>
    <t>Yang Quan Coal Industry Group Co. Ltd. Class A(600348)</t>
  </si>
  <si>
    <t>Jiangsu Changhai Composite Materials Co. Ltd. Class A(300196)</t>
  </si>
  <si>
    <t>Zhongfu Straits Pingtan Development Co. Ltd. Class A(000592)</t>
  </si>
  <si>
    <t>Universal Cement Corp.(1104)</t>
  </si>
  <si>
    <t>Gansu Qilianshan Cement Group Co. Ltd. Class A(600720)</t>
  </si>
  <si>
    <t>Al Jouf Cement Co.(3091)</t>
  </si>
  <si>
    <t>Shandong Jinjing Science &amp; Technology Co. Ltd. Class A(600586)</t>
  </si>
  <si>
    <t>Arabian Cement Co./Saudi Arabia(3010)</t>
  </si>
  <si>
    <t>Yamama Cement Co.(3020)</t>
  </si>
  <si>
    <t>Ningxia Qinglong Pipes Industry Co. Ltd. Class A(002457)</t>
  </si>
  <si>
    <t>DeHua TB New Decoration Materials Co. Ltd. Class A(002043)</t>
  </si>
  <si>
    <t>Keda Group Co. Ltd. Class A(600986)</t>
  </si>
  <si>
    <t>Long Yuan Construction Group Co. Ltd. Class A(600491)</t>
  </si>
  <si>
    <t>JCHX Mining Management Co. Ltd. Class A(603979)</t>
  </si>
  <si>
    <t>MYS Group Co. Ltd.(002303)</t>
  </si>
  <si>
    <t>Zhejiang Zhongcheng Packing Material Co. Ltd. Class A(002522)</t>
  </si>
  <si>
    <t>Aerospace Communications Holding Group Co. Ltd. Class A(600677)</t>
  </si>
  <si>
    <t>Zhejiang Daily Digital Culture Group Co. Ltd. Class A(600633)</t>
  </si>
  <si>
    <t>Beijing Aerospace Changfeng Co. Ltd. Class A(600855)</t>
  </si>
  <si>
    <t>Far East Smarter Energy Co. Ltd. Class A(600869)</t>
  </si>
  <si>
    <t>Shenzhen Huakong SEG Co. Ltd. Class A(000068)</t>
  </si>
  <si>
    <t>Hangzhou Zhongheng Electric Co. Ltd. Class A(002364)</t>
  </si>
  <si>
    <t>Zhuhai Huajin Capital Co. Ltd. Class A(000532)</t>
  </si>
  <si>
    <t>Citychamp Dartong Co. Ltd. Class A(600067)</t>
  </si>
  <si>
    <t>Shenzhen Kstar Science And Technology Co. Ltd. Class A(002518)</t>
  </si>
  <si>
    <t>Nuode Investment Co. Ltd. Class A(600110)</t>
  </si>
  <si>
    <t>Shenzhen Topraysolar Co. Ltd. Class A(002218)</t>
  </si>
  <si>
    <t>UQM Technologies Inc.(UQM)</t>
  </si>
  <si>
    <t>Henan Pinggao Electric Co. Ltd. Class A(600312)</t>
  </si>
  <si>
    <t>Nantong Jianghai Capacitor Co. Ltd. Class A(002484)</t>
  </si>
  <si>
    <t>Jiangxi Lianchuang Optoelectronic Science &amp; Technology Co. Ltd. Class A(600363)</t>
  </si>
  <si>
    <t>Guangdong Chaohua Technology Co. Ltd. Class A(002288)</t>
  </si>
  <si>
    <t>G-SMATT GLOBAL Co. Ltd.(114570)</t>
  </si>
  <si>
    <t>Anhui Tongfeng Electronics Co. Ltd. Class A(600237)</t>
  </si>
  <si>
    <t>Espey Manufacturing &amp; Electronics Corp.(ESP)</t>
  </si>
  <si>
    <t>Hongli Zhihui Group Co. Ltd. Class A(300219)</t>
  </si>
  <si>
    <t>Ke Hua Heng Sheng Co. Ltd. Class A(002335)</t>
  </si>
  <si>
    <t>Infund Holding Co. Ltd.(002141)</t>
  </si>
  <si>
    <t>Hengbao Co. Ltd. Class A(002104)</t>
  </si>
  <si>
    <t>Gigastorage Corp.(2406)</t>
  </si>
  <si>
    <t>Sichuan Jiuzhou Electric Co. Ltd. Class A(000801)</t>
  </si>
  <si>
    <t>Guangzhou KingTeller Technology Co. Ltd. Class A(002177)</t>
  </si>
  <si>
    <t>Lanzhou Great Wall Electrical Co. Ltd. Class A(600192)</t>
  </si>
  <si>
    <t>Research Frontiers Inc.(REFR)</t>
  </si>
  <si>
    <t>Shanghai Guangdian Electric Group Co. Ltd. Class A(601616)</t>
  </si>
  <si>
    <t>Shenzhen Zhengtong Electronics Co. Ltd. Class A(002197)</t>
  </si>
  <si>
    <t>Beijing Sifang Automation Co. Ltd. Class A(601126)</t>
  </si>
  <si>
    <t>Nanjing Xinlian Electronics Co. Ltd. Class A(002546)</t>
  </si>
  <si>
    <t>Hangzhou Sunrise Technology Co. Ltd. Class A(300360)</t>
  </si>
  <si>
    <t>CPT Technology Group Co. Ltd. Class A(000536)</t>
  </si>
  <si>
    <t>Millat Tractors Ltd.(MTL)</t>
  </si>
  <si>
    <t>Zhongtong Bus Holding Co. Ltd. Class A(000957)</t>
  </si>
  <si>
    <t>Chongqing Dima Industry Co. Ltd. Class A(600565)</t>
  </si>
  <si>
    <t>Sinoma International Engineering Co. Class A(600970)</t>
  </si>
  <si>
    <t>Sintex Industries Ltd.(SINTEX)</t>
  </si>
  <si>
    <t>TianGuang ZhongMao Co. Ltd. Class A(002509)</t>
  </si>
  <si>
    <t>Xuji Electric Co. Ltd. Class A(000400)</t>
  </si>
  <si>
    <t>Hangzhou Boiler Group Co. Ltd. Class A(002534)</t>
  </si>
  <si>
    <t>Avic Aviation High-Technology Co. Ltd. Class A(600862)</t>
  </si>
  <si>
    <t>Zhejiang Shuanghuan Driveline Co. Ltd. Class A(002472)</t>
  </si>
  <si>
    <t>Huaming Power Equipment Co. Ltd. Class A(002270)</t>
  </si>
  <si>
    <t>Dalian Refrigeration Co. Ltd. Class B(200530)</t>
  </si>
  <si>
    <t>Jiangxi Special Electric Motor Co. Ltd. Class A(002176)</t>
  </si>
  <si>
    <t>CTS International Logistics Corp. Ltd. Class A(603128)</t>
  </si>
  <si>
    <t>Jinzhou Port Co. Ltd. Class A(600190)</t>
  </si>
  <si>
    <t>Xiamen International Port Co. Ltd.(3378)</t>
  </si>
  <si>
    <t>Chongqing Gangjiu Co. Ltd. Class A(600279)</t>
  </si>
  <si>
    <t>Sundy Land Investment Co. Ltd. Class A(600077)</t>
  </si>
  <si>
    <t>Hainan Expressway Co. Ltd. Class A(000886)</t>
  </si>
  <si>
    <t>Tungkong Inc. Class A(002117)</t>
  </si>
  <si>
    <t>Wuhan Jingce Electronic Group Co. Ltd. Class A(300567)</t>
  </si>
  <si>
    <t>Hudson Global Inc.(HSON)</t>
  </si>
  <si>
    <t>Xiamen ITG Group Corp. Ltd. Class A(600755)</t>
  </si>
  <si>
    <t>Guangdong Mingzhu Group Co. Ltd. Class A(600382)</t>
  </si>
  <si>
    <t>Minmetals Development Co. Ltd. Class A(600058)</t>
  </si>
  <si>
    <t>China Chengtong Development Group Ltd.(217)</t>
  </si>
  <si>
    <t>NRC Group Holdings Corp.(NRCG)</t>
  </si>
  <si>
    <t>Liaoning SG Automotive Group Co. Ltd. Class A(600303)</t>
  </si>
  <si>
    <t>Tianjin Faw Xiali Automobile Co. Ltd. Class A(000927)</t>
  </si>
  <si>
    <t>Xiamen King Long Motor Group Co. Ltd. Class A(600686)</t>
  </si>
  <si>
    <t>Zhejiang Jingu Co. Ltd. Class A(002488)</t>
  </si>
  <si>
    <t>Ningbo Huaxiang Electronic Co. Ltd. Class A(002048)</t>
  </si>
  <si>
    <t>Camel Group Co. Ltd. Class A(601311)</t>
  </si>
  <si>
    <t>Lingyun Industrial Corp. Ltd. Class A(600480)</t>
  </si>
  <si>
    <t>Sichuan Chengfei Integration Technology Corp. Class A(002190)</t>
  </si>
  <si>
    <t>Jiangnan Mould and Plastic Technology Co. Ltd. Class A(000700)</t>
  </si>
  <si>
    <t>Shanghai Huayi Group Co. Ltd. Class A(600623)</t>
  </si>
  <si>
    <t>GITI Tire Corp. Class A(600182)</t>
  </si>
  <si>
    <t>Zhejiang Guyuelongshan Shaoxing Wine Co. Ltd. Class A(600059)</t>
  </si>
  <si>
    <t>Shandong Denghai Seeds Co. Ltd. Class A(002041)</t>
  </si>
  <si>
    <t>Shandong Xiantan Co. Ltd. Class A(002746)</t>
  </si>
  <si>
    <t>EGing Photovoltaic Technology Co. Ltd. Class A(600537)</t>
  </si>
  <si>
    <t>CJ Corp - Convert Preference shares(null)</t>
  </si>
  <si>
    <t>JinJian Cereals Industry Co. Ltd. Class A(600127)</t>
  </si>
  <si>
    <t>Guangzhou Restaurant Group Co. Ltd. Class A(603043)</t>
  </si>
  <si>
    <t>Greenyard NV(GREEN)</t>
  </si>
  <si>
    <t>Xinjiang Guannong Fruit &amp; Antler Group Co. Ltd. Class A(600251)</t>
  </si>
  <si>
    <t>COFCO Tunhe Sugar Co. Ltd. Class A(600737)</t>
  </si>
  <si>
    <t>Xiwang Foodstuffs Co. Ltd. Class A(000639)</t>
  </si>
  <si>
    <t>Yotrio Group Co. Ltd. Class A(002489)</t>
  </si>
  <si>
    <t>Guangzhou Holike Creative Home Co. Ltd. Class A(603898)</t>
  </si>
  <si>
    <t>Consorcio ARA SAB de CV(ARA*)</t>
  </si>
  <si>
    <t>Skyworth Digital Co. Ltd. Class A(000810)</t>
  </si>
  <si>
    <t>Jiangsu High Hope International Group Corp. Class A(600981)</t>
  </si>
  <si>
    <t>Alpha Pro Tech Ltd.(APT)</t>
  </si>
  <si>
    <t>Zhengzhou Sino Crystal Diamond Co. Ltd. Class A(300064)</t>
  </si>
  <si>
    <t>Zhejiang Aokang Shoes Co. Ltd. Class A(603001)</t>
  </si>
  <si>
    <t>Zhejiang Red Dragonfly Footwear Co. Ltd. Class A(603116)</t>
  </si>
  <si>
    <t>Veru Inc.(VERU)</t>
  </si>
  <si>
    <t>Electromed Inc.(ELMD)</t>
  </si>
  <si>
    <t>Autobio Diagnostics Co. Ltd. Class A(603658)</t>
  </si>
  <si>
    <t>Pro-Dex Inc.(PDEX)</t>
  </si>
  <si>
    <t>BioSig Technologies Inc.(BSGM)</t>
  </si>
  <si>
    <t>Cidara Therapeutics Inc.(CDTX)</t>
  </si>
  <si>
    <t>Jounce Therapeutics Inc.(JNCE)</t>
  </si>
  <si>
    <t>Conatus Pharmaceuticals Inc.(CNAT)</t>
  </si>
  <si>
    <t>Cerecor Inc.(CERC)</t>
  </si>
  <si>
    <t>Da An Gene Co. Ltd. of Sun Yat-Sen University Class A(002030)</t>
  </si>
  <si>
    <t>Zhejiang Wolwo Bio-Pharmaceutical Co. Ltd. Class A(300357)</t>
  </si>
  <si>
    <t>Alpine Immune Sciences Inc.(ALPN)</t>
  </si>
  <si>
    <t>Sutro Biopharma Inc.(STRO)</t>
  </si>
  <si>
    <t>Altimmune Inc.(ALT)</t>
  </si>
  <si>
    <t>Checkpoint Therapeutics Inc.(CKPT)</t>
  </si>
  <si>
    <t>aTyr Pharma Inc.(LIFE)</t>
  </si>
  <si>
    <t>Jiangsu Sihuan Bioengineering Co. Ltd. Class A(000518)</t>
  </si>
  <si>
    <t>Shanghai Kehua Bio-Engineering Co. Ltd. Class A(002022)</t>
  </si>
  <si>
    <t>Unum Therapeutics Inc.(UMRX)</t>
  </si>
  <si>
    <t>Apollo Endosurgery Inc.(APEN)</t>
  </si>
  <si>
    <t>Mayinglong Pharmaceutical Group Co. Ltd. Class A(600993)</t>
  </si>
  <si>
    <t>China National Medicines Corp. Ltd. Class A(600511)</t>
  </si>
  <si>
    <t>Zhuzhou Qianjin Pharmaceutical Co. Ltd. Class A(600479)</t>
  </si>
  <si>
    <t>VIVUS Inc.(VVUS)</t>
  </si>
  <si>
    <t>Yabao Pharmaceutical Group Co. Ltd. Class A(600351)</t>
  </si>
  <si>
    <t>Aerpio Pharmaceuticals Inc.(ARPO)</t>
  </si>
  <si>
    <t>Alimera Sciences Inc.(ALIM)</t>
  </si>
  <si>
    <t>Shijiazhuang Yiling Pharmaceutical Co. Ltd. Class A(002603)</t>
  </si>
  <si>
    <t>Opiant Pharmaceuticals Inc.(OPNT)</t>
  </si>
  <si>
    <t>China Meheco Co. Ltd. Class A(600056)</t>
  </si>
  <si>
    <t>Shanghai Jinfeng Wine Co. Ltd. Class A(600616)</t>
  </si>
  <si>
    <t>Right On Co. Ltd.(7445)</t>
  </si>
  <si>
    <t>Fujian Dongbai Group Co. Ltd. Class A(600693)</t>
  </si>
  <si>
    <t>Beijing Hualian Department Store Co. Ltd. Class A(000882)</t>
  </si>
  <si>
    <t>Hangzhou Jiebai Group Co. Ltd. Class A(600814)</t>
  </si>
  <si>
    <t>Changchun Eurasia Group Co. Ltd. Class A(600697)</t>
  </si>
  <si>
    <t>Group Lease PCL(GL-R)</t>
  </si>
  <si>
    <t>Eastern Pioneer Driving School Co. Ltd. Class A(603377)</t>
  </si>
  <si>
    <t>Shanghai Xinhua Media Co. Ltd. Class A(600825)</t>
  </si>
  <si>
    <t>Educational Development Corp.(EDUC)</t>
  </si>
  <si>
    <t>Shaanxi Broadcast &amp; TV Network Intermediary Group Co. Ltd. Class A(600831)</t>
  </si>
  <si>
    <t>Jishi Media Co. Ltd. Class A(601929)</t>
  </si>
  <si>
    <t>Urban One Inc.(UONEK)</t>
  </si>
  <si>
    <t>Eastside Distilling Inc.(EAST)</t>
  </si>
  <si>
    <t>Guangdong Advertising Group Co. Ltd. Class A(002400)</t>
  </si>
  <si>
    <t>Social Reality Inc. Class A(SRAX)</t>
  </si>
  <si>
    <t>Guangdong Guangzhou Daily Media Co. Ltd. Class A(002181)</t>
  </si>
  <si>
    <t>Juneyao Airlines Co. Ltd. Class A(603885)</t>
  </si>
  <si>
    <t>Jet Airways India Ltd.(JETAIRWAYS)</t>
  </si>
  <si>
    <t>Daikoku Denki Co. Ltd.(6430)</t>
  </si>
  <si>
    <t>Gaming Partners International Corp.(GPIC)</t>
  </si>
  <si>
    <t>Dover Motorsports Inc.(DVD)</t>
  </si>
  <si>
    <t>ONE Group Hospitality Inc.(STKS)</t>
  </si>
  <si>
    <t>Saudi Public Transport Co.(4040)</t>
  </si>
  <si>
    <t>BTS Group Holdings PCL(BTS-F)</t>
  </si>
  <si>
    <t>HNA Innovation Co. Ltd. Class A(600555)</t>
  </si>
  <si>
    <t>HyreCar Inc.(HYRE)</t>
  </si>
  <si>
    <t>Shanghai ShenTong Metro Co. Ltd. Class A(600834)</t>
  </si>
  <si>
    <t>Abdul Mohsen Al-Hokair Tourism and Development Co.(1820)</t>
  </si>
  <si>
    <t>Shanghai Yatong Co. Ltd. Class A(600692)</t>
  </si>
  <si>
    <t>Otelco Inc. Class A(OTEL)</t>
  </si>
  <si>
    <t>Sistema PJSFC(AFKS)</t>
  </si>
  <si>
    <t>Beijing Bewinner Communications Co. Ltd. Class A(002148)</t>
  </si>
  <si>
    <t>Talkweb Information System Co. Ltd. Class A(002261)</t>
  </si>
  <si>
    <t>Jilin Power Share Co. Ltd. Class A(000875)</t>
  </si>
  <si>
    <t>Harbin Hatou Investment Co. Ltd. Class A(600864)</t>
  </si>
  <si>
    <t>Guangxi Nanning Waterworks Co. Ltd. Class A(601368)</t>
  </si>
  <si>
    <t>Sound Financial Bancorp Inc.(SFBC)</t>
  </si>
  <si>
    <t>Rhinebeck Bancorp Inc.(RBKB)</t>
  </si>
  <si>
    <t>Bank of South Carolina Corp.(BKSC)</t>
  </si>
  <si>
    <t>Andhra Bank(ANDHRABANK)</t>
  </si>
  <si>
    <t>Transcontinental Realty Investors Inc.(TCI)</t>
  </si>
  <si>
    <t>Tunghsu Azure Renewable Energy Co. Ltd. Class A(000040)</t>
  </si>
  <si>
    <t>Carnival Group International Holdings Ltd.(996)</t>
  </si>
  <si>
    <t>Shenzhen Properties &amp; Resources Development Group Ltd. Class A(000011)</t>
  </si>
  <si>
    <t>Yihua Healthcare Co. Ltd. Class A(000150)</t>
  </si>
  <si>
    <t>Intiland Development Tbk PT(DILD)</t>
  </si>
  <si>
    <t>Chongqing Yukaifa Co. Ltd. Class A(000514)</t>
  </si>
  <si>
    <t>Shanghai New Huangpu Real Estate Co. Ltd. Class A(600638)</t>
  </si>
  <si>
    <t>Macrolink Culturaltainment Development Co. Ltd. Class A(000620)</t>
  </si>
  <si>
    <t>Shunfa Hengye Corp. Class A(000631)</t>
  </si>
  <si>
    <t>Kuoyang Construction Co. Ltd.(2505)</t>
  </si>
  <si>
    <t>Urstadt Biddle Properties Inc.(UBP)</t>
  </si>
  <si>
    <t>Torunlar Gayrimenkul Yatirim Ortakligi AS(TRGYO)</t>
  </si>
  <si>
    <t>Hennessy Advisors Inc.(HNNA)</t>
  </si>
  <si>
    <t>Nicholas Financial Inc.(NICK)</t>
  </si>
  <si>
    <t>Meridian Corp.(MRBK)</t>
  </si>
  <si>
    <t>Aplus Financial Co. Ltd.(8589)</t>
  </si>
  <si>
    <t>Astra Industrial Group(1212)</t>
  </si>
  <si>
    <t>Leshi Internet Information &amp; Technology Corp. Beijing Class A(300104)</t>
  </si>
  <si>
    <t>Performant Financial Corp.(PFMT)</t>
  </si>
  <si>
    <t>Sinodata Co. Ltd. Class A(002657)</t>
  </si>
  <si>
    <t>Qiming Information Technology Co. Ltd. Class A(002232)</t>
  </si>
  <si>
    <t>Dalian Zeus Entertainment Group Co. Ltd. Class A(002354)</t>
  </si>
  <si>
    <t>Surfilter Network Technology Co. Ltd. Class A(300311)</t>
  </si>
  <si>
    <t>Shanghai AtHub Co. Ltd. Class A(603881)</t>
  </si>
  <si>
    <t>Beijing Teamsun Technology Co. Ltd. Class A(600410)</t>
  </si>
  <si>
    <t>Zhejiang NetSun Co. Ltd. Class A(002095)</t>
  </si>
  <si>
    <t>Synacor Inc.(SYNC)</t>
  </si>
  <si>
    <t>Internap Corp.(INAP)</t>
  </si>
  <si>
    <t>Focus Technology Co. Ltd. Class A(002315)</t>
  </si>
  <si>
    <t>Beijing eGOVA Co. Ltd. Class A(300075)</t>
  </si>
  <si>
    <t>Wayside Technology Group Inc.(WSTG)</t>
  </si>
  <si>
    <t>Beijing Tongtech Co. Ltd. Class A(300379)</t>
  </si>
  <si>
    <t>Qingdao Eastsoft Communication Technology Co. Ltd. Class A(300183)</t>
  </si>
  <si>
    <t>New Sports Group Ltd.(299)</t>
  </si>
  <si>
    <t>DuoLun Technology Co. Ltd. Class A(603528)</t>
  </si>
  <si>
    <t>Beijing SuperMap Software Co. Ltd. Class A(300036)</t>
  </si>
  <si>
    <t>Neurotrope Inc.(NTRP)</t>
  </si>
  <si>
    <t>Data I/O Corp.(DAIO)</t>
  </si>
  <si>
    <t>Grinm Advanced Materials Co. Ltd. Class A(600206)</t>
  </si>
  <si>
    <t>Shanghai Belling Co. Ltd. Class A(600171)</t>
  </si>
  <si>
    <t>Konfoong Materials International Co. Ltd. Class A(300666)</t>
  </si>
  <si>
    <t>Goldenmax International Technology Ltd. Class A(002636)</t>
  </si>
  <si>
    <t>ID Systems Inc.(IDSY)</t>
  </si>
  <si>
    <t>Digital China Information Service Co. Ltd. Class A(000555)</t>
  </si>
  <si>
    <t>Jiangsu Yinhe Electronics Co. Ltd. Class A(002519)</t>
  </si>
  <si>
    <t>Sunworks Inc.(SUNW)</t>
  </si>
  <si>
    <t>Tongyu Communication Inc. Class A(002792)</t>
  </si>
  <si>
    <t>China Oilfield Services Ltd. Class A(601808)</t>
  </si>
  <si>
    <t>Hornbeck Offshore Services Inc.(HOS)</t>
  </si>
  <si>
    <t>Key Energy Services Inc.(KEG)</t>
  </si>
  <si>
    <t>GI Technologies Group Co. Ltd. Class A(300309)</t>
  </si>
  <si>
    <t>FuelCell Energy Inc.(FCEL)</t>
  </si>
  <si>
    <t>Hareon Solar Technology Co. Ltd. Class A(600401)</t>
  </si>
  <si>
    <t>Methanol Chemicals Co.(2001)</t>
  </si>
  <si>
    <t>Jiangsu Aoyang Health Industry Co. Ltd. Class A(002172)</t>
  </si>
  <si>
    <t>Hunan Nanling Industry Explosive Material Co. Ltd. Class A(002096)</t>
  </si>
  <si>
    <t>Zhuzhou Times New Material Technology Co. Ltd. Class A(600458)</t>
  </si>
  <si>
    <t>Hongbaoli Group Corp. Ltd. Class A(002165)</t>
  </si>
  <si>
    <t>Fauji Fertilizer Bin Qasim Ltd.(FFBL)</t>
  </si>
  <si>
    <t>Guangdong Guanghua Sci-Tech Co. Ltd. Class A(002741)</t>
  </si>
  <si>
    <t>Yantai Zhenghai Magnetic Material Co. Ltd. Class A(300224)</t>
  </si>
  <si>
    <t>Shangying Global Co. Ltd. Class A(600146)</t>
  </si>
  <si>
    <t>Jiangsu Shuangxing Color Plastic New Materials Co. Ltd. Class A(002585)</t>
  </si>
  <si>
    <t>Beijing Easpring Material Technology Co. Ltd. Class A(300073)</t>
  </si>
  <si>
    <t>Guangdong Delian Group Co. Ltd. Class A(002666)</t>
  </si>
  <si>
    <t>Anhui Huilong Agricultural Means of Production Co. Ltd. Class A(002556)</t>
  </si>
  <si>
    <t>Shandong Polymer Biochemicals Co. Ltd. Class A(002476)</t>
  </si>
  <si>
    <t>Shenzhen Noposion Agrochemicals Co. Ltd. Class A(002215)</t>
  </si>
  <si>
    <t>Guangdong Rongtai Industry Co. Ltd. Class A(600589)</t>
  </si>
  <si>
    <t>Jiaozuo Wanfang Aluminum Manufacturing Co. Ltd. Class A(000612)</t>
  </si>
  <si>
    <t>Yunnan Chihong Zinc &amp; Germanium Co. Ltd. Class A(600497)</t>
  </si>
  <si>
    <t>Henan Yuguang Gold &amp; Lead Co. Ltd. Class A(600531)</t>
  </si>
  <si>
    <t>Huludao Zinc Industry Co. Class A(000751)</t>
  </si>
  <si>
    <t>Zhejiang JIULI Hi-tech Metals Co. Ltd. Class A(002318)</t>
  </si>
  <si>
    <t>Jiangsu Yulong Steel Pipe Co. Ltd. Class A(601028)</t>
  </si>
  <si>
    <t>Xining Special Steel Co. Ltd. Class A(600117)</t>
  </si>
  <si>
    <t>Shanxi Blue Flame Holding Co. Ltd. Class A(000968)</t>
  </si>
  <si>
    <t>Beijing Haohua Energy Resource Co. Ltd. Class A(601101)</t>
  </si>
  <si>
    <t>Datong Coal Industry Co. Ltd. Class A(601001)</t>
  </si>
  <si>
    <t>Innuovo Technology Co. Ltd. Class A(000795)</t>
  </si>
  <si>
    <t>Chifeng Jilong Gold Mining Co. Ltd. Class A(600988)</t>
  </si>
  <si>
    <t>Der Future Science &amp; Technology Holding Group Co. Ltd. Class A(002631)</t>
  </si>
  <si>
    <t>Guangdong Weihua Corp. Class A(002240)</t>
  </si>
  <si>
    <t>Chengdu Xinzhu Road&amp;Bridge Machinery Co. Ltd. Class A(002480)</t>
  </si>
  <si>
    <t>Afyon Cimento Sanayi TAS(AFYON)</t>
  </si>
  <si>
    <t>Aspen Aerogels Inc.(ASPN)</t>
  </si>
  <si>
    <t>Concrete Pumping Holdings Inc.(BBCP)</t>
  </si>
  <si>
    <t>Taylor Devices Inc.(TAYD)</t>
  </si>
  <si>
    <t>Huttig Building Products Inc.(HBP)</t>
  </si>
  <si>
    <t>Limbach Holdings Inc.(LMB)</t>
  </si>
  <si>
    <t>Tecogen Inc.(TGEN)</t>
  </si>
  <si>
    <t>Shenzhen Minkave Technology Co. Ltd. Class A(300506)</t>
  </si>
  <si>
    <t>Saurer Intelligent Technology Co. Ltd. Class A(600545)</t>
  </si>
  <si>
    <t>Drake &amp; Scull International PJSC(DSI)</t>
  </si>
  <si>
    <t>AECC Aero-Engine Control Co. Ltd. Class A(000738)</t>
  </si>
  <si>
    <t>Jiangxi Hongdu Aviation Industry Co. Ltd. Class A(600316)</t>
  </si>
  <si>
    <t>Huaxun Fangzhou Co. Ltd. Class A(000687)</t>
  </si>
  <si>
    <t>Greif Inc. Class B(GEF.B)</t>
  </si>
  <si>
    <t>Aseer Trading Tourism &amp; Manufacturing Co.(4080)</t>
  </si>
  <si>
    <t>ZhongYeDa Electric Co. Ltd. Class A(002441)</t>
  </si>
  <si>
    <t>Shenzhen Gongjin Electronics Co. Ltd. Class A(603118)</t>
  </si>
  <si>
    <t>Pubang Landscape Architecture Co. Ltd. Class A(002663)</t>
  </si>
  <si>
    <t>Changyuan Group Ltd. Class A(600525)</t>
  </si>
  <si>
    <t>Nanjing Huadong Electronics Information &amp; Technology Co. Ltd. Class A(000727)</t>
  </si>
  <si>
    <t>Ligeance Aerospace Technology Co. Ltd. Class A(000697)</t>
  </si>
  <si>
    <t>Zhejiang Jiemei Electronic &amp; Technology Co. Ltd. Class A(002859)</t>
  </si>
  <si>
    <t>Integrated Electronic Systems Lab Co. Ltd. Class A(002339)</t>
  </si>
  <si>
    <t>Hangzhou Cable Co. Ltd. Class A(603618)</t>
  </si>
  <si>
    <t>Shenzhen Click Technology Co. Ltd. Class A(002782)</t>
  </si>
  <si>
    <t>Shenzhen Suntak Circuit Technology Co. Ltd. Class A(002815)</t>
  </si>
  <si>
    <t>Anhui Sinonet &amp; Xonglong Science &amp; Technology Co. Ltd. Class A(002298)</t>
  </si>
  <si>
    <t>Guangdong Shunna Electric Co. Ltd. Class A(000533)</t>
  </si>
  <si>
    <t>TDG Holdings Co. Ltd. Class A(600330)</t>
  </si>
  <si>
    <t>Guangdong Zhengye Technology Co. Ltd. Class A(300410)</t>
  </si>
  <si>
    <t>Galaxy Biomedical Investment Co. Ltd. Class A(000806)</t>
  </si>
  <si>
    <t>Shenzhen Jieshun Science And Technology Industry Co. Ltd. Class A(002609)</t>
  </si>
  <si>
    <t>Shanghai Sinyang Semiconductor Materials Co. Ltd. Class A(300236)</t>
  </si>
  <si>
    <t>Julong Co. Ltd. Class A(300202)</t>
  </si>
  <si>
    <t>Sansheng Intellectual Education Technology Co. Ltd. Class A(300282)</t>
  </si>
  <si>
    <t>LightPath Technologies Inc. Class A(LPTH)</t>
  </si>
  <si>
    <t>Fujian Longma Environmental Sanitation Equipment Co. Ltd. Class A(603686)</t>
  </si>
  <si>
    <t>CSSC Offshore and Marine Engineering Group Co. Ltd. Class A(600685)</t>
  </si>
  <si>
    <t>Jiangsu Yueda Investment Co. Ltd. Class A(600805)</t>
  </si>
  <si>
    <t>Shantui Construction Machinery Co. Ltd. Class A(000680)</t>
  </si>
  <si>
    <t>South Huiton Co. Ltd. Class A(000920)</t>
  </si>
  <si>
    <t>Weichai Heavy Machinery Co. Ltd. Class A(000880)</t>
  </si>
  <si>
    <t>Asian Star Anchor Chain Co. Ltd. Jiangsu Class A(601890)</t>
  </si>
  <si>
    <t>Weihai Guangtai Airport Equipment Co. Ltd. Class A(002111)</t>
  </si>
  <si>
    <t>FreightCar America Inc.(RAIL)</t>
  </si>
  <si>
    <t>Linzhou Heavy Machinery Group Co. Ltd. Class A(002535)</t>
  </si>
  <si>
    <t>Juli Sling Co. Ltd. Class A(002342)</t>
  </si>
  <si>
    <t>Shanghai STEP Electric Corp. Class A(002527)</t>
  </si>
  <si>
    <t>Qinchuan Machine Tool &amp; Tool Group Co. Ltd. Class A(000837)</t>
  </si>
  <si>
    <t>CITIC Heavy Industries Co. Ltd. Class A(601608)</t>
  </si>
  <si>
    <t>Sufa Technology Industry Co. Ltd. CNNC Class A(000777)</t>
  </si>
  <si>
    <t>Keda Clean Energy Co. Ltd. Class A(600499)</t>
  </si>
  <si>
    <t>Tongyu Heavy Industry Co. Ltd. Class A(300185)</t>
  </si>
  <si>
    <t>Lanzhou LS Heavy Equipment Co. Ltd. Class A(603169)</t>
  </si>
  <si>
    <t>Estun Automation Co. Ltd. Class A(002747)</t>
  </si>
  <si>
    <t>Changzheng Engineering Co. Ltd. Class A(603698)</t>
  </si>
  <si>
    <t>Focused Photonics Hangzhou Inc. Class A(300203)</t>
  </si>
  <si>
    <t>Neway Valve Suzhou Co. Ltd. Class A(603699)</t>
  </si>
  <si>
    <t>Chengdu Leejun Industrial Co. Ltd. Class A(002651)</t>
  </si>
  <si>
    <t>ZYNP Corp. Class A(002448)</t>
  </si>
  <si>
    <t>Sunward Intelligent Equipment Co. Ltd. Class A(002097)</t>
  </si>
  <si>
    <t>Wuxi Huaguang Boiler Co. Ltd. Class A(600475)</t>
  </si>
  <si>
    <t>China Railway Tielong Container Logistics Co. Ltd. Class A(600125)</t>
  </si>
  <si>
    <t>Sichuan Haite High-tech Co. Ltd. Class A(002023)</t>
  </si>
  <si>
    <t>China High Speed Railway Technology Co. Ltd. Class A(000008)</t>
  </si>
  <si>
    <t>Qinhuangdao Port Co. Ltd. Class A(601326)</t>
  </si>
  <si>
    <t>Shanghai Jinjiang International Industrial Investment Co. Ltd. Class A(600650)</t>
  </si>
  <si>
    <t>Hongbo Co. Ltd. Class A(002229)</t>
  </si>
  <si>
    <t>Lightbridge Corp.(LTBR)</t>
  </si>
  <si>
    <t>Steel Connect Inc.(STCN)</t>
  </si>
  <si>
    <t>Shanghai Yanhua Smartech Group Co. Ltd. Class A(002178)</t>
  </si>
  <si>
    <t>Odyssey Marine Exploration Inc.(OMEX)</t>
  </si>
  <si>
    <t>Issuer Direct Corp.(ISDR)</t>
  </si>
  <si>
    <t>MTBC Inc.(MTBC)</t>
  </si>
  <si>
    <t>Shandong Shengli Co. Class A(000407)</t>
  </si>
  <si>
    <t>Shanghai Lansheng Corp. Class A(600826)</t>
  </si>
  <si>
    <t>Jiangsu Aucksun Co. Ltd. Class A(002245)</t>
  </si>
  <si>
    <t>Xiamen Xindeco Ltd. Class A(000701)</t>
  </si>
  <si>
    <t>China Hi-Tech Group Co. Class A(600730)</t>
  </si>
  <si>
    <t>Beijing GeoEnviron Engineering &amp; Technology Inc. Class A(603588)</t>
  </si>
  <si>
    <t>Guangzhou Automobile Group Co. Ltd. Class A(601238)</t>
  </si>
  <si>
    <t>Lifan Industry Group Co. Ltd. Class A(601777)</t>
  </si>
  <si>
    <t>Loncin Motor Co. Ltd. Class A(603766)</t>
  </si>
  <si>
    <t>Anhui Jianghuai Automobile Group Corp. Ltd. Class A(600418)</t>
  </si>
  <si>
    <t>Thal Ltd.(THALL)</t>
  </si>
  <si>
    <t>Aerospace Hi-Tech Holdings Grp Ltd. Class A(000901)</t>
  </si>
  <si>
    <t>Hubei Broadcasting &amp; Television Information Network Co. Ltd. Class A(000665)</t>
  </si>
  <si>
    <t>Zhejiang Vie Science &amp; Technology Co. Ltd. Class A(002590)</t>
  </si>
  <si>
    <t>Beijing WKW Automotive Parts Co. Ltd. Class A(002662)</t>
  </si>
  <si>
    <t>Ningbo Tuopu Group Co. Ltd. Class A(601689)</t>
  </si>
  <si>
    <t>Greatoo Intelligent Equipment Inc.(002031)</t>
  </si>
  <si>
    <t>Shandong Meichen Ecology &amp; Environment Co. Ltd. Class A(300237)</t>
  </si>
  <si>
    <t>Chongqing Zongshen Power Machinery Co. Ltd. Class A(001696)</t>
  </si>
  <si>
    <t>Tibet Galaxy Science &amp; Technology Development Co. Ltd. Class A(000752)</t>
  </si>
  <si>
    <t>Shandong Homey Aquatic Development Co. Ltd. Class A(600467)</t>
  </si>
  <si>
    <t>Gansu Dunhuang Seed Group Co. Ltd. Class A(600354)</t>
  </si>
  <si>
    <t>Shanghai Maling Aquarius Co. Ltd. Class A(600073)</t>
  </si>
  <si>
    <t>YanTai Shuangta Food Co. Ltd. Class A(002481)</t>
  </si>
  <si>
    <t>Dalian Tianbao Green Foods Co. Ltd. Class A(002220)</t>
  </si>
  <si>
    <t>Shanghai Jiaoda Onlly Co. Ltd. Class A(600530)</t>
  </si>
  <si>
    <t>Baotou Huazi Industry Co. Ltd. Class A(600191)</t>
  </si>
  <si>
    <t>Lotus Health Group Co. Class A(600186)</t>
  </si>
  <si>
    <t>Tat Gida Sanayi AS(TATGD)</t>
  </si>
  <si>
    <t>Zangge Holding Co. Ltd. Class A(000408)</t>
  </si>
  <si>
    <t>Whirlpool China Co. Ltd. Class A(600983)</t>
  </si>
  <si>
    <t>New Home Co. Inc.(NWHM)</t>
  </si>
  <si>
    <t>Shenzhen New Nanshan Holding Group Co. Ltd. Class A(002314)</t>
  </si>
  <si>
    <t>Sichuan Changhong Electric Co. Ltd. Class A(600839)</t>
  </si>
  <si>
    <t>Shen Zhen Mindata Holding Co. Ltd. Class A(002137)</t>
  </si>
  <si>
    <t>Hisense Electric Co. Ltd. Class A(600060)</t>
  </si>
  <si>
    <t>XPEC Entertainment Inc.(3662)</t>
  </si>
  <si>
    <t>Shanghai Yaoji Playing Card Co. Ltd. Class A(002605)</t>
  </si>
  <si>
    <t>Zhejiang Hangmin Co. Ltd. Class A(600987)</t>
  </si>
  <si>
    <t>Fiyta Holdings Ltd. Class B(200026)</t>
  </si>
  <si>
    <t>Shanghai Dragon Corp. Class A(600630)</t>
  </si>
  <si>
    <t>Ningbo Peacebird Fashion Co. Ltd. Class A(603877)</t>
  </si>
  <si>
    <t>Sequential Brands Group Inc.(SQBG)</t>
  </si>
  <si>
    <t>Shenzhen Textile Holdings Co. Ltd. Class A(000045)</t>
  </si>
  <si>
    <t>Middle East Healthcare Co.(4009)</t>
  </si>
  <si>
    <t>Shockwave Medical Inc.(SWAV)</t>
  </si>
  <si>
    <t>Celsion Corp.(CLSN)</t>
  </si>
  <si>
    <t>IRIDEX Corp.(IRIX)</t>
  </si>
  <si>
    <t>Shenzhen Glory Medical Co. Ltd. Class A(002551)</t>
  </si>
  <si>
    <t>Xtant Medical Holdings Inc.(XTNT)</t>
  </si>
  <si>
    <t>Porton Pharma Solutions Ltd. Class A(300363)</t>
  </si>
  <si>
    <t>Second Sight Medical Products Inc.(EYES)</t>
  </si>
  <si>
    <t>Merrimack Pharmaceuticals Inc.(MACK)</t>
  </si>
  <si>
    <t>Titan Pharmaceuticals Inc.(TTNP)</t>
  </si>
  <si>
    <t>Orgenesis Inc.(ORGS)</t>
  </si>
  <si>
    <t>Provention Bio Inc.(PRVB)</t>
  </si>
  <si>
    <t>Evofem Biosciences Inc.(EVFM)</t>
  </si>
  <si>
    <t>Miragen Therapeutics Inc.(MGEN)</t>
  </si>
  <si>
    <t>Genocea Biosciences Inc.(GNCA)</t>
  </si>
  <si>
    <t>Fulgent Genetics Inc.(FLGT)</t>
  </si>
  <si>
    <t>AquaBounty Technologies Inc.(AQB)</t>
  </si>
  <si>
    <t>NewLink Genetics Corp.(NLNK)</t>
  </si>
  <si>
    <t>Trovagene Inc.(TROV)</t>
  </si>
  <si>
    <t>Turning Point Therapeutics Inc.(TPTX)</t>
  </si>
  <si>
    <t>Equillium Inc.(EQ)</t>
  </si>
  <si>
    <t>Helius Medical Technologies Inc. Class A(HSDT)</t>
  </si>
  <si>
    <t>Heat Biologics Inc.(HTBX)</t>
  </si>
  <si>
    <t>Standard Diversified Inc.(SDI)</t>
  </si>
  <si>
    <t>Cocrystal Pharma Inc.(COCP)</t>
  </si>
  <si>
    <t>Shandong Lukang Pharma Class A(600789)</t>
  </si>
  <si>
    <t>Fuan Pharmaceutical Group Co. Ltd. Class A(300194)</t>
  </si>
  <si>
    <t>Achieve Life Sciences Inc.(ACHV)</t>
  </si>
  <si>
    <t>Tibet Cheezheng Tibetan Medicine Co. Ltd. Class A(002287)</t>
  </si>
  <si>
    <t>Agile Therapeutics Inc.(AGRX)</t>
  </si>
  <si>
    <t>Melinta Therapeutics Inc.(MLNT)</t>
  </si>
  <si>
    <t>PKU Healthcare Corp. Ltd. Class A(000788)</t>
  </si>
  <si>
    <t>Jinhong Holding Group Co. Ltd. Class A(000669)</t>
  </si>
  <si>
    <t>Sanjiang Shopping Club Co. Ltd. Class A(601116)</t>
  </si>
  <si>
    <t>Saudi Marketing Co.(4006)</t>
  </si>
  <si>
    <t>New Huadu Supercenter Co. Ltd. Class A(002264)</t>
  </si>
  <si>
    <t>Jinzhou Cihang Group Co. Ltd. Class A(000587)</t>
  </si>
  <si>
    <t>Shanghai Join Buy Co. Ltd. Class A(600838)</t>
  </si>
  <si>
    <t>Nanjing Central Emporium Class A(600280)</t>
  </si>
  <si>
    <t>Yinchuan Xinhua Commercial Group Co. Ltd. Class A(600785)</t>
  </si>
  <si>
    <t>Mingsheng Holdings Co. Ltd. Class A(000416)</t>
  </si>
  <si>
    <t>Shanghai Shenhua Holdings Co. Ltd. Class A(600653)</t>
  </si>
  <si>
    <t>EverQuote Inc. Class A(EVER)</t>
  </si>
  <si>
    <t>Guangdong Dowstone Technology Co. Ltd. Class A(300409)</t>
  </si>
  <si>
    <t>Al Hassan Ghazi Ibrahim Shaker Co.(1214)</t>
  </si>
  <si>
    <t>Misho Ecology &amp; Landscape Co. Ltd. Class A(300495)</t>
  </si>
  <si>
    <t>Net Element Inc.(NETE)</t>
  </si>
  <si>
    <t>VistaGen Therapeutics Inc.(VTGN)</t>
  </si>
  <si>
    <t>Shenzhen Tellus Holding Co. Ltd. Class A(000025)</t>
  </si>
  <si>
    <t>Beasley Broadcast Group Inc. Class A(BBGI)</t>
  </si>
  <si>
    <t>Beijing Gehua CATV Network Co. Ltd. Class A(600037)</t>
  </si>
  <si>
    <t>Genius Brands International Inc.(GNUS)</t>
  </si>
  <si>
    <t>TheStreet Inc.(TST)</t>
  </si>
  <si>
    <t>AH Belo Corp. Class A(AHC)</t>
  </si>
  <si>
    <t>Anhui Xinhua Media Co. Ltd. Class A(601801)</t>
  </si>
  <si>
    <t>Remark Holdings Inc.(MARK)</t>
  </si>
  <si>
    <t>Avianca Holdings SA Preference Shares(PFAVH)</t>
  </si>
  <si>
    <t>China LotSynergy Holdings Ltd.(1371)</t>
  </si>
  <si>
    <t>Empire Resorts Inc.(NYNY)</t>
  </si>
  <si>
    <t>Nevada Gold &amp; Casinos Inc.(UWN)</t>
  </si>
  <si>
    <t>Besiktas Futbol Yatirimlari Sanayi ve Ticaret AS(BJKAS)</t>
  </si>
  <si>
    <t>Ark Restaurants Corp.(ARKR)</t>
  </si>
  <si>
    <t>Good Times Restaurants Inc.(GTIM)</t>
  </si>
  <si>
    <t>ENC Data Technology Co. Ltd. Class A(603869)</t>
  </si>
  <si>
    <t>Beijing Philisense Technology Co. Ltd. Class A(300287)</t>
  </si>
  <si>
    <t>Pakistan Telecommunication Co. Ltd.(PTC)</t>
  </si>
  <si>
    <t>Besttone Holdings Co. Ltd. Class A(600640)</t>
  </si>
  <si>
    <t>Reliance Communications Ltd.(RCOM)</t>
  </si>
  <si>
    <t>Tianjin 712 Communication &amp; Broadcasting Co. Ltd. Class A(603712)</t>
  </si>
  <si>
    <t>Shenyang Jinshan Energy Co. Ltd. Class A(600396)</t>
  </si>
  <si>
    <t>Henan Yuneng Holdings Co. Ltd. Class A(001896)</t>
  </si>
  <si>
    <t>Guangxi Guidong Electric Power Co. Ltd. Class A(600310)</t>
  </si>
  <si>
    <t>Guangdong Shaoneng Group Co. Ltd. Class A(000601)</t>
  </si>
  <si>
    <t>Cia de Gas de Sao Paulo COMGAS Preference Shares Class A(CGAS5)</t>
  </si>
  <si>
    <t>Zhejiang Fuchunjiang Environmental Thermoelectric Co. Ltd. Class A(002479)</t>
  </si>
  <si>
    <t>Tianjin Capital Environmental Protection Group Co. Ltd. Class A(600874)</t>
  </si>
  <si>
    <t>Pathfinder Bancorp Inc.(PBHC)</t>
  </si>
  <si>
    <t>Elmira Savings Bank(ESBK)</t>
  </si>
  <si>
    <t>Central Federal Corp.(CFBK)</t>
  </si>
  <si>
    <t>Limestone Bancorp Inc.(LMST)</t>
  </si>
  <si>
    <t>First Western Financial Inc.(MYFW)</t>
  </si>
  <si>
    <t>Bank of the James Financial Group Inc.(BOTJ)</t>
  </si>
  <si>
    <t>Thai Reinsurance PCL(null)</t>
  </si>
  <si>
    <t>Bangkok Life Assurance PCL(BLA-R)</t>
  </si>
  <si>
    <t>Wolong Real Estate Group Co. Ltd. Class A(600173)</t>
  </si>
  <si>
    <t>Sanxiang Impression Co. Ltd. Class A(000863)</t>
  </si>
  <si>
    <t>Tianjin Hi-Tech Development Co. Ltd. Class A(600082)</t>
  </si>
  <si>
    <t>Asian Property Development PCL (Foreign)(AP-F)</t>
  </si>
  <si>
    <t>CASIN Guoxing Property Development Co. Ltd.(000838)</t>
  </si>
  <si>
    <t>Saudi Real Estate Co.(4020)</t>
  </si>
  <si>
    <t>Cosmos Group Co. Ltd. Class A(002133)</t>
  </si>
  <si>
    <t>Renhe Commercial Holdings Co. Ltd.(1387)</t>
  </si>
  <si>
    <t>Guangdong Highsun Group Co. Ltd. Class A(000861)</t>
  </si>
  <si>
    <t>Vakif Gayrimenkul Yatirim Ortakligi AS(VKGYO)</t>
  </si>
  <si>
    <t>Tremont Mortgage Trust(TRMT)</t>
  </si>
  <si>
    <t>Jason Industries Inc.(JASN)</t>
  </si>
  <si>
    <t>Toyo Securities Co. Ltd.(8614)</t>
  </si>
  <si>
    <t>Security National Financial Corp. Class A(SNFCA)</t>
  </si>
  <si>
    <t>Sachem Capital Corp.(SACH)</t>
  </si>
  <si>
    <t>Longmaster Information &amp; Technology Co. Ltd. Class A(300288)</t>
  </si>
  <si>
    <t>Eastone Century Technology Co. Ltd. Class A(300310)</t>
  </si>
  <si>
    <t>Innodata Inc.(INOD)</t>
  </si>
  <si>
    <t>Red Violet Inc.(RDVT)</t>
  </si>
  <si>
    <t>Toyou Feiji Electronics Co. Ltd. Class A(300302)</t>
  </si>
  <si>
    <t>RCM Technologies Inc.(RCMT)</t>
  </si>
  <si>
    <t>Beijing Global Safety Technology Co. Ltd. Class A(300523)</t>
  </si>
  <si>
    <t>LandOcean Energy Services Co. Ltd. Class A(300157)</t>
  </si>
  <si>
    <t>SITO Mobile Ltd.(SITO)</t>
  </si>
  <si>
    <t>Wisesoft Co. Ltd. Class A(002253)</t>
  </si>
  <si>
    <t>Hangzhou Sunyard System Engineering Co. Ltd. Class A(600571)</t>
  </si>
  <si>
    <t>Intellicheck Inc.(IDN)</t>
  </si>
  <si>
    <t>Aehr Test Systems(AEHR)</t>
  </si>
  <si>
    <t>Atomera Inc.(ATOM)</t>
  </si>
  <si>
    <t>Suzhou Good-Ark Electronics Co. Ltd. Class A(002079)</t>
  </si>
  <si>
    <t>Aware Inc./MA(AWRE)</t>
  </si>
  <si>
    <t>Amtech Systems Inc.(ASYS)</t>
  </si>
  <si>
    <t>Ningbo Bird Co. Ltd. Class A(600130)</t>
  </si>
  <si>
    <t>Sichuan Tianyi Comheart Telecom Co. Ltd. Class A(300504)</t>
  </si>
  <si>
    <t>Henan Splendor Science &amp; Technology Co. Ltd. Class A(002296)</t>
  </si>
  <si>
    <t>NEW NOBLE(null)</t>
  </si>
  <si>
    <t>Enservco Corp.(ENSV)</t>
  </si>
  <si>
    <t>Mitcham Industries Inc.(MIND)</t>
  </si>
  <si>
    <t>Shanghai SK Petroleum &amp; Chemical Equipment Corp. Ltd. Class A(002278)</t>
  </si>
  <si>
    <t>Guizhou Red Star Developing Co. Ltd. Class A(600367)</t>
  </si>
  <si>
    <t>Jiangsu Jiangnan High Polymer Fiber Co. Ltd. Class A(600527)</t>
  </si>
  <si>
    <t>Hangjin Technology Co. Ltd. Class A(000818)</t>
  </si>
  <si>
    <t>Yueyang Xingchang Petrochemical Class A(000819)</t>
  </si>
  <si>
    <t>FSPG Hi-Tech Co. Ltd. Class A(000973)</t>
  </si>
  <si>
    <t>Sichuan EM Technology Co. Ltd. Class A(601208)</t>
  </si>
  <si>
    <t>Chengdu Wintrue Holding Co. Ltd. Class A(002539)</t>
  </si>
  <si>
    <t>Guangzhou Great Power Energy &amp; Technology Co. Ltd. Class A(300438)</t>
  </si>
  <si>
    <t>Gubre Fabrikalari TAS(GUBRF)</t>
  </si>
  <si>
    <t>Guangdong Xinhui Meida Nylon Co. Ltd. Class A(000782)</t>
  </si>
  <si>
    <t>Shaanxi J&amp;R Optimum Energy Co. Ltd. Class A(300116)</t>
  </si>
  <si>
    <t>Xinjiang Xuefeng Sci-Tech Group Co. Ltd. Class A(603227)</t>
  </si>
  <si>
    <t>Jiangmen Kanhoo Industry Co. Ltd. Class A(300340)</t>
  </si>
  <si>
    <t>Guizhou Jiulian Industrial Explosive Material Development Co. Ltd. Class A(002037)</t>
  </si>
  <si>
    <t>Shenzhen Batian Ecotypic Engineering Co. Ltd. Class A(002170)</t>
  </si>
  <si>
    <t>Sunstone Development Co. Ltd. Class A(603612)</t>
  </si>
  <si>
    <t>Shandong Sunway Petrochemical Engineering Co. Ltd. Class A(002469)</t>
  </si>
  <si>
    <t>Guizhou Salvage Pharmaceutical Co. Ltd. Class A(600227)</t>
  </si>
  <si>
    <t>Changzhou Tronly New Electronic Materials Co. Ltd. Class A(300429)</t>
  </si>
  <si>
    <t>Xinjiang Tianye Co. Ltd. Class A(600075)</t>
  </si>
  <si>
    <t>Yueyang Forest &amp; Paper Co. Ltd. Class A(600963)</t>
  </si>
  <si>
    <t>Shenwu Energy Saving Co. Ltd. Class A(000820)</t>
  </si>
  <si>
    <t>Henan Yinge Industrial Investment Holding Co. Ltd. Class A(600069)</t>
  </si>
  <si>
    <t>Zhejiang Jingxing Paper JSC Ltd. Class A(002067)</t>
  </si>
  <si>
    <t>Guangdong Guanhao High-Tech Co. Ltd. Class A(600433)</t>
  </si>
  <si>
    <t>Jilin Liyuan Precision Manufacturing Co. Ltd. Class A(002501)</t>
  </si>
  <si>
    <t>Henan Zhongfu Industry Co. Ltd. Class A(600595)</t>
  </si>
  <si>
    <t>China Tungsten And Hightech Materials Co. Ltd. Class A(000657)</t>
  </si>
  <si>
    <t>Yunnan Lincang Xinyuan Germanium Industrial Co. Ltd. Class A(002428)</t>
  </si>
  <si>
    <t>Mechel PJSC ADR(MTL)</t>
  </si>
  <si>
    <t>Sundiro Holding Co. Ltd. Class A(000571)</t>
  </si>
  <si>
    <t>Qinghai Spring Medicinal Resources Technology Co. Ltd. Class A(600381)</t>
  </si>
  <si>
    <t>Henan Huanghe Whirlwind Co. Ltd. Class A(600172)</t>
  </si>
  <si>
    <t>Tibet Mineral Development Co. Class A(000762)</t>
  </si>
  <si>
    <t>Western Region Gold Co. Ltd. Class A(601069)</t>
  </si>
  <si>
    <t>Yung Chi Paint &amp; Varnish Manufacturing Co. Ltd.(1726)</t>
  </si>
  <si>
    <t>Shenwu Environmental Technology Co. Ltd. Class A(300156)</t>
  </si>
  <si>
    <t>Shanghai Zhezhong Group Co. Ltd. Class A(002346)</t>
  </si>
  <si>
    <t>Guangdong Kinlong Hardware Products Co. Ltd. Class A(002791)</t>
  </si>
  <si>
    <t>Zhejiang Juli Culture Development Co. Ltd.(002247)</t>
  </si>
  <si>
    <t>Henan City Development Environment Co. Ltd.(000885)</t>
  </si>
  <si>
    <t>Tabuk Cement Co.(3090)</t>
  </si>
  <si>
    <t>Hail Cement Co.(3001)</t>
  </si>
  <si>
    <t>Shenzhen Hongtao Group Co. Ltd. Class A(002325)</t>
  </si>
  <si>
    <t>Hunan Investment Group Co. Ltd. Class A(000548)</t>
  </si>
  <si>
    <t>Jiangsu Dagang Co. Ltd. Class A(002077)</t>
  </si>
  <si>
    <t>China Harzone Industry Corp. Ltd. Class A(300527)</t>
  </si>
  <si>
    <t>Chengdu Taihe Health Technology Group Inc. Ltd. Class A(000790)</t>
  </si>
  <si>
    <t>SIFCO Industries Inc.(SIF)</t>
  </si>
  <si>
    <t>Shanghai Zijiang Enterprise Group Co. Ltd. Class A(600210)</t>
  </si>
  <si>
    <t>Kunshan Kersen Science &amp; Technology Co. Ltd. Class A(603626)</t>
  </si>
  <si>
    <t>Dongguan Kingsun Optoelectronic Co. Ltd. Class A(002638)</t>
  </si>
  <si>
    <t>Dasheng Times Cultural Investment Co. Ltd. Class A(600892)</t>
  </si>
  <si>
    <t>eMagin Corp.(EMAN)</t>
  </si>
  <si>
    <t>Zhejiang Wanma Co. Ltd. Class A(002276)</t>
  </si>
  <si>
    <t>Sino Wealth Electronic Ltd. Class A(300327)</t>
  </si>
  <si>
    <t>Guangdong Sunwill Precising Plastic Co. Ltd. Class A(002676)</t>
  </si>
  <si>
    <t>Changshu Tianyin Electromechanical Co. Ltd. Class A(300342)</t>
  </si>
  <si>
    <t>Tianjin Benefo Tejing Electric Co. Ltd. Class A(600468)</t>
  </si>
  <si>
    <t>Shenzhen Liantronics Co. Ltd. Class A(300269)</t>
  </si>
  <si>
    <t>Motic Xiamen Electric Group Co. Ltd. Class A(300341)</t>
  </si>
  <si>
    <t>CUI Global Inc.(CUI)</t>
  </si>
  <si>
    <t>Wireless Telecom Group Inc.(WTT)</t>
  </si>
  <si>
    <t>Guangzhou Zhiguang Electric Co. Ltd. Class A(002169)</t>
  </si>
  <si>
    <t>Nanjing Kangni Mechanical &amp; Electrical Co. Ltd. Class A(603111)</t>
  </si>
  <si>
    <t>Vtron Group Co. Ltd. Class A(002308)</t>
  </si>
  <si>
    <t>Coda Octopus Group Inc.(CODA)</t>
  </si>
  <si>
    <t>Image Sensing Systems Inc.(ISNS)</t>
  </si>
  <si>
    <t>Hubei Jiuzhiyang Infrared System Co. Ltd. Class A(300516)</t>
  </si>
  <si>
    <t>Digital Ally Inc.(DGLY)</t>
  </si>
  <si>
    <t>Workhorse Group Inc.(WKHS)</t>
  </si>
  <si>
    <t>Aerosun Corp. Class A(600501)</t>
  </si>
  <si>
    <t>Broadwind Energy Inc.(BWEN)</t>
  </si>
  <si>
    <t>Jinxi Axle Co. Ltd. Class A(600495)</t>
  </si>
  <si>
    <t>Huayi Electric Co. Ltd. Class A(600290)</t>
  </si>
  <si>
    <t>Hexing Electrical Co. Ltd. Class A(603556)</t>
  </si>
  <si>
    <t>Zhejiang Founder Motor Co. Ltd. Class A(002196)</t>
  </si>
  <si>
    <t>Yungtay Engineering Co. Ltd.(1507)</t>
  </si>
  <si>
    <t>Shaanxi Aerospace Power Hi-Tech Co. Ltd. Class A(600343)</t>
  </si>
  <si>
    <t>Zhejiang Feida Environmental Science &amp; Technology Co. Ltd. Class A(600526)</t>
  </si>
  <si>
    <t>Mesnac Co. Ltd. Class A(002073)</t>
  </si>
  <si>
    <t>North Industries Group Red Arrow Co. Ltd. Class A(000519)</t>
  </si>
  <si>
    <t>Dalian Huarui Heavy Industry Group Co. Ltd. Class A(002204)</t>
  </si>
  <si>
    <t>Xiangtan Electric Manufacturing Co. Ltd. Class A(600416)</t>
  </si>
  <si>
    <t>Changchai Co. Ltd. Class B(200570)</t>
  </si>
  <si>
    <t>Citic Offshore Helicopter Co. Ltd. Class A(000099)</t>
  </si>
  <si>
    <t>Air T Inc.(AIRT)</t>
  </si>
  <si>
    <t>COSCO SHIPPING Specialized Carriers Co. Ltd. Class A(600428)</t>
  </si>
  <si>
    <t>COSCO SHIPPING Development Co. Ltd. Class A(601866)</t>
  </si>
  <si>
    <t>YUD Yangtze River Investment Industry Co. Ltd. Class A(600119)</t>
  </si>
  <si>
    <t>Jiangsu Wanlin Modern Logistics Co. Ltd. Class A(603117)</t>
  </si>
  <si>
    <t>Antong Holdings Co. Ltd. Class A(600179)</t>
  </si>
  <si>
    <t>Shanghai Jielong Industry Group Corp. Ltd. Class A(600836)</t>
  </si>
  <si>
    <t>Marathon Patent Group Inc.(MARA)</t>
  </si>
  <si>
    <t>Shenzhen Prolto Supply Chain Management Co. Ltd. Class A(002769)</t>
  </si>
  <si>
    <t>ALJ Regional Holdings Inc.(ALJJ)</t>
  </si>
  <si>
    <t>Orient International Enterprise Ltd. Class A(600278)</t>
  </si>
  <si>
    <t>Ningbo Yunsheng Co. Ltd. Class A(600366)</t>
  </si>
  <si>
    <t>AMCON Distributing Co.(DIT)</t>
  </si>
  <si>
    <t>Fuel Tech Inc.(FTEK)</t>
  </si>
  <si>
    <t>Perma-Fix Environmental Services(PESI)</t>
  </si>
  <si>
    <t>Dongjiang Environmental Co. Ltd.(895)</t>
  </si>
  <si>
    <t>Ecology and Environment Inc.(EEI)</t>
  </si>
  <si>
    <t>Haima Automobile Group Co. Ltd. Class A(000572)</t>
  </si>
  <si>
    <t>Xingmin Intelligent Transportation Systems Group Co. Ltd. Class A(002355)</t>
  </si>
  <si>
    <t>Sanlux Co. Ltd. Class A(002224)</t>
  </si>
  <si>
    <t>Shenzhen Silver Basis Technology Co. Ltd. Class A(002786)</t>
  </si>
  <si>
    <t>Dynavolt Renewable Power Technology Co. Ltd. Class A(002684)</t>
  </si>
  <si>
    <t>Jiangsu Yunyi Electric Co. Ltd. Class A(300304)</t>
  </si>
  <si>
    <t>Zhejiang Asia-Pacific Mechanical &amp; Electronic Co. Ltd. Class A(002284)</t>
  </si>
  <si>
    <t>Brisa Bridgestone Sabanci Sanayi ve Ticaret AS(BRISA)</t>
  </si>
  <si>
    <t>Jiangsu General Science Technology Co. Ltd. Class A(601500)</t>
  </si>
  <si>
    <t>Willamette Valley Vineyards Inc.(WVVI)</t>
  </si>
  <si>
    <t>Gansu Yasheng Industrial Group Co. Ltd. Class A(600108)</t>
  </si>
  <si>
    <t>V V Food &amp; Beverage Co. Ltd. Class A(600300)</t>
  </si>
  <si>
    <t>Royal Group Co. Ltd. Class A(002329)</t>
  </si>
  <si>
    <t>Coffee Holding Co. Inc.(JVA)</t>
  </si>
  <si>
    <t>Shree Renuka Sugars Ltd.(RENUKA)</t>
  </si>
  <si>
    <t>Mannatech Inc.(MTEX)</t>
  </si>
  <si>
    <t>Lipocine Inc.(LPCN)</t>
  </si>
  <si>
    <t>LS Starrett Co. Class A(SCX)</t>
  </si>
  <si>
    <t>Yihua Lifestyle Technology Co. Ltd. Class A(600978)</t>
  </si>
  <si>
    <t>AlAbdullatif Industrial Investment Co.(2340)</t>
  </si>
  <si>
    <t>Guoguang Electric Co. Ltd. Class A(002045)</t>
  </si>
  <si>
    <t>Konka Group Co. Ltd. Class A(000016)</t>
  </si>
  <si>
    <t>Chunghsin Technology Group Co. Ltd. Class A(603996)</t>
  </si>
  <si>
    <t>Lucky Film Co. Class A(600135)</t>
  </si>
  <si>
    <t>Zhonglu Co. Ltd. Class A(600818)</t>
  </si>
  <si>
    <t>Rastar Group Class A(300043)</t>
  </si>
  <si>
    <t>Gosun Holding Co. Ltd. Class A(000971)</t>
  </si>
  <si>
    <t>Tandy Leather Factory Inc.(TLF)</t>
  </si>
  <si>
    <t>Jiangsu Wuzhong Industrial Co. Class A(600200)</t>
  </si>
  <si>
    <t>Shanghai Metersbonwe Fashion &amp; Accessories Co. Ltd. Class A(002269)</t>
  </si>
  <si>
    <t>Shanghai Shenda Co. Ltd. Class A(600626)</t>
  </si>
  <si>
    <t>Zhejiang Ming Jewelry Co. Ltd. Class A(002574)</t>
  </si>
  <si>
    <t>Hubei Mailyard Share Co. Ltd. Class A(600107)</t>
  </si>
  <si>
    <t>Henan Rebecca Hair Products Co. Ltd. Class A(600439)</t>
  </si>
  <si>
    <t>Bumrungrad Hospital PCL (Foreign)(BH-F)</t>
  </si>
  <si>
    <t>AAC Holdings Inc.(AAC)</t>
  </si>
  <si>
    <t>Andon Health Co. Ltd. Class A(002432)</t>
  </si>
  <si>
    <t>Ningbo David Medical Device Co. Ltd. Class A(300314)</t>
  </si>
  <si>
    <t>Hookipa Pharma Inc.(HOOK)</t>
  </si>
  <si>
    <t>Aileron Therapeutics Inc.(ALRN)</t>
  </si>
  <si>
    <t>ImmuCell Corp.(ICCC)</t>
  </si>
  <si>
    <t>Leap Therapeutics Inc.(LPTX)</t>
  </si>
  <si>
    <t>Aridis Pharmaceuticals Inc.(ARDS)</t>
  </si>
  <si>
    <t>Actinium Pharmaceuticals Inc.(ATNM)</t>
  </si>
  <si>
    <t>Citius Pharmaceuticals Inc.(CTXR)</t>
  </si>
  <si>
    <t>Eyenovia Inc.(EYEN)</t>
  </si>
  <si>
    <t>Aptevo Therapeutics Inc.(APVO)</t>
  </si>
  <si>
    <t>Bellerophon Therapeutics Inc.(BLPH)</t>
  </si>
  <si>
    <t>Clearside Biomedical Inc.(CLSD)</t>
  </si>
  <si>
    <t>Celldex Therapeutics Inc.(CLDX)</t>
  </si>
  <si>
    <t>Tracon Pharmaceuticals Inc.(TCON)</t>
  </si>
  <si>
    <t>Vcanbio Cell &amp; Gene Engineering Corp. Ltd. Class A(600645)</t>
  </si>
  <si>
    <t>NantKwest Inc.(NK)</t>
  </si>
  <si>
    <t>NGM Biopharmaceuticals Inc.(NGM)</t>
  </si>
  <si>
    <t>Precision BioSciences Inc.(DTIL)</t>
  </si>
  <si>
    <t>Sophiris Bio Inc.(SPHS)</t>
  </si>
  <si>
    <t>Advaxis Inc.(ADXS)</t>
  </si>
  <si>
    <t>Fibrocell Science Inc.(FCSC)</t>
  </si>
  <si>
    <t>Proteostasis Therapeutics Inc.(PTI)</t>
  </si>
  <si>
    <t>Arcadia Biosciences Inc.(RKDA)</t>
  </si>
  <si>
    <t>Adial Pharmaceuticals Inc.(ADIL)</t>
  </si>
  <si>
    <t>IVERIC bio Inc.(ISEE)</t>
  </si>
  <si>
    <t>PLx Pharma Inc.(PLXP)</t>
  </si>
  <si>
    <t>Shandong Wohua Pharmaceutical Co. Ltd. Class A(002107)</t>
  </si>
  <si>
    <t>Betta Pharmaceuticals Co. Ltd. Class A(300558)</t>
  </si>
  <si>
    <t>Destination Maternity Corp.(DEST)</t>
  </si>
  <si>
    <t>Harbin Churin Group Jointstock Co. Ltd. Class A(600891)</t>
  </si>
  <si>
    <t>Sears Hometown and Outlet Stores Inc.(SHOS)</t>
  </si>
  <si>
    <t>Dashang Co. Ltd. Class A(600694)</t>
  </si>
  <si>
    <t>Cash Converters International Ltd.(CCV)</t>
  </si>
  <si>
    <t>Shanghai New World Co. Ltd. Class A(600628)</t>
  </si>
  <si>
    <t>EVINE Live Inc.(EVLV)</t>
  </si>
  <si>
    <t>Pang Da Automobile Trade Co. Ltd. Class A(601258)</t>
  </si>
  <si>
    <t>Shenzhen Aisidi Co. Ltd. Class A(002416)</t>
  </si>
  <si>
    <t>Jinfa Labi Maternity &amp; Baby Articles Co. Ltd. Class A(002762)</t>
  </si>
  <si>
    <t>Townsquare Media Inc. Class A(TSQ)</t>
  </si>
  <si>
    <t>Zhejiang Talent Television &amp; Film Co. Ltd. Class A(300426)</t>
  </si>
  <si>
    <t>Ciwen Media Co. Ltd.(002343)</t>
  </si>
  <si>
    <t>Zhejiang Sunriver Culture Co. Ltd. Class A(600576)</t>
  </si>
  <si>
    <t>RTL Group SA(00007453)</t>
  </si>
  <si>
    <t>Guangxi Radio and Television Information Network Corp. Ltd. Class A(600936)</t>
  </si>
  <si>
    <t>Salem Media Group Inc. Class A(SALM)</t>
  </si>
  <si>
    <t>Emmis Communications Corp. Class A(EMMS)</t>
  </si>
  <si>
    <t>Shenzhen ESUN Display Co. Ltd. Class A(002751)</t>
  </si>
  <si>
    <t>Interpace Diagnostics Group Inc.(IDXG)</t>
  </si>
  <si>
    <t>Simei Media Co. Ltd. Class A(002712)</t>
  </si>
  <si>
    <t>Tangel Publishing Co. Ltd. Class A(300148)</t>
  </si>
  <si>
    <t>Southern Publishing &amp; Media Co. Ltd. Class A(601900)</t>
  </si>
  <si>
    <t>Time Publishing and Media Co. Ltd. Class A(600551)</t>
  </si>
  <si>
    <t>Thai Airways International PCL (Foreign)(THAI-F)</t>
  </si>
  <si>
    <t>Canterbury Park Holding Corp.(CPHC)</t>
  </si>
  <si>
    <t>Famous Dave's of America Inc.(DAVE)</t>
  </si>
  <si>
    <t>Beijing Bashi Media Co. Ltd. Class A(600386)</t>
  </si>
  <si>
    <t>Tempus Global Business Service Holding Ltd. Class A(300178)</t>
  </si>
  <si>
    <t>NET Holding AS(NTHOL)</t>
  </si>
  <si>
    <t>Cox &amp; Kings Financial Service Ltd.(CKFSL)</t>
  </si>
  <si>
    <t>Guangdong Meiyan Jixiang Hydropower Co. Ltd. Class A(600868)</t>
  </si>
  <si>
    <t>Top Resource Conservation &amp; Environment Corp. Class A(300332)</t>
  </si>
  <si>
    <t>Qianjiang Water Resources Development Co. Ltd. Class A(600283)</t>
  </si>
  <si>
    <t>Citizens First Corp.(CZFC)</t>
  </si>
  <si>
    <t>FFBW Inc.(FFBW)</t>
  </si>
  <si>
    <t>Capital Bancorp Inc.(CBNK)</t>
  </si>
  <si>
    <t>Jiangsu Zhangjiagang Rural Commercial Bank Co. Ltd. Class A(002839)</t>
  </si>
  <si>
    <t>Community First Bancshares Inc./GA(CFBI)</t>
  </si>
  <si>
    <t>HV Bancorp Inc.(HVBC)</t>
  </si>
  <si>
    <t>United Bancorp Inc./OH(UBCP)</t>
  </si>
  <si>
    <t>Ottawa Bancorp Inc.(OTTW)</t>
  </si>
  <si>
    <t>Palomar Holdings Inc.(PLMR)</t>
  </si>
  <si>
    <t>Maiden Holdings Ltd.(MHLD)</t>
  </si>
  <si>
    <t>Blue Capital Reinsurance Holdings Ltd.(BCRH)</t>
  </si>
  <si>
    <t>Lander Sports Development Co. Ltd. Class A(000558)</t>
  </si>
  <si>
    <t>SRE Group Ltd.(1207)</t>
  </si>
  <si>
    <t>Beijing Homyear Capital Holdings Co. Ltd. Class A(600240)</t>
  </si>
  <si>
    <t>Rongan Property Co. Ltd. Class A(000517)</t>
  </si>
  <si>
    <t>Tibet Urban Development and Investment Co. Ltd. Class A(600773)</t>
  </si>
  <si>
    <t>Shenzhen Fountain Corp. Class A(000005)</t>
  </si>
  <si>
    <t>Shenzhen Wongtee International Enterprise Co. Ltd. Class B(200056)</t>
  </si>
  <si>
    <t>Kawasan Industri Jababeka Tbk PT(KIJA)</t>
  </si>
  <si>
    <t>Jiangsu Phoenix Property Investment Co. Ltd. Class A(600716)</t>
  </si>
  <si>
    <t>Deluxe Family Co. Ltd. Class A(600503)</t>
  </si>
  <si>
    <t>Winthrop Realty Trust(null)</t>
  </si>
  <si>
    <t>getBACK SA(GBK)</t>
  </si>
  <si>
    <t>Sociedad de Inversiones Oro Blanco SA(ORO BLANCO)</t>
  </si>
  <si>
    <t>Maybank Kim Eng Securities Thailand PCL(null)</t>
  </si>
  <si>
    <t>Jih Sun Financial Holdings Co. Ltd.(5820)</t>
  </si>
  <si>
    <t>Impac Mortgage Holdings Inc.(IMH)</t>
  </si>
  <si>
    <t>Altisource Asset Management Corp.(AAMC)</t>
  </si>
  <si>
    <t>CSP Inc.(CSPI)</t>
  </si>
  <si>
    <t>United Electronics Co. Ltd. Class A(002642)</t>
  </si>
  <si>
    <t>WidePoint Corp.(WYY)</t>
  </si>
  <si>
    <t>CynergisTek Inc./DE(CTEK)</t>
  </si>
  <si>
    <t>Mastech Digital Inc.(MHH)</t>
  </si>
  <si>
    <t>Xiamen 35.com Technology Co. Ltd. Class A(300051)</t>
  </si>
  <si>
    <t>Qtone Education Group Guandong Ltd. Class A(300359)</t>
  </si>
  <si>
    <t>AudioEye Inc.(AEYE)</t>
  </si>
  <si>
    <t>GSE Systems Inc.(GVP)</t>
  </si>
  <si>
    <t>Beijing Interact Technology Co. Ltd. Class A(300419)</t>
  </si>
  <si>
    <t>Inuvo Inc.(INUV)</t>
  </si>
  <si>
    <t>BSQUARE Corp.(BSQR)</t>
  </si>
  <si>
    <t>Sichuan Xun You Network Technology Co. Ltd. Class A(300467)</t>
  </si>
  <si>
    <t>Nationz Technologies Inc. Class A(300077)</t>
  </si>
  <si>
    <t>Intermolecular Inc.(IMI)</t>
  </si>
  <si>
    <t>BK Technologies Corp.(BKTI)</t>
  </si>
  <si>
    <t>ClearOne Inc.(CLRO)</t>
  </si>
  <si>
    <t>Network-1 Technologies Inc.(NTIP)</t>
  </si>
  <si>
    <t>Zion Oil &amp; Gas Inc.(ZN)</t>
  </si>
  <si>
    <t>Alta Mesa Resources Inc. Class A(AMR)</t>
  </si>
  <si>
    <t>Shanghai Lonyer Fuels Co. Ltd. Class A(603003)</t>
  </si>
  <si>
    <t>Bode Energy Equipment Co. Ltd. Class A(300023)</t>
  </si>
  <si>
    <t>Superior Drilling Products Inc.(SDPI)</t>
  </si>
  <si>
    <t>SAExploration Holdings Inc.(SAEX)</t>
  </si>
  <si>
    <t>E-Ton Solar Tech Co. Ltd.(3452)</t>
  </si>
  <si>
    <t>Ningxia Younglight Chemicals Co. Ltd. Class A(000635)</t>
  </si>
  <si>
    <t>Dynasil Corp. of America(DYSL)</t>
  </si>
  <si>
    <t>Guangdong Silver Age Sci &amp; Tech Co. Ltd. Class A(300221)</t>
  </si>
  <si>
    <t>Qingdao Kingking Applied Chemistry Co. Ltd. Class A(002094)</t>
  </si>
  <si>
    <t>Shanghai Hongda Mining Co. Ltd. Class A(600532)</t>
  </si>
  <si>
    <t>Guangdong Sky Dragon Printing Ink Group Co. Ltd. Class A(300063)</t>
  </si>
  <si>
    <t>Quintis Ltd.(QIN)</t>
  </si>
  <si>
    <t>Chongyi Zhangyuan Tungsten Co. Ltd. Class A(002378)</t>
  </si>
  <si>
    <t>Sichuan Western Resources Holding Co. Ltd. Class A(600139)</t>
  </si>
  <si>
    <t>Hainan Mining Co. Ltd. Class A(601969)</t>
  </si>
  <si>
    <t>Suzhou China Create Special Material Co. Ltd.(002290)</t>
  </si>
  <si>
    <t>Chongqing Iron &amp; Steel Co. Ltd.(1053)</t>
  </si>
  <si>
    <t>Gerdau SA(GGBR3)</t>
  </si>
  <si>
    <t>YongXing Special Stainless Steel Co. Ltd. Class A(002756)</t>
  </si>
  <si>
    <t>Shanghai U9 Game Co. Ltd. Class A(600652)</t>
  </si>
  <si>
    <t>General Moly Inc.(GMO)</t>
  </si>
  <si>
    <t>US Antimony Corp.(UAMY)</t>
  </si>
  <si>
    <t>Triumph Science &amp; Technology Co. Ltd. Class A(600552)</t>
  </si>
  <si>
    <t>Continental Materials Corp.(CUO)</t>
  </si>
  <si>
    <t>Jewett-Cameron Trading Co. Ltd.(JCTCF)</t>
  </si>
  <si>
    <t>Konya Cimento Sanayii AS(KONYA)</t>
  </si>
  <si>
    <t>Adana Cimento Sanayii TAS Class A(ADANA)</t>
  </si>
  <si>
    <t>Alarko Holding AS(ALARK)</t>
  </si>
  <si>
    <t>AECC Aero Science and Technology Co. Ltd. Class A(600391)</t>
  </si>
  <si>
    <t>Wrap Technologies Inc.(WRTC)</t>
  </si>
  <si>
    <t>Shanghai Fudan Forward S &amp; T Co. Ltd. Class A(600624)</t>
  </si>
  <si>
    <t>KAISA JiaYun Technology Inc. Class A(300242)</t>
  </si>
  <si>
    <t>China Wafer Level CSP Co. Ltd. Class A(603005)</t>
  </si>
  <si>
    <t>Pioneer Power Solutions Inc.(PPSI)</t>
  </si>
  <si>
    <t>Rubicon Technology Inc.(RBCN)</t>
  </si>
  <si>
    <t>LGL Group Inc.(LGL)</t>
  </si>
  <si>
    <t>JiangSu Yabaite Technology Co. Ltd. Class A(002323)</t>
  </si>
  <si>
    <t>Wuxi Hodgen Technology Co. Ltd. Class A(300279)</t>
  </si>
  <si>
    <t>Anhui Yingliu Electromechanical Co. Ltd. Class A(603308)</t>
  </si>
  <si>
    <t>Guangdong Anjubao Digital Technology Co. Ltd. Class A(300155)</t>
  </si>
  <si>
    <t>Nanjing Quanxin Cable Technology Co. Ltd. Class A(300447)</t>
  </si>
  <si>
    <t>Oriental Times Media Corp. Class A(002175)</t>
  </si>
  <si>
    <t>Ballantyne Strong Inc.(BTN)</t>
  </si>
  <si>
    <t>Applied DNA Sciences Inc.(APDN)</t>
  </si>
  <si>
    <t>Shanghai Feilo Acoustics Co. Ltd. Class A(600651)</t>
  </si>
  <si>
    <t>COSCO Shipping International Singapore Co. Ltd.(F83)</t>
  </si>
  <si>
    <t>Bestway Marine &amp; Energy Technology Co. Ltd. Class A(300008)</t>
  </si>
  <si>
    <t>Rush Enterprises Inc. Class B(RUSHB)</t>
  </si>
  <si>
    <t>Avic Heavy Machinery Co. Ltd. Class A(600765)</t>
  </si>
  <si>
    <t>ClearSign Combustion Corp.(CLIR)</t>
  </si>
  <si>
    <t>Tongda Hong Tai Holdings Ltd.(2363)</t>
  </si>
  <si>
    <t>ChangjiangRunfa Medicine Co. Ltd. Class A(002435)</t>
  </si>
  <si>
    <t>Shanghai Cooltech Power Co. Ltd. Class A(300153)</t>
  </si>
  <si>
    <t>Chicago Rivet &amp; Machine Co.(CVR)</t>
  </si>
  <si>
    <t>Thoresen Thai Agencies PCL(TTA-F)</t>
  </si>
  <si>
    <t>COSCO SHIPPING Energy Transportation Co. Ltd. Class A(600026)</t>
  </si>
  <si>
    <t>Chang Jiang Shipping Group Phoenix Co. Ltd. Class A(000520)</t>
  </si>
  <si>
    <t>Sigma Labs Inc.(SGLB)</t>
  </si>
  <si>
    <t>Volt Information Sciences Inc.(VISI)</t>
  </si>
  <si>
    <t>Payment Data Systems Inc.(PYDS)</t>
  </si>
  <si>
    <t>Vertex Energy Inc.(VTNR)</t>
  </si>
  <si>
    <t>Mianyang Fulin Precision Machining Co. Ltd. Class A(300432)</t>
  </si>
  <si>
    <t>Steyr Motors Co. Ltd. Class A(000760)</t>
  </si>
  <si>
    <t>Triangle Tyre Co. Ltd. Class A(601163)</t>
  </si>
  <si>
    <t>Sampoerna Agro Tbk PT(SGRO)</t>
  </si>
  <si>
    <t>Gansu Mogao Industrial Development Co. Ltd. Class A(600543)</t>
  </si>
  <si>
    <t>Bridgford Foods Corp.(BRID)</t>
  </si>
  <si>
    <t>McLeod Russel India Ltd.(MCLEODRUSS)</t>
  </si>
  <si>
    <t>Changhong Meiling Co. Ltd. Class B(200521)</t>
  </si>
  <si>
    <t>P&amp;F Industries Inc. Class A(PFIN)</t>
  </si>
  <si>
    <t>Hisense Home Appliances Group Co. Ltd.(921)</t>
  </si>
  <si>
    <t>CompX International Inc.(CIX)</t>
  </si>
  <si>
    <t>JAKKS Pacific Inc.(JAKK)</t>
  </si>
  <si>
    <t>Hangzhou Electronic Soul Network Technology Co. Ltd. Class A(603258)</t>
  </si>
  <si>
    <t>Zedge Inc. Class B(ZDGE)</t>
  </si>
  <si>
    <t>Vince Holding Corp.(VNCE)</t>
  </si>
  <si>
    <t>Nova Lifestyle Inc.(NVFY)</t>
  </si>
  <si>
    <t>Jerash Holdings US Inc.(JRSH)</t>
  </si>
  <si>
    <t>Liuzhou Liangmianzhen Co. Ltd. Class A(600249)</t>
  </si>
  <si>
    <t>Digirad Corp.(DRAD)</t>
  </si>
  <si>
    <t>PAVmed Inc.(PAVM)</t>
  </si>
  <si>
    <t>Aethlon Medical Inc.(AEMD)</t>
  </si>
  <si>
    <t>Navidea Biopharmaceuticals Inc.(NAVB)</t>
  </si>
  <si>
    <t>Viveve Medical Inc.(VIVE)</t>
  </si>
  <si>
    <t>Soleno Therapeutics Inc.(SLNO)</t>
  </si>
  <si>
    <t>Hancock Jaffe Laboratories Inc.(HJLI)</t>
  </si>
  <si>
    <t>Akers Biosciences Inc.(AKER)</t>
  </si>
  <si>
    <t>Mereo Biopharma Group plc ADR(MREO)</t>
  </si>
  <si>
    <t>Aratana Therapeutics Inc.(PETX)</t>
  </si>
  <si>
    <t>Soligenix Inc.(SNGX)</t>
  </si>
  <si>
    <t>Outlook Therapeutics Inc.(OTLK)</t>
  </si>
  <si>
    <t>ENDRA Life Sciences Inc.(NDRA)</t>
  </si>
  <si>
    <t>OncoSec Medical Inc.(ONCS)</t>
  </si>
  <si>
    <t>Vaccinex Inc.(VCNX)</t>
  </si>
  <si>
    <t>Vical Inc.(VICL)</t>
  </si>
  <si>
    <t>Caladrius Biosciences Inc.(CLBS)</t>
  </si>
  <si>
    <t>Aravive Inc.(ARAV)</t>
  </si>
  <si>
    <t>ContraFect Corp.(CFRX)</t>
  </si>
  <si>
    <t>IsoRay Inc.(ISR)</t>
  </si>
  <si>
    <t>Vermillion Inc.(VRML)</t>
  </si>
  <si>
    <t>Avenue Therapeutics Inc.(ATXI)</t>
  </si>
  <si>
    <t>SELLAS Life Sciences Group Inc.(SLS)</t>
  </si>
  <si>
    <t>AzurRx BioPharma Inc.(AZRX)</t>
  </si>
  <si>
    <t>Co-Diagnostics Inc.(CODX)</t>
  </si>
  <si>
    <t>CTI BioPharma Corp.(CTIC)</t>
  </si>
  <si>
    <t>Solara Active Pharma Sciences Ltd.(SOLARA)</t>
  </si>
  <si>
    <t>Guizhou Yibai Pharmaceutical Co. Ltd. Class A(600594)</t>
  </si>
  <si>
    <t>Hua Han Health Industry Holdings Ltd.(587)</t>
  </si>
  <si>
    <t>Marksans Pharma Ltd.(MARKSANS)</t>
  </si>
  <si>
    <t>Xiangxue Pharmaceutical Co. Ltd. Class A(300147)</t>
  </si>
  <si>
    <t>BioPharmX Corp.(BPMX)</t>
  </si>
  <si>
    <t>Bizim Toptan Satis Magazalari AS(BIZIM)</t>
  </si>
  <si>
    <t>Lianhua Supermarket Holdings Co. Ltd.(980)</t>
  </si>
  <si>
    <t>Guirenniao Co. Ltd. Class A(603555)</t>
  </si>
  <si>
    <t>Stein Mart Inc.(SMRT)</t>
  </si>
  <si>
    <t>Francesca's Holdings Corp.(FRAN)</t>
  </si>
  <si>
    <t>Stage Stores Inc.(SSI)</t>
  </si>
  <si>
    <t>Maoye International Holdings Ltd.(848)</t>
  </si>
  <si>
    <t>Profire Energy Inc.(PFIE)</t>
  </si>
  <si>
    <t>Dolphin Entertainment Inc.(DLPN)</t>
  </si>
  <si>
    <t>Purple Innovation Inc.(PRPL)</t>
  </si>
  <si>
    <t>Beijing HualuBaina Film &amp; TV Co. Ltd. Class A(300291)</t>
  </si>
  <si>
    <t>Harte-Hanks Inc.(HHS)</t>
  </si>
  <si>
    <t>McClatchy Co. Class A(MNI)</t>
  </si>
  <si>
    <t>Duzhe Publishing &amp; Media Co. Ltd. Class A(603999)</t>
  </si>
  <si>
    <t>Value Line Inc.(VALU)</t>
  </si>
  <si>
    <t>Valeritas Holdings Inc.(VLRX)</t>
  </si>
  <si>
    <t>Diversified Restaurant Holdings Inc.(SAUC)</t>
  </si>
  <si>
    <t>Shanghai Qiangsheng Holding Co. Ltd. Class A(600662)</t>
  </si>
  <si>
    <t>CPS Technologies Corp.(CPSH)</t>
  </si>
  <si>
    <t>Huadian Energy Co. Ltd. Class A(600726)</t>
  </si>
  <si>
    <t>Akenerji Elektrik Uretim AS(AKENR)</t>
  </si>
  <si>
    <t>SPIC Yuanda Environmental-Protection Co. Ltd. Class A(600292)</t>
  </si>
  <si>
    <t>Lenenergo PJSC Preference Shares(LSNGP)</t>
  </si>
  <si>
    <t>Bangkok Bank PCL (Foreign)(BBL-F)</t>
  </si>
  <si>
    <t>Southwest Georgia Financial Corp.(SGB)</t>
  </si>
  <si>
    <t>WVS Financial Corp.(WVFC)</t>
  </si>
  <si>
    <t>County Bancorp Inc.(ICBK)</t>
  </si>
  <si>
    <t>Broadway Financial Corp./DE(BYFC)</t>
  </si>
  <si>
    <t>HMN Financial Inc.(HMNF)</t>
  </si>
  <si>
    <t>PB Bancorp Inc.(PBBI)</t>
  </si>
  <si>
    <t>1347 Property Insurance Holdings Inc.(PIH)</t>
  </si>
  <si>
    <t>Atlas Financial Holdings Inc.(AFH)</t>
  </si>
  <si>
    <t>JW Mays Inc.(MAYS)</t>
  </si>
  <si>
    <t>Lippo Cikarang Tbk PT(LPCK)</t>
  </si>
  <si>
    <t>InterGroup Corp.(INTG)</t>
  </si>
  <si>
    <t>Income Opportunity Realty Investors Inc.(IOR)</t>
  </si>
  <si>
    <t>Zhonghong Holding Co. Ltd. Class A(000979)</t>
  </si>
  <si>
    <t>Sagax AB Preference Shares(SAGA PREF)</t>
  </si>
  <si>
    <t>Pruksa Holding PCL(PSH-F)</t>
  </si>
  <si>
    <t>China Minsheng DIT Group Ltd.(726)</t>
  </si>
  <si>
    <t>WHA Premium Growth Freehold &amp; Leasehold Real Estate InvestmentTrust(WHART)</t>
  </si>
  <si>
    <t>Wheeler REIT Inc.(WHLR)</t>
  </si>
  <si>
    <t>CSC Financial Co. Ltd.(6066)</t>
  </si>
  <si>
    <t>National Holdings Corp.(NHLD)</t>
  </si>
  <si>
    <t>FTE Networks Inc.(FTNW)</t>
  </si>
  <si>
    <t>Alithya Group Inc. Class A(ALYA)</t>
  </si>
  <si>
    <t>Marin Software Inc.(MRIN)</t>
  </si>
  <si>
    <t>NXT-ID Inc.(NXTD)</t>
  </si>
  <si>
    <t>Baofeng Group Co. Ltd. Class A(300431)</t>
  </si>
  <si>
    <t>Shenzhen Rapoo Technology Co. Ltd. Class A(002577)</t>
  </si>
  <si>
    <t>One Stop Systems Inc.(OSS)</t>
  </si>
  <si>
    <t>China Electronics Huada Technology Co. Ltd.(85)</t>
  </si>
  <si>
    <t>Optical Cable Corp.(OCC)</t>
  </si>
  <si>
    <t>New York REIT Liquidating LLC(null)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</si>
</sst>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938"/>
  <sheetViews>
    <sheetView tabSelected="1" topLeftCell="A7" workbookViewId="0"/>
  </sheetViews>
  <sheetFormatPr defaultRowHeight="15"/>
  <cols>
    <col min="1" max="1" width="71" customWidth="1"/>
    <col min="5" max="5" width="35.7109375" customWidth="1"/>
  </cols>
  <sheetData>
    <row r="1" spans="1:6">
      <c r="A1" t="s">
        <v>0</v>
      </c>
    </row>
    <row r="3" spans="1:6">
      <c r="A3" t="s">
        <v>1</v>
      </c>
    </row>
    <row r="4" spans="1:6">
      <c r="A4" t="s">
        <v>2</v>
      </c>
    </row>
    <row r="6" spans="1:6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</row>
    <row r="7" spans="1:6">
      <c r="A7" t="s">
        <v>9</v>
      </c>
      <c r="B7" t="str">
        <f>"1.69253%"</f>
        <v>1.69253%</v>
      </c>
      <c r="C7" t="s">
        <v>10</v>
      </c>
      <c r="D7" t="s">
        <v>10</v>
      </c>
      <c r="E7" t="str">
        <f>"$ 13,069,691"</f>
        <v>$ 13,069,691</v>
      </c>
      <c r="F7" s="1">
        <v>122410</v>
      </c>
    </row>
    <row r="8" spans="1:6">
      <c r="A8" t="s">
        <v>11</v>
      </c>
      <c r="B8" t="str">
        <f>"1.54711%"</f>
        <v>1.54711%</v>
      </c>
      <c r="C8" t="s">
        <v>10</v>
      </c>
      <c r="D8" t="s">
        <v>10</v>
      </c>
      <c r="E8" t="str">
        <f>"$ 11,946,728"</f>
        <v>$ 11,946,728</v>
      </c>
      <c r="F8" s="1">
        <v>156330</v>
      </c>
    </row>
    <row r="9" spans="1:6">
      <c r="A9" t="s">
        <v>12</v>
      </c>
      <c r="B9" t="str">
        <f>"1.08281%"</f>
        <v>1.08281%</v>
      </c>
      <c r="C9" t="s">
        <v>10</v>
      </c>
      <c r="D9" t="s">
        <v>10</v>
      </c>
      <c r="E9" t="str">
        <f>"$ 8,361,398"</f>
        <v>$ 8,361,398</v>
      </c>
      <c r="F9" s="1">
        <v>47789</v>
      </c>
    </row>
    <row r="10" spans="1:6">
      <c r="A10" t="s">
        <v>13</v>
      </c>
      <c r="B10" t="str">
        <f>"1.08268%"</f>
        <v>1.08268%</v>
      </c>
      <c r="C10" t="s">
        <v>10</v>
      </c>
      <c r="D10" t="s">
        <v>10</v>
      </c>
      <c r="E10" t="str">
        <f>"$ 8,360,427"</f>
        <v>$ 8,360,427</v>
      </c>
      <c r="F10" s="1">
        <v>168932</v>
      </c>
    </row>
    <row r="11" spans="1:6">
      <c r="A11" t="s">
        <v>14</v>
      </c>
      <c r="B11" t="str">
        <f>"0.99836%"</f>
        <v>0.99836%</v>
      </c>
      <c r="C11" t="s">
        <v>10</v>
      </c>
      <c r="D11" t="s">
        <v>10</v>
      </c>
      <c r="E11" t="str">
        <f>"$ 7,709,292"</f>
        <v>$ 7,709,292</v>
      </c>
      <c r="F11" s="1">
        <v>104490</v>
      </c>
    </row>
    <row r="12" spans="1:6">
      <c r="A12" t="s">
        <v>15</v>
      </c>
      <c r="B12" t="str">
        <f>"0.99085%"</f>
        <v>0.99085%</v>
      </c>
      <c r="C12" t="s">
        <v>10</v>
      </c>
      <c r="D12" t="s">
        <v>10</v>
      </c>
      <c r="E12" t="str">
        <f>"$ 7,651,303"</f>
        <v>$ 7,651,303</v>
      </c>
      <c r="F12" s="1">
        <v>61486</v>
      </c>
    </row>
    <row r="13" spans="1:6">
      <c r="A13" t="s">
        <v>16</v>
      </c>
      <c r="B13" t="str">
        <f>"0.92041%"</f>
        <v>0.92041%</v>
      </c>
      <c r="C13" t="s">
        <v>10</v>
      </c>
      <c r="D13" t="s">
        <v>10</v>
      </c>
      <c r="E13" t="str">
        <f>"$ 7,107,390"</f>
        <v>$ 7,107,390</v>
      </c>
      <c r="F13" s="1">
        <v>26437</v>
      </c>
    </row>
    <row r="14" spans="1:6">
      <c r="A14" t="s">
        <v>17</v>
      </c>
      <c r="B14" t="str">
        <f>"0.86941%"</f>
        <v>0.86941%</v>
      </c>
      <c r="C14" t="s">
        <v>10</v>
      </c>
      <c r="D14" t="s">
        <v>10</v>
      </c>
      <c r="E14" t="str">
        <f>"$ 6,713,569"</f>
        <v>$ 6,713,569</v>
      </c>
      <c r="F14" s="1">
        <v>2601</v>
      </c>
    </row>
    <row r="15" spans="1:6">
      <c r="A15" t="s">
        <v>18</v>
      </c>
      <c r="B15" t="str">
        <f>"0.77833%"</f>
        <v>0.77833%</v>
      </c>
      <c r="C15" t="s">
        <v>10</v>
      </c>
      <c r="D15" t="s">
        <v>10</v>
      </c>
      <c r="E15" t="str">
        <f>"$ 6,010,207"</f>
        <v>$ 6,010,207</v>
      </c>
      <c r="F15" s="1">
        <v>136039</v>
      </c>
    </row>
    <row r="16" spans="1:6">
      <c r="A16" t="s">
        <v>19</v>
      </c>
      <c r="B16" t="str">
        <f>"0.74129%"</f>
        <v>0.74129%</v>
      </c>
      <c r="C16" t="s">
        <v>10</v>
      </c>
      <c r="D16" t="s">
        <v>10</v>
      </c>
      <c r="E16" t="str">
        <f>"$ 5,724,214"</f>
        <v>$ 5,724,214</v>
      </c>
      <c r="F16" s="1">
        <v>54094</v>
      </c>
    </row>
    <row r="17" spans="1:6">
      <c r="A17" t="s">
        <v>20</v>
      </c>
      <c r="B17" t="str">
        <f>"0.64401%"</f>
        <v>0.64401%</v>
      </c>
      <c r="C17" t="s">
        <v>10</v>
      </c>
      <c r="D17" t="s">
        <v>10</v>
      </c>
      <c r="E17" t="str">
        <f>"$ 4,973,018"</f>
        <v>$ 4,973,018</v>
      </c>
      <c r="F17" s="1">
        <v>77776</v>
      </c>
    </row>
    <row r="18" spans="1:6">
      <c r="A18" t="s">
        <v>21</v>
      </c>
      <c r="B18" t="str">
        <f>"0.59983%"</f>
        <v>0.59983%</v>
      </c>
      <c r="C18" t="s">
        <v>10</v>
      </c>
      <c r="D18" t="s">
        <v>10</v>
      </c>
      <c r="E18" t="str">
        <f>"$ 4,631,872"</f>
        <v>$ 4,631,872</v>
      </c>
      <c r="F18" s="1">
        <v>71712</v>
      </c>
    </row>
    <row r="19" spans="1:6">
      <c r="A19" t="s">
        <v>22</v>
      </c>
      <c r="B19" t="str">
        <f>"0.54981%"</f>
        <v>0.54981%</v>
      </c>
      <c r="C19" t="s">
        <v>10</v>
      </c>
      <c r="D19" t="s">
        <v>10</v>
      </c>
      <c r="E19" t="str">
        <f>"$ 4,245,619"</f>
        <v>$ 4,245,619</v>
      </c>
      <c r="F19" s="1">
        <v>37635</v>
      </c>
    </row>
    <row r="20" spans="1:6">
      <c r="A20" t="s">
        <v>23</v>
      </c>
      <c r="B20" t="str">
        <f>"0.53719%"</f>
        <v>0.53719%</v>
      </c>
      <c r="C20" t="s">
        <v>10</v>
      </c>
      <c r="D20" t="s">
        <v>10</v>
      </c>
      <c r="E20" t="str">
        <f>"$ 4,148,150"</f>
        <v>$ 4,148,150</v>
      </c>
      <c r="F20" s="1">
        <v>168146</v>
      </c>
    </row>
    <row r="21" spans="1:6">
      <c r="A21" t="s">
        <v>24</v>
      </c>
      <c r="B21" t="str">
        <f>"0.52471%"</f>
        <v>0.52471%</v>
      </c>
      <c r="C21" t="s">
        <v>10</v>
      </c>
      <c r="D21" t="s">
        <v>10</v>
      </c>
      <c r="E21" t="str">
        <f>"$ 4,051,805"</f>
        <v>$ 4,051,805</v>
      </c>
      <c r="F21" s="1">
        <v>100741</v>
      </c>
    </row>
    <row r="22" spans="1:6">
      <c r="A22" t="s">
        <v>25</v>
      </c>
      <c r="B22" t="str">
        <f>"0.49867%"</f>
        <v>0.49867%</v>
      </c>
      <c r="C22" t="s">
        <v>10</v>
      </c>
      <c r="D22" t="s">
        <v>10</v>
      </c>
      <c r="E22" t="str">
        <f>"$ 3,850,692"</f>
        <v>$ 3,850,692</v>
      </c>
      <c r="F22" s="1">
        <v>14862</v>
      </c>
    </row>
    <row r="23" spans="1:6">
      <c r="A23" t="s">
        <v>26</v>
      </c>
      <c r="B23" t="str">
        <f>"0.48775%"</f>
        <v>0.48775%</v>
      </c>
      <c r="C23" t="s">
        <v>10</v>
      </c>
      <c r="D23" t="s">
        <v>10</v>
      </c>
      <c r="E23" t="str">
        <f>"$ 3,766,386"</f>
        <v>$ 3,766,386</v>
      </c>
      <c r="F23" s="1">
        <v>51836</v>
      </c>
    </row>
    <row r="24" spans="1:6">
      <c r="A24" t="s">
        <v>27</v>
      </c>
      <c r="B24" t="str">
        <f>"0.46335%"</f>
        <v>0.46335%</v>
      </c>
      <c r="C24" t="s">
        <v>10</v>
      </c>
      <c r="D24" t="s">
        <v>10</v>
      </c>
      <c r="E24" t="str">
        <f>"$ 3,577,954"</f>
        <v>$ 3,577,954</v>
      </c>
      <c r="F24" s="1">
        <v>11920</v>
      </c>
    </row>
    <row r="25" spans="1:6">
      <c r="A25" t="s">
        <v>28</v>
      </c>
      <c r="B25" t="str">
        <f>"0.44456%"</f>
        <v>0.44456%</v>
      </c>
      <c r="C25" t="s">
        <v>10</v>
      </c>
      <c r="D25" t="s">
        <v>10</v>
      </c>
      <c r="E25" t="str">
        <f>"$ 3,432,839"</f>
        <v>$ 3,432,839</v>
      </c>
      <c r="F25" s="1">
        <v>11824</v>
      </c>
    </row>
    <row r="26" spans="1:6">
      <c r="A26" t="s">
        <v>29</v>
      </c>
      <c r="B26" t="str">
        <f>"0.41393%"</f>
        <v>0.41393%</v>
      </c>
      <c r="C26" t="s">
        <v>10</v>
      </c>
      <c r="D26" t="s">
        <v>10</v>
      </c>
      <c r="E26" t="str">
        <f>"$ 3,196,350"</f>
        <v>$ 3,196,350</v>
      </c>
      <c r="F26" s="1">
        <v>20559</v>
      </c>
    </row>
    <row r="27" spans="1:6">
      <c r="A27" t="s">
        <v>30</v>
      </c>
      <c r="B27" t="str">
        <f>"0.40642%"</f>
        <v>0.40642%</v>
      </c>
      <c r="C27" t="s">
        <v>10</v>
      </c>
      <c r="D27" t="s">
        <v>10</v>
      </c>
      <c r="E27" t="str">
        <f>"$ 3,138,367"</f>
        <v>$ 3,138,367</v>
      </c>
      <c r="F27" s="1">
        <v>16591</v>
      </c>
    </row>
    <row r="28" spans="1:6">
      <c r="A28" t="s">
        <v>31</v>
      </c>
      <c r="B28" t="str">
        <f>"0.38802%"</f>
        <v>0.38802%</v>
      </c>
      <c r="C28" t="s">
        <v>10</v>
      </c>
      <c r="D28" t="s">
        <v>10</v>
      </c>
      <c r="E28" t="str">
        <f>"$ 2,996,274"</f>
        <v>$ 2,996,274</v>
      </c>
      <c r="F28" s="1">
        <v>1865</v>
      </c>
    </row>
    <row r="29" spans="1:6">
      <c r="A29" t="s">
        <v>32</v>
      </c>
      <c r="B29" t="str">
        <f>"0.38142%"</f>
        <v>0.38142%</v>
      </c>
      <c r="C29" t="s">
        <v>10</v>
      </c>
      <c r="D29" t="s">
        <v>10</v>
      </c>
      <c r="E29" t="str">
        <f>"$ 2,945,293"</f>
        <v>$ 2,945,293</v>
      </c>
      <c r="F29" s="1">
        <v>1850</v>
      </c>
    </row>
    <row r="30" spans="1:6">
      <c r="A30" t="s">
        <v>33</v>
      </c>
      <c r="B30" t="str">
        <f>"0.37131%"</f>
        <v>0.37131%</v>
      </c>
      <c r="C30" t="s">
        <v>10</v>
      </c>
      <c r="D30" t="s">
        <v>10</v>
      </c>
      <c r="E30" t="str">
        <f>"$ 2,867,244"</f>
        <v>$ 2,867,244</v>
      </c>
      <c r="F30" s="1">
        <v>51514</v>
      </c>
    </row>
    <row r="31" spans="1:6">
      <c r="A31" t="s">
        <v>34</v>
      </c>
      <c r="B31" t="str">
        <f>"0.36919%"</f>
        <v>0.36919%</v>
      </c>
      <c r="C31" t="s">
        <v>10</v>
      </c>
      <c r="D31" t="s">
        <v>10</v>
      </c>
      <c r="E31" t="str">
        <f>"$ 2,850,895"</f>
        <v>$ 2,850,895</v>
      </c>
      <c r="F31" s="1">
        <v>36092</v>
      </c>
    </row>
    <row r="32" spans="1:6">
      <c r="A32" t="s">
        <v>35</v>
      </c>
      <c r="B32" t="str">
        <f>"0.36733%"</f>
        <v>0.36733%</v>
      </c>
      <c r="C32" t="s">
        <v>10</v>
      </c>
      <c r="D32" t="s">
        <v>10</v>
      </c>
      <c r="E32" t="str">
        <f>"$ 2,836,512"</f>
        <v>$ 2,836,512</v>
      </c>
      <c r="F32" s="1">
        <v>26374</v>
      </c>
    </row>
    <row r="33" spans="1:6">
      <c r="A33" t="s">
        <v>36</v>
      </c>
      <c r="B33" t="str">
        <f>"0.35770%"</f>
        <v>0.35770%</v>
      </c>
      <c r="C33" t="s">
        <v>10</v>
      </c>
      <c r="D33" t="s">
        <v>10</v>
      </c>
      <c r="E33" t="str">
        <f>"$ 2,762,149"</f>
        <v>$ 2,762,149</v>
      </c>
      <c r="F33" s="1">
        <v>22214</v>
      </c>
    </row>
    <row r="34" spans="1:6">
      <c r="A34" t="s">
        <v>37</v>
      </c>
      <c r="B34" t="str">
        <f>"0.34924%"</f>
        <v>0.34924%</v>
      </c>
      <c r="C34" t="s">
        <v>10</v>
      </c>
      <c r="D34" t="s">
        <v>10</v>
      </c>
      <c r="E34" t="str">
        <f>"$ 2,696,815"</f>
        <v>$ 2,696,815</v>
      </c>
      <c r="F34" s="1">
        <v>8279</v>
      </c>
    </row>
    <row r="35" spans="1:6">
      <c r="A35" t="s">
        <v>38</v>
      </c>
      <c r="B35" t="str">
        <f>"0.32461%"</f>
        <v>0.32461%</v>
      </c>
      <c r="C35" t="s">
        <v>10</v>
      </c>
      <c r="D35" t="s">
        <v>10</v>
      </c>
      <c r="E35" t="str">
        <f>"$ 2,506,603"</f>
        <v>$ 2,506,603</v>
      </c>
      <c r="F35" s="1">
        <v>147188</v>
      </c>
    </row>
    <row r="36" spans="1:6">
      <c r="A36" t="s">
        <v>39</v>
      </c>
      <c r="B36" t="str">
        <f>"0.31174%"</f>
        <v>0.31174%</v>
      </c>
      <c r="C36" t="s">
        <v>10</v>
      </c>
      <c r="D36" t="s">
        <v>10</v>
      </c>
      <c r="E36" t="str">
        <f>"$ 2,407,264"</f>
        <v>$ 2,407,264</v>
      </c>
      <c r="F36" s="1">
        <v>18598</v>
      </c>
    </row>
    <row r="37" spans="1:6">
      <c r="A37" t="s">
        <v>40</v>
      </c>
      <c r="B37" t="str">
        <f>"0.31097%"</f>
        <v>0.31097%</v>
      </c>
      <c r="C37" t="s">
        <v>10</v>
      </c>
      <c r="D37" t="s">
        <v>10</v>
      </c>
      <c r="E37" t="str">
        <f>"$ 2,401,305"</f>
        <v>$ 2,401,305</v>
      </c>
      <c r="F37" s="1">
        <v>10901</v>
      </c>
    </row>
    <row r="38" spans="1:6">
      <c r="A38" t="s">
        <v>41</v>
      </c>
      <c r="B38" t="str">
        <f>"0.28783%"</f>
        <v>0.28783%</v>
      </c>
      <c r="C38" t="s">
        <v>10</v>
      </c>
      <c r="D38" t="s">
        <v>10</v>
      </c>
      <c r="E38" t="str">
        <f>"$ 2,222,611"</f>
        <v>$ 2,222,611</v>
      </c>
      <c r="F38" s="1">
        <v>15581</v>
      </c>
    </row>
    <row r="39" spans="1:6">
      <c r="A39" t="s">
        <v>42</v>
      </c>
      <c r="B39" t="str">
        <f>"0.28773%"</f>
        <v>0.28773%</v>
      </c>
      <c r="C39" t="s">
        <v>10</v>
      </c>
      <c r="D39" t="s">
        <v>10</v>
      </c>
      <c r="E39" t="str">
        <f>"$ 2,221,847"</f>
        <v>$ 2,221,847</v>
      </c>
      <c r="F39" s="1">
        <v>54234</v>
      </c>
    </row>
    <row r="40" spans="1:6">
      <c r="A40" t="s">
        <v>43</v>
      </c>
      <c r="B40" t="str">
        <f>"0.27930%"</f>
        <v>0.27930%</v>
      </c>
      <c r="C40" t="s">
        <v>10</v>
      </c>
      <c r="D40" t="s">
        <v>10</v>
      </c>
      <c r="E40" t="str">
        <f>"$ 2,156,783"</f>
        <v>$ 2,156,783</v>
      </c>
      <c r="F40" s="1">
        <v>32663</v>
      </c>
    </row>
    <row r="41" spans="1:6">
      <c r="A41" t="s">
        <v>44</v>
      </c>
      <c r="B41" t="str">
        <f>"0.26632%"</f>
        <v>0.26632%</v>
      </c>
      <c r="C41" t="s">
        <v>10</v>
      </c>
      <c r="D41" t="s">
        <v>10</v>
      </c>
      <c r="E41" t="str">
        <f>"$ 2,056,535"</f>
        <v>$ 2,056,535</v>
      </c>
      <c r="F41" s="1">
        <v>27436</v>
      </c>
    </row>
    <row r="42" spans="1:6">
      <c r="A42" t="s">
        <v>45</v>
      </c>
      <c r="B42" t="str">
        <f>"0.26540%"</f>
        <v>0.26540%</v>
      </c>
      <c r="C42" t="s">
        <v>10</v>
      </c>
      <c r="D42" t="s">
        <v>10</v>
      </c>
      <c r="E42" t="str">
        <f>"$ 2,049,419"</f>
        <v>$ 2,049,419</v>
      </c>
      <c r="F42" s="1">
        <v>30384</v>
      </c>
    </row>
    <row r="43" spans="1:6">
      <c r="A43" t="s">
        <v>46</v>
      </c>
      <c r="B43" t="str">
        <f>"0.26377%"</f>
        <v>0.26377%</v>
      </c>
      <c r="C43" t="s">
        <v>10</v>
      </c>
      <c r="D43" t="s">
        <v>10</v>
      </c>
      <c r="E43" t="str">
        <f>"$ 2,036,861"</f>
        <v>$ 2,036,861</v>
      </c>
      <c r="F43" s="1">
        <v>42523</v>
      </c>
    </row>
    <row r="44" spans="1:6">
      <c r="A44" t="s">
        <v>47</v>
      </c>
      <c r="B44" t="str">
        <f>"0.25836%"</f>
        <v>0.25836%</v>
      </c>
      <c r="C44" t="s">
        <v>10</v>
      </c>
      <c r="D44" t="s">
        <v>10</v>
      </c>
      <c r="E44" t="str">
        <f>"$ 1,995,081"</f>
        <v>$ 1,995,081</v>
      </c>
      <c r="F44" s="1">
        <v>1688</v>
      </c>
    </row>
    <row r="45" spans="1:6">
      <c r="A45" t="s">
        <v>48</v>
      </c>
      <c r="B45" t="str">
        <f>"0.25753%"</f>
        <v>0.25753%</v>
      </c>
      <c r="C45" t="s">
        <v>10</v>
      </c>
      <c r="D45" t="s">
        <v>10</v>
      </c>
      <c r="E45" t="str">
        <f>"$ 1,988,605"</f>
        <v>$ 1,988,605</v>
      </c>
      <c r="F45" s="1">
        <v>20622</v>
      </c>
    </row>
    <row r="46" spans="1:6">
      <c r="A46" t="s">
        <v>49</v>
      </c>
      <c r="B46" t="str">
        <f>"0.25539%"</f>
        <v>0.25539%</v>
      </c>
      <c r="C46" t="s">
        <v>10</v>
      </c>
      <c r="D46" t="s">
        <v>10</v>
      </c>
      <c r="E46" t="str">
        <f>"$ 1,972,095"</f>
        <v>$ 1,972,095</v>
      </c>
      <c r="F46" s="1">
        <v>25740</v>
      </c>
    </row>
    <row r="47" spans="1:6">
      <c r="A47" t="s">
        <v>50</v>
      </c>
      <c r="B47" t="str">
        <f>"0.25382%"</f>
        <v>0.25382%</v>
      </c>
      <c r="C47" t="s">
        <v>10</v>
      </c>
      <c r="D47" t="s">
        <v>10</v>
      </c>
      <c r="E47" t="str">
        <f>"$ 1,959,964"</f>
        <v>$ 1,959,964</v>
      </c>
      <c r="F47" s="1">
        <v>36025</v>
      </c>
    </row>
    <row r="48" spans="1:6">
      <c r="A48" t="s">
        <v>51</v>
      </c>
      <c r="B48" t="str">
        <f>"0.25328%"</f>
        <v>0.25328%</v>
      </c>
      <c r="C48" t="s">
        <v>10</v>
      </c>
      <c r="D48" t="s">
        <v>10</v>
      </c>
      <c r="E48" t="str">
        <f>"$ 1,955,813"</f>
        <v>$ 1,955,813</v>
      </c>
      <c r="F48" s="1">
        <v>10658</v>
      </c>
    </row>
    <row r="49" spans="1:6">
      <c r="A49" t="s">
        <v>52</v>
      </c>
      <c r="B49" t="str">
        <f>"0.25207%"</f>
        <v>0.25207%</v>
      </c>
      <c r="C49" t="s">
        <v>10</v>
      </c>
      <c r="D49" t="s">
        <v>10</v>
      </c>
      <c r="E49" t="str">
        <f>"$ 1,946,495"</f>
        <v>$ 1,946,495</v>
      </c>
      <c r="F49" s="1">
        <v>26103</v>
      </c>
    </row>
    <row r="50" spans="1:6">
      <c r="A50" t="s">
        <v>53</v>
      </c>
      <c r="B50" t="str">
        <f>"0.25081%"</f>
        <v>0.25081%</v>
      </c>
      <c r="C50" t="s">
        <v>10</v>
      </c>
      <c r="D50" t="s">
        <v>10</v>
      </c>
      <c r="E50" t="str">
        <f>"$ 1,936,777"</f>
        <v>$ 1,936,777</v>
      </c>
      <c r="F50" s="1">
        <v>5686</v>
      </c>
    </row>
    <row r="51" spans="1:6">
      <c r="A51" t="s">
        <v>54</v>
      </c>
      <c r="B51" t="str">
        <f>"0.24864%"</f>
        <v>0.24864%</v>
      </c>
      <c r="C51" t="s">
        <v>10</v>
      </c>
      <c r="D51" t="s">
        <v>10</v>
      </c>
      <c r="E51" t="str">
        <f>"$ 1,919,993"</f>
        <v>$ 1,919,993</v>
      </c>
      <c r="F51" s="1">
        <v>7036</v>
      </c>
    </row>
    <row r="52" spans="1:6">
      <c r="A52" t="s">
        <v>55</v>
      </c>
      <c r="B52" t="str">
        <f>"0.24807%"</f>
        <v>0.24807%</v>
      </c>
      <c r="C52" t="s">
        <v>10</v>
      </c>
      <c r="D52" t="s">
        <v>10</v>
      </c>
      <c r="E52" t="str">
        <f>"$ 1,915,615"</f>
        <v>$ 1,915,615</v>
      </c>
      <c r="F52" s="1">
        <v>28015</v>
      </c>
    </row>
    <row r="53" spans="1:6">
      <c r="A53" t="s">
        <v>56</v>
      </c>
      <c r="B53" t="str">
        <f>"0.24794%"</f>
        <v>0.24794%</v>
      </c>
      <c r="C53" t="s">
        <v>10</v>
      </c>
      <c r="D53" t="s">
        <v>10</v>
      </c>
      <c r="E53" t="str">
        <f>"$ 1,914,568"</f>
        <v>$ 1,914,568</v>
      </c>
      <c r="F53" s="1">
        <v>11903</v>
      </c>
    </row>
    <row r="54" spans="1:6">
      <c r="A54" t="s">
        <v>57</v>
      </c>
      <c r="B54" t="str">
        <f>"0.24488%"</f>
        <v>0.24488%</v>
      </c>
      <c r="C54" t="s">
        <v>10</v>
      </c>
      <c r="D54" t="s">
        <v>10</v>
      </c>
      <c r="E54" t="str">
        <f>"$ 1,890,939"</f>
        <v>$ 1,890,939</v>
      </c>
      <c r="F54" s="1">
        <v>45590</v>
      </c>
    </row>
    <row r="55" spans="1:6">
      <c r="A55" t="s">
        <v>58</v>
      </c>
      <c r="B55" t="str">
        <f>"0.23586%"</f>
        <v>0.23586%</v>
      </c>
      <c r="C55" t="s">
        <v>10</v>
      </c>
      <c r="D55" t="s">
        <v>10</v>
      </c>
      <c r="E55" t="str">
        <f>"$ 1,821,318"</f>
        <v>$ 1,821,318</v>
      </c>
      <c r="F55" s="1">
        <v>28538</v>
      </c>
    </row>
    <row r="56" spans="1:6">
      <c r="A56" t="s">
        <v>59</v>
      </c>
      <c r="B56" t="str">
        <f>"0.23311%"</f>
        <v>0.23311%</v>
      </c>
      <c r="C56" t="s">
        <v>10</v>
      </c>
      <c r="D56" t="s">
        <v>10</v>
      </c>
      <c r="E56" t="str">
        <f>"$ 1,800,087"</f>
        <v>$ 1,800,087</v>
      </c>
      <c r="F56" s="1">
        <v>5765</v>
      </c>
    </row>
    <row r="57" spans="1:6">
      <c r="A57" t="s">
        <v>60</v>
      </c>
      <c r="B57" t="str">
        <f>"0.23033%"</f>
        <v>0.23033%</v>
      </c>
      <c r="C57" t="s">
        <v>10</v>
      </c>
      <c r="D57" t="s">
        <v>10</v>
      </c>
      <c r="E57" t="str">
        <f>"$ 1,778,621"</f>
        <v>$ 1,778,621</v>
      </c>
      <c r="F57" s="1">
        <v>35917</v>
      </c>
    </row>
    <row r="58" spans="1:6">
      <c r="A58" t="s">
        <v>61</v>
      </c>
      <c r="B58" t="str">
        <f>"0.22742%"</f>
        <v>0.22742%</v>
      </c>
      <c r="C58" t="s">
        <v>10</v>
      </c>
      <c r="D58" t="s">
        <v>10</v>
      </c>
      <c r="E58" t="str">
        <f>"$ 1,756,093"</f>
        <v>$ 1,756,093</v>
      </c>
      <c r="F58" s="1">
        <v>20083</v>
      </c>
    </row>
    <row r="59" spans="1:6">
      <c r="A59" t="s">
        <v>62</v>
      </c>
      <c r="B59" t="str">
        <f>"0.22123%"</f>
        <v>0.22123%</v>
      </c>
      <c r="C59" t="s">
        <v>10</v>
      </c>
      <c r="D59" t="s">
        <v>10</v>
      </c>
      <c r="E59" t="str">
        <f>"$ 1,708,341"</f>
        <v>$ 1,708,341</v>
      </c>
      <c r="F59" s="1">
        <v>16201</v>
      </c>
    </row>
    <row r="60" spans="1:6">
      <c r="A60" t="s">
        <v>63</v>
      </c>
      <c r="B60" t="str">
        <f>"0.21916%"</f>
        <v>0.21916%</v>
      </c>
      <c r="C60" t="s">
        <v>10</v>
      </c>
      <c r="D60" t="s">
        <v>10</v>
      </c>
      <c r="E60" t="str">
        <f>"$ 1,692,368"</f>
        <v>$ 1,692,368</v>
      </c>
      <c r="F60" s="1">
        <v>3345</v>
      </c>
    </row>
    <row r="61" spans="1:6">
      <c r="A61" t="s">
        <v>64</v>
      </c>
      <c r="B61" t="str">
        <f>"0.21588%"</f>
        <v>0.21588%</v>
      </c>
      <c r="C61" t="s">
        <v>10</v>
      </c>
      <c r="D61" t="s">
        <v>10</v>
      </c>
      <c r="E61" t="str">
        <f>"$ 1,667,009"</f>
        <v>$ 1,667,009</v>
      </c>
      <c r="F61" s="1">
        <v>6705</v>
      </c>
    </row>
    <row r="62" spans="1:6">
      <c r="A62" t="s">
        <v>65</v>
      </c>
      <c r="B62" t="str">
        <f>"0.21577%"</f>
        <v>0.21577%</v>
      </c>
      <c r="C62" t="s">
        <v>10</v>
      </c>
      <c r="D62" t="s">
        <v>10</v>
      </c>
      <c r="E62" t="str">
        <f>"$ 1,666,177"</f>
        <v>$ 1,666,177</v>
      </c>
      <c r="F62" s="1">
        <v>25691</v>
      </c>
    </row>
    <row r="63" spans="1:6">
      <c r="A63" t="s">
        <v>66</v>
      </c>
      <c r="B63" t="str">
        <f>"0.21256%"</f>
        <v>0.21256%</v>
      </c>
      <c r="C63" t="s">
        <v>10</v>
      </c>
      <c r="D63" t="s">
        <v>10</v>
      </c>
      <c r="E63" t="str">
        <f>"$ 1,641,415"</f>
        <v>$ 1,641,415</v>
      </c>
      <c r="F63" s="1">
        <v>28146</v>
      </c>
    </row>
    <row r="64" spans="1:6">
      <c r="A64" t="s">
        <v>67</v>
      </c>
      <c r="B64" t="str">
        <f>"0.20304%"</f>
        <v>0.20304%</v>
      </c>
      <c r="C64" t="s">
        <v>10</v>
      </c>
      <c r="D64" t="s">
        <v>10</v>
      </c>
      <c r="E64" t="str">
        <f>"$ 1,567,897"</f>
        <v>$ 1,567,897</v>
      </c>
      <c r="F64" s="1">
        <v>23855</v>
      </c>
    </row>
    <row r="65" spans="1:6">
      <c r="A65" t="s">
        <v>68</v>
      </c>
      <c r="B65" t="str">
        <f>"0.20025%"</f>
        <v>0.20025%</v>
      </c>
      <c r="C65" t="s">
        <v>10</v>
      </c>
      <c r="D65" t="s">
        <v>10</v>
      </c>
      <c r="E65" t="str">
        <f>"$ 1,546,337"</f>
        <v>$ 1,546,337</v>
      </c>
      <c r="F65" s="1">
        <v>29287</v>
      </c>
    </row>
    <row r="66" spans="1:6">
      <c r="A66" t="s">
        <v>69</v>
      </c>
      <c r="B66" t="str">
        <f>"0.19703%"</f>
        <v>0.19703%</v>
      </c>
      <c r="C66" t="s">
        <v>10</v>
      </c>
      <c r="D66" t="s">
        <v>10</v>
      </c>
      <c r="E66" t="str">
        <f>"$ 1,521,491"</f>
        <v>$ 1,521,491</v>
      </c>
      <c r="F66" s="1">
        <v>25384</v>
      </c>
    </row>
    <row r="67" spans="1:6">
      <c r="A67" t="s">
        <v>70</v>
      </c>
      <c r="B67" t="str">
        <f>"0.19656%"</f>
        <v>0.19656%</v>
      </c>
      <c r="C67" t="s">
        <v>10</v>
      </c>
      <c r="D67" t="s">
        <v>10</v>
      </c>
      <c r="E67" t="str">
        <f>"$ 1,517,800"</f>
        <v>$ 1,517,800</v>
      </c>
      <c r="F67" s="1">
        <v>4281</v>
      </c>
    </row>
    <row r="68" spans="1:6">
      <c r="A68" t="s">
        <v>71</v>
      </c>
      <c r="B68" t="str">
        <f>"0.19428%"</f>
        <v>0.19428%</v>
      </c>
      <c r="C68" t="s">
        <v>10</v>
      </c>
      <c r="D68" t="s">
        <v>10</v>
      </c>
      <c r="E68" t="str">
        <f>"$ 1,500,224"</f>
        <v>$ 1,500,224</v>
      </c>
      <c r="F68" s="1">
        <v>8745</v>
      </c>
    </row>
    <row r="69" spans="1:6">
      <c r="A69" t="s">
        <v>72</v>
      </c>
      <c r="B69" t="str">
        <f>"0.19239%"</f>
        <v>0.19239%</v>
      </c>
      <c r="C69" t="s">
        <v>10</v>
      </c>
      <c r="D69" t="s">
        <v>10</v>
      </c>
      <c r="E69" t="str">
        <f>"$ 1,485,607"</f>
        <v>$ 1,485,607</v>
      </c>
      <c r="F69" s="1">
        <v>15477</v>
      </c>
    </row>
    <row r="70" spans="1:6">
      <c r="A70" t="s">
        <v>73</v>
      </c>
      <c r="B70" t="str">
        <f>"0.19190%"</f>
        <v>0.19190%</v>
      </c>
      <c r="C70" t="s">
        <v>10</v>
      </c>
      <c r="D70" t="s">
        <v>10</v>
      </c>
      <c r="E70" t="str">
        <f>"$ 1,481,832"</f>
        <v>$ 1,481,832</v>
      </c>
      <c r="F70" s="1">
        <v>13490</v>
      </c>
    </row>
    <row r="71" spans="1:6">
      <c r="A71" t="s">
        <v>74</v>
      </c>
      <c r="B71" t="str">
        <f>"0.18873%"</f>
        <v>0.18873%</v>
      </c>
      <c r="C71" t="s">
        <v>10</v>
      </c>
      <c r="D71" t="s">
        <v>10</v>
      </c>
      <c r="E71" t="str">
        <f>"$ 1,457,381"</f>
        <v>$ 1,457,381</v>
      </c>
      <c r="F71" s="1">
        <v>2281</v>
      </c>
    </row>
    <row r="72" spans="1:6">
      <c r="A72" t="s">
        <v>75</v>
      </c>
      <c r="B72" t="str">
        <f>"0.18820%"</f>
        <v>0.18820%</v>
      </c>
      <c r="C72" t="s">
        <v>10</v>
      </c>
      <c r="D72" t="s">
        <v>10</v>
      </c>
      <c r="E72" t="str">
        <f>"$ 1,453,272"</f>
        <v>$ 1,453,272</v>
      </c>
      <c r="F72" s="1">
        <v>124225</v>
      </c>
    </row>
    <row r="73" spans="1:6">
      <c r="A73" t="s">
        <v>76</v>
      </c>
      <c r="B73" t="str">
        <f>"0.18669%"</f>
        <v>0.18669%</v>
      </c>
      <c r="C73" t="s">
        <v>10</v>
      </c>
      <c r="D73" t="s">
        <v>10</v>
      </c>
      <c r="E73" t="str">
        <f>"$ 1,441,609"</f>
        <v>$ 1,441,609</v>
      </c>
      <c r="F73" s="1">
        <v>15220</v>
      </c>
    </row>
    <row r="74" spans="1:6">
      <c r="A74" t="s">
        <v>77</v>
      </c>
      <c r="B74" t="str">
        <f>"0.18080%"</f>
        <v>0.18080%</v>
      </c>
      <c r="C74" t="s">
        <v>10</v>
      </c>
      <c r="D74" t="s">
        <v>10</v>
      </c>
      <c r="E74" t="str">
        <f>"$ 1,396,134"</f>
        <v>$ 1,396,134</v>
      </c>
      <c r="F74" s="1">
        <v>16864</v>
      </c>
    </row>
    <row r="75" spans="1:6">
      <c r="A75" t="s">
        <v>78</v>
      </c>
      <c r="B75" t="str">
        <f>"0.17554%"</f>
        <v>0.17554%</v>
      </c>
      <c r="C75" t="s">
        <v>10</v>
      </c>
      <c r="D75" t="s">
        <v>10</v>
      </c>
      <c r="E75" t="str">
        <f>"$ 1,355,542"</f>
        <v>$ 1,355,542</v>
      </c>
      <c r="F75" s="1">
        <v>42789</v>
      </c>
    </row>
    <row r="76" spans="1:6">
      <c r="A76" t="s">
        <v>79</v>
      </c>
      <c r="B76" t="str">
        <f>"0.16671%"</f>
        <v>0.16671%</v>
      </c>
      <c r="C76" t="s">
        <v>10</v>
      </c>
      <c r="D76" t="s">
        <v>10</v>
      </c>
      <c r="E76" t="str">
        <f>"$ 1,287,320"</f>
        <v>$ 1,287,320</v>
      </c>
      <c r="F76" s="1">
        <v>11745</v>
      </c>
    </row>
    <row r="77" spans="1:6">
      <c r="A77" t="s">
        <v>80</v>
      </c>
      <c r="B77" t="str">
        <f>"0.16625%"</f>
        <v>0.16625%</v>
      </c>
      <c r="C77" t="s">
        <v>10</v>
      </c>
      <c r="D77" t="s">
        <v>10</v>
      </c>
      <c r="E77" t="str">
        <f>"$ 1,283,802"</f>
        <v>$ 1,283,802</v>
      </c>
      <c r="F77" s="1">
        <v>2586</v>
      </c>
    </row>
    <row r="78" spans="1:6">
      <c r="A78" t="s">
        <v>81</v>
      </c>
      <c r="B78" t="str">
        <f>"0.16622%"</f>
        <v>0.16622%</v>
      </c>
      <c r="C78" t="s">
        <v>10</v>
      </c>
      <c r="D78" t="s">
        <v>10</v>
      </c>
      <c r="E78" t="str">
        <f>"$ 1,283,521"</f>
        <v>$ 1,283,521</v>
      </c>
      <c r="F78" s="1">
        <v>15390</v>
      </c>
    </row>
    <row r="79" spans="1:6">
      <c r="A79" t="s">
        <v>82</v>
      </c>
      <c r="B79" t="str">
        <f>"0.16458%"</f>
        <v>0.16458%</v>
      </c>
      <c r="C79" t="s">
        <v>10</v>
      </c>
      <c r="D79" t="s">
        <v>10</v>
      </c>
      <c r="E79" t="str">
        <f>"$ 1,270,892"</f>
        <v>$ 1,270,892</v>
      </c>
      <c r="F79" s="1">
        <v>4802</v>
      </c>
    </row>
    <row r="80" spans="1:6">
      <c r="A80" t="s">
        <v>83</v>
      </c>
      <c r="B80" t="str">
        <f>"0.16151%"</f>
        <v>0.16151%</v>
      </c>
      <c r="C80" t="s">
        <v>10</v>
      </c>
      <c r="D80" t="s">
        <v>10</v>
      </c>
      <c r="E80" t="str">
        <f>"$ 1,247,157"</f>
        <v>$ 1,247,157</v>
      </c>
      <c r="F80" s="1">
        <v>9052</v>
      </c>
    </row>
    <row r="81" spans="1:6">
      <c r="A81" t="s">
        <v>84</v>
      </c>
      <c r="B81" t="str">
        <f>"0.15629%"</f>
        <v>0.15629%</v>
      </c>
      <c r="C81" t="s">
        <v>10</v>
      </c>
      <c r="D81" t="s">
        <v>10</v>
      </c>
      <c r="E81" t="str">
        <f>"$ 1,206,852"</f>
        <v>$ 1,206,852</v>
      </c>
      <c r="F81" s="1">
        <v>28089</v>
      </c>
    </row>
    <row r="82" spans="1:6">
      <c r="A82" t="s">
        <v>85</v>
      </c>
      <c r="B82" t="str">
        <f>"0.15619%"</f>
        <v>0.15619%</v>
      </c>
      <c r="C82" t="s">
        <v>10</v>
      </c>
      <c r="D82" t="s">
        <v>10</v>
      </c>
      <c r="E82" t="str">
        <f>"$ 1,206,102"</f>
        <v>$ 1,206,102</v>
      </c>
      <c r="F82" s="1">
        <v>123034</v>
      </c>
    </row>
    <row r="83" spans="1:6">
      <c r="A83" t="s">
        <v>86</v>
      </c>
      <c r="B83" t="str">
        <f>"0.15241%"</f>
        <v>0.15241%</v>
      </c>
      <c r="C83" t="s">
        <v>10</v>
      </c>
      <c r="D83" t="s">
        <v>10</v>
      </c>
      <c r="E83" t="str">
        <f>"$ 1,176,867"</f>
        <v>$ 1,176,867</v>
      </c>
      <c r="F83" s="1">
        <v>3037</v>
      </c>
    </row>
    <row r="84" spans="1:6">
      <c r="A84" t="s">
        <v>87</v>
      </c>
      <c r="B84" t="str">
        <f>"0.15109%"</f>
        <v>0.15109%</v>
      </c>
      <c r="C84" t="s">
        <v>10</v>
      </c>
      <c r="D84" t="s">
        <v>10</v>
      </c>
      <c r="E84" t="str">
        <f>"$ 1,166,689"</f>
        <v>$ 1,166,689</v>
      </c>
      <c r="F84" s="1">
        <v>125721</v>
      </c>
    </row>
    <row r="85" spans="1:6">
      <c r="A85" t="s">
        <v>88</v>
      </c>
      <c r="B85" t="str">
        <f>"0.15105%"</f>
        <v>0.15105%</v>
      </c>
      <c r="C85" t="s">
        <v>10</v>
      </c>
      <c r="D85" t="s">
        <v>10</v>
      </c>
      <c r="E85" t="str">
        <f>"$ 1,166,425"</f>
        <v>$ 1,166,425</v>
      </c>
      <c r="F85" s="1">
        <v>10943</v>
      </c>
    </row>
    <row r="86" spans="1:6">
      <c r="A86" t="s">
        <v>89</v>
      </c>
      <c r="B86" t="str">
        <f>"0.15019%"</f>
        <v>0.15019%</v>
      </c>
      <c r="C86" t="s">
        <v>10</v>
      </c>
      <c r="D86" t="s">
        <v>10</v>
      </c>
      <c r="E86" t="str">
        <f>"$ 1,159,774"</f>
        <v>$ 1,159,774</v>
      </c>
      <c r="F86" s="1">
        <v>15646</v>
      </c>
    </row>
    <row r="87" spans="1:6">
      <c r="A87" t="s">
        <v>90</v>
      </c>
      <c r="B87" t="str">
        <f>"0.14895%"</f>
        <v>0.14895%</v>
      </c>
      <c r="C87" t="s">
        <v>10</v>
      </c>
      <c r="D87" t="s">
        <v>10</v>
      </c>
      <c r="E87" t="str">
        <f>"$ 1,150,197"</f>
        <v>$ 1,150,197</v>
      </c>
      <c r="F87" s="1">
        <v>15399</v>
      </c>
    </row>
    <row r="88" spans="1:6">
      <c r="A88" t="s">
        <v>91</v>
      </c>
      <c r="B88" t="str">
        <f>"0.14863%"</f>
        <v>0.14863%</v>
      </c>
      <c r="C88" t="s">
        <v>10</v>
      </c>
      <c r="D88" t="s">
        <v>10</v>
      </c>
      <c r="E88" t="str">
        <f>"$ 1,147,722"</f>
        <v>$ 1,147,722</v>
      </c>
      <c r="F88" s="1">
        <v>86425</v>
      </c>
    </row>
    <row r="89" spans="1:6">
      <c r="A89" t="s">
        <v>92</v>
      </c>
      <c r="B89" t="str">
        <f>"0.14570%"</f>
        <v>0.14570%</v>
      </c>
      <c r="C89" t="s">
        <v>10</v>
      </c>
      <c r="D89" t="s">
        <v>10</v>
      </c>
      <c r="E89" t="str">
        <f>"$ 1,125,058"</f>
        <v>$ 1,125,058</v>
      </c>
      <c r="F89" s="1">
        <v>9702</v>
      </c>
    </row>
    <row r="90" spans="1:6">
      <c r="A90" t="s">
        <v>93</v>
      </c>
      <c r="B90" t="str">
        <f>"0.14547%"</f>
        <v>0.14547%</v>
      </c>
      <c r="C90" t="s">
        <v>10</v>
      </c>
      <c r="D90" t="s">
        <v>10</v>
      </c>
      <c r="E90" t="str">
        <f>"$ 1,123,326"</f>
        <v>$ 1,123,326</v>
      </c>
      <c r="F90" s="1">
        <v>21812</v>
      </c>
    </row>
    <row r="91" spans="1:6">
      <c r="A91" t="s">
        <v>94</v>
      </c>
      <c r="B91" t="str">
        <f>"0.14185%"</f>
        <v>0.14185%</v>
      </c>
      <c r="C91" t="s">
        <v>10</v>
      </c>
      <c r="D91" t="s">
        <v>10</v>
      </c>
      <c r="E91" t="str">
        <f>"$ 1,095,377"</f>
        <v>$ 1,095,377</v>
      </c>
      <c r="F91" s="1">
        <v>19744</v>
      </c>
    </row>
    <row r="92" spans="1:6">
      <c r="A92" t="s">
        <v>95</v>
      </c>
      <c r="B92" t="str">
        <f>"0.14073%"</f>
        <v>0.14073%</v>
      </c>
      <c r="C92" t="s">
        <v>10</v>
      </c>
      <c r="D92" t="s">
        <v>10</v>
      </c>
      <c r="E92" t="str">
        <f>"$ 1,086,695"</f>
        <v>$ 1,086,695</v>
      </c>
      <c r="F92" s="1">
        <v>37498</v>
      </c>
    </row>
    <row r="93" spans="1:6">
      <c r="A93" t="s">
        <v>96</v>
      </c>
      <c r="B93" t="str">
        <f>"0.13996%"</f>
        <v>0.13996%</v>
      </c>
      <c r="C93" t="s">
        <v>10</v>
      </c>
      <c r="D93" t="s">
        <v>10</v>
      </c>
      <c r="E93" t="str">
        <f>"$ 1,080,795"</f>
        <v>$ 1,080,795</v>
      </c>
      <c r="F93" s="1">
        <v>26859</v>
      </c>
    </row>
    <row r="94" spans="1:6">
      <c r="A94" t="s">
        <v>97</v>
      </c>
      <c r="B94" t="str">
        <f>"0.13826%"</f>
        <v>0.13826%</v>
      </c>
      <c r="C94" t="s">
        <v>10</v>
      </c>
      <c r="D94" t="s">
        <v>10</v>
      </c>
      <c r="E94" t="str">
        <f>"$ 1,067,651"</f>
        <v>$ 1,067,651</v>
      </c>
      <c r="F94" s="1">
        <v>4501</v>
      </c>
    </row>
    <row r="95" spans="1:6">
      <c r="A95" t="s">
        <v>98</v>
      </c>
      <c r="B95" t="str">
        <f>"0.13789%"</f>
        <v>0.13789%</v>
      </c>
      <c r="C95" t="s">
        <v>10</v>
      </c>
      <c r="D95" t="s">
        <v>10</v>
      </c>
      <c r="E95" t="str">
        <f>"$ 1,064,786"</f>
        <v>$ 1,064,786</v>
      </c>
      <c r="F95" s="1">
        <v>5666</v>
      </c>
    </row>
    <row r="96" spans="1:6">
      <c r="A96" t="s">
        <v>99</v>
      </c>
      <c r="B96" t="str">
        <f>"0.13672%"</f>
        <v>0.13672%</v>
      </c>
      <c r="C96" t="s">
        <v>10</v>
      </c>
      <c r="D96" t="s">
        <v>10</v>
      </c>
      <c r="E96" t="str">
        <f>"$ 1,055,744"</f>
        <v>$ 1,055,744</v>
      </c>
      <c r="F96" s="1">
        <v>4539</v>
      </c>
    </row>
    <row r="97" spans="1:6">
      <c r="A97" t="s">
        <v>100</v>
      </c>
      <c r="B97" t="str">
        <f>"0.13589%"</f>
        <v>0.13589%</v>
      </c>
      <c r="C97" t="s">
        <v>10</v>
      </c>
      <c r="D97" t="s">
        <v>10</v>
      </c>
      <c r="E97" t="str">
        <f>"$ 1,049,323"</f>
        <v>$ 1,049,323</v>
      </c>
      <c r="F97" s="1">
        <v>6946</v>
      </c>
    </row>
    <row r="98" spans="1:6">
      <c r="A98" t="s">
        <v>101</v>
      </c>
      <c r="B98" t="str">
        <f>"0.13469%"</f>
        <v>0.13469%</v>
      </c>
      <c r="C98" t="s">
        <v>10</v>
      </c>
      <c r="D98" t="s">
        <v>10</v>
      </c>
      <c r="E98" t="str">
        <f>"$ 1,040,036"</f>
        <v>$ 1,040,036</v>
      </c>
      <c r="F98" s="1">
        <v>6021</v>
      </c>
    </row>
    <row r="99" spans="1:6">
      <c r="A99" t="s">
        <v>102</v>
      </c>
      <c r="B99" t="str">
        <f>"0.13460%"</f>
        <v>0.13460%</v>
      </c>
      <c r="C99" t="s">
        <v>10</v>
      </c>
      <c r="D99" t="s">
        <v>10</v>
      </c>
      <c r="E99" t="str">
        <f>"$ 1,039,343"</f>
        <v>$ 1,039,343</v>
      </c>
      <c r="F99" s="1">
        <v>15836</v>
      </c>
    </row>
    <row r="100" spans="1:6">
      <c r="A100" t="s">
        <v>103</v>
      </c>
      <c r="B100" t="str">
        <f>"0.13365%"</f>
        <v>0.13365%</v>
      </c>
      <c r="C100" t="s">
        <v>10</v>
      </c>
      <c r="D100" t="s">
        <v>10</v>
      </c>
      <c r="E100" t="str">
        <f>"$ 1,032,035"</f>
        <v>$ 1,032,035</v>
      </c>
      <c r="F100" s="1">
        <v>75284</v>
      </c>
    </row>
    <row r="101" spans="1:6">
      <c r="A101" t="s">
        <v>104</v>
      </c>
      <c r="B101" t="str">
        <f>"0.13291%"</f>
        <v>0.13291%</v>
      </c>
      <c r="C101" t="s">
        <v>10</v>
      </c>
      <c r="D101" t="s">
        <v>10</v>
      </c>
      <c r="E101" t="str">
        <f>"$ 1,026,288"</f>
        <v>$ 1,026,288</v>
      </c>
      <c r="F101" s="1">
        <v>5372</v>
      </c>
    </row>
    <row r="102" spans="1:6">
      <c r="A102" t="s">
        <v>105</v>
      </c>
      <c r="B102" t="str">
        <f>"0.13256%"</f>
        <v>0.13256%</v>
      </c>
      <c r="C102" t="s">
        <v>10</v>
      </c>
      <c r="D102" t="s">
        <v>10</v>
      </c>
      <c r="E102" t="str">
        <f>"$ 1,023,626"</f>
        <v>$ 1,023,626</v>
      </c>
      <c r="F102" s="1">
        <v>37730</v>
      </c>
    </row>
    <row r="103" spans="1:6">
      <c r="A103" t="s">
        <v>106</v>
      </c>
      <c r="B103" t="str">
        <f>"0.13238%"</f>
        <v>0.13238%</v>
      </c>
      <c r="C103" t="s">
        <v>10</v>
      </c>
      <c r="D103" t="s">
        <v>10</v>
      </c>
      <c r="E103" t="str">
        <f>"$ 1,022,218"</f>
        <v>$ 1,022,218</v>
      </c>
      <c r="F103" s="1">
        <v>15106</v>
      </c>
    </row>
    <row r="104" spans="1:6">
      <c r="A104" t="s">
        <v>107</v>
      </c>
      <c r="B104" t="str">
        <f>"0.12983%"</f>
        <v>0.12983%</v>
      </c>
      <c r="C104" t="s">
        <v>10</v>
      </c>
      <c r="D104" t="s">
        <v>10</v>
      </c>
      <c r="E104" t="str">
        <f>"$ 1,002,539"</f>
        <v>$ 1,002,539</v>
      </c>
      <c r="F104" s="1">
        <v>4526</v>
      </c>
    </row>
    <row r="105" spans="1:6">
      <c r="A105" t="s">
        <v>108</v>
      </c>
      <c r="B105" t="str">
        <f>"0.12949%"</f>
        <v>0.12949%</v>
      </c>
      <c r="C105" t="s">
        <v>10</v>
      </c>
      <c r="D105" t="s">
        <v>10</v>
      </c>
      <c r="E105" t="str">
        <f>"$ 999,880"</f>
        <v>$ 999,880</v>
      </c>
      <c r="F105" s="1">
        <v>2344</v>
      </c>
    </row>
    <row r="106" spans="1:6">
      <c r="A106" t="s">
        <v>109</v>
      </c>
      <c r="B106" t="str">
        <f>"0.12909%"</f>
        <v>0.12909%</v>
      </c>
      <c r="C106" t="s">
        <v>10</v>
      </c>
      <c r="D106" t="s">
        <v>10</v>
      </c>
      <c r="E106" t="str">
        <f>"$ 996,827"</f>
        <v>$ 996,827</v>
      </c>
      <c r="F106" s="1">
        <v>9372</v>
      </c>
    </row>
    <row r="107" spans="1:6">
      <c r="A107" t="s">
        <v>110</v>
      </c>
      <c r="B107" t="str">
        <f>"0.12864%"</f>
        <v>0.12864%</v>
      </c>
      <c r="C107" t="s">
        <v>10</v>
      </c>
      <c r="D107" t="s">
        <v>10</v>
      </c>
      <c r="E107" t="str">
        <f>"$ 993,385"</f>
        <v>$ 993,385</v>
      </c>
      <c r="F107" s="1">
        <v>8349</v>
      </c>
    </row>
    <row r="108" spans="1:6">
      <c r="A108" t="s">
        <v>111</v>
      </c>
      <c r="B108" t="str">
        <f>"0.12760%"</f>
        <v>0.12760%</v>
      </c>
      <c r="C108" t="s">
        <v>10</v>
      </c>
      <c r="D108" t="s">
        <v>10</v>
      </c>
      <c r="E108" t="str">
        <f>"$ 985,302"</f>
        <v>$ 985,302</v>
      </c>
      <c r="F108" s="1">
        <v>20316</v>
      </c>
    </row>
    <row r="109" spans="1:6">
      <c r="A109" t="s">
        <v>112</v>
      </c>
      <c r="B109" t="str">
        <f>"0.12734%"</f>
        <v>0.12734%</v>
      </c>
      <c r="C109" t="s">
        <v>10</v>
      </c>
      <c r="D109" t="s">
        <v>10</v>
      </c>
      <c r="E109" t="str">
        <f>"$ 983,318"</f>
        <v>$ 983,318</v>
      </c>
      <c r="F109" s="1">
        <v>22752</v>
      </c>
    </row>
    <row r="110" spans="1:6">
      <c r="A110" t="s">
        <v>113</v>
      </c>
      <c r="B110" t="str">
        <f>"0.12584%"</f>
        <v>0.12584%</v>
      </c>
      <c r="C110" t="s">
        <v>10</v>
      </c>
      <c r="D110" t="s">
        <v>10</v>
      </c>
      <c r="E110" t="str">
        <f>"$ 971,730"</f>
        <v>$ 971,730</v>
      </c>
      <c r="F110" s="1">
        <v>3971</v>
      </c>
    </row>
    <row r="111" spans="1:6">
      <c r="A111" t="s">
        <v>114</v>
      </c>
      <c r="B111" t="str">
        <f>"0.12300%"</f>
        <v>0.12300%</v>
      </c>
      <c r="C111" t="s">
        <v>10</v>
      </c>
      <c r="D111" t="s">
        <v>10</v>
      </c>
      <c r="E111" t="str">
        <f>"$ 949,775"</f>
        <v>$ 949,775</v>
      </c>
      <c r="F111" s="1">
        <v>84438</v>
      </c>
    </row>
    <row r="112" spans="1:6">
      <c r="A112" t="s">
        <v>115</v>
      </c>
      <c r="B112" t="str">
        <f>"0.12232%"</f>
        <v>0.12232%</v>
      </c>
      <c r="C112" t="s">
        <v>10</v>
      </c>
      <c r="D112" t="s">
        <v>10</v>
      </c>
      <c r="E112" t="str">
        <f>"$ 944,527"</f>
        <v>$ 944,527</v>
      </c>
      <c r="F112" s="1">
        <v>5983</v>
      </c>
    </row>
    <row r="113" spans="1:6">
      <c r="A113" t="s">
        <v>116</v>
      </c>
      <c r="B113" t="str">
        <f>"0.12068%"</f>
        <v>0.12068%</v>
      </c>
      <c r="C113" t="s">
        <v>10</v>
      </c>
      <c r="D113" t="s">
        <v>10</v>
      </c>
      <c r="E113" t="str">
        <f>"$ 931,923"</f>
        <v>$ 931,923</v>
      </c>
      <c r="F113" s="1">
        <v>2507</v>
      </c>
    </row>
    <row r="114" spans="1:6">
      <c r="A114" t="s">
        <v>117</v>
      </c>
      <c r="B114" t="str">
        <f>"0.12063%"</f>
        <v>0.12063%</v>
      </c>
      <c r="C114" t="s">
        <v>10</v>
      </c>
      <c r="D114" t="s">
        <v>10</v>
      </c>
      <c r="E114" t="str">
        <f>"$ 931,533"</f>
        <v>$ 931,533</v>
      </c>
      <c r="F114" s="1">
        <v>3878</v>
      </c>
    </row>
    <row r="115" spans="1:6">
      <c r="A115" t="s">
        <v>118</v>
      </c>
      <c r="B115" t="str">
        <f>"0.11950%"</f>
        <v>0.11950%</v>
      </c>
      <c r="C115" t="s">
        <v>10</v>
      </c>
      <c r="D115" t="s">
        <v>10</v>
      </c>
      <c r="E115" t="str">
        <f>"$ 922,813"</f>
        <v>$ 922,813</v>
      </c>
      <c r="F115" s="1">
        <v>7843</v>
      </c>
    </row>
    <row r="116" spans="1:6">
      <c r="A116" t="s">
        <v>119</v>
      </c>
      <c r="B116" t="str">
        <f>"0.11793%"</f>
        <v>0.11793%</v>
      </c>
      <c r="C116" t="s">
        <v>10</v>
      </c>
      <c r="D116" t="s">
        <v>10</v>
      </c>
      <c r="E116" t="str">
        <f>"$ 910,641"</f>
        <v>$ 910,641</v>
      </c>
      <c r="F116" s="1">
        <v>3587</v>
      </c>
    </row>
    <row r="117" spans="1:6">
      <c r="A117" t="s">
        <v>120</v>
      </c>
      <c r="B117" t="str">
        <f>"0.11690%"</f>
        <v>0.11690%</v>
      </c>
      <c r="C117" t="s">
        <v>10</v>
      </c>
      <c r="D117" t="s">
        <v>10</v>
      </c>
      <c r="E117" t="str">
        <f>"$ 902,715"</f>
        <v>$ 902,715</v>
      </c>
      <c r="F117" s="1">
        <v>2744</v>
      </c>
    </row>
    <row r="118" spans="1:6">
      <c r="A118" t="s">
        <v>121</v>
      </c>
      <c r="B118" t="str">
        <f>"0.11640%"</f>
        <v>0.11640%</v>
      </c>
      <c r="C118" t="s">
        <v>10</v>
      </c>
      <c r="D118" t="s">
        <v>10</v>
      </c>
      <c r="E118" t="str">
        <f>"$ 898,866"</f>
        <v>$ 898,866</v>
      </c>
      <c r="F118" s="1">
        <v>29241</v>
      </c>
    </row>
    <row r="119" spans="1:6">
      <c r="A119" t="s">
        <v>122</v>
      </c>
      <c r="B119" t="str">
        <f>"0.11617%"</f>
        <v>0.11617%</v>
      </c>
      <c r="C119" t="s">
        <v>10</v>
      </c>
      <c r="D119" t="s">
        <v>10</v>
      </c>
      <c r="E119" t="str">
        <f>"$ 897,093"</f>
        <v>$ 897,093</v>
      </c>
      <c r="F119" s="1">
        <v>28995</v>
      </c>
    </row>
    <row r="120" spans="1:6">
      <c r="A120" t="s">
        <v>123</v>
      </c>
      <c r="B120" t="str">
        <f>"0.11343%"</f>
        <v>0.11343%</v>
      </c>
      <c r="C120" t="s">
        <v>10</v>
      </c>
      <c r="D120" t="s">
        <v>10</v>
      </c>
      <c r="E120" t="str">
        <f>"$ 875,916"</f>
        <v>$ 875,916</v>
      </c>
      <c r="F120" s="1">
        <v>3612</v>
      </c>
    </row>
    <row r="121" spans="1:6">
      <c r="A121" t="s">
        <v>124</v>
      </c>
      <c r="B121" t="str">
        <f>"0.11281%"</f>
        <v>0.11281%</v>
      </c>
      <c r="C121" t="s">
        <v>10</v>
      </c>
      <c r="D121" t="s">
        <v>10</v>
      </c>
      <c r="E121" t="str">
        <f>"$ 871,121"</f>
        <v>$ 871,121</v>
      </c>
      <c r="F121" s="1">
        <v>7549</v>
      </c>
    </row>
    <row r="122" spans="1:6">
      <c r="A122" t="s">
        <v>125</v>
      </c>
      <c r="B122" t="str">
        <f>"0.11094%"</f>
        <v>0.11094%</v>
      </c>
      <c r="C122" t="s">
        <v>10</v>
      </c>
      <c r="D122" t="s">
        <v>10</v>
      </c>
      <c r="E122" t="str">
        <f>"$ 856,698"</f>
        <v>$ 856,698</v>
      </c>
      <c r="F122" s="1">
        <v>17342</v>
      </c>
    </row>
    <row r="123" spans="1:6">
      <c r="A123" t="s">
        <v>126</v>
      </c>
      <c r="B123" t="str">
        <f>"0.11056%"</f>
        <v>0.11056%</v>
      </c>
      <c r="C123" t="s">
        <v>10</v>
      </c>
      <c r="D123" t="s">
        <v>10</v>
      </c>
      <c r="E123" t="str">
        <f>"$ 853,772"</f>
        <v>$ 853,772</v>
      </c>
      <c r="F123" s="1">
        <v>5445</v>
      </c>
    </row>
    <row r="124" spans="1:6">
      <c r="A124" t="s">
        <v>127</v>
      </c>
      <c r="B124" t="str">
        <f>"0.11013%"</f>
        <v>0.11013%</v>
      </c>
      <c r="C124" t="s">
        <v>10</v>
      </c>
      <c r="D124" t="s">
        <v>10</v>
      </c>
      <c r="E124" t="str">
        <f>"$ 850,449"</f>
        <v>$ 850,449</v>
      </c>
      <c r="F124" s="1">
        <v>11684</v>
      </c>
    </row>
    <row r="125" spans="1:6">
      <c r="A125" t="s">
        <v>128</v>
      </c>
      <c r="B125" t="str">
        <f>"0.10982%"</f>
        <v>0.10982%</v>
      </c>
      <c r="C125" t="s">
        <v>10</v>
      </c>
      <c r="D125" t="s">
        <v>10</v>
      </c>
      <c r="E125" t="str">
        <f>"$ 848,048"</f>
        <v>$ 848,048</v>
      </c>
      <c r="F125" s="1">
        <v>18512</v>
      </c>
    </row>
    <row r="126" spans="1:6">
      <c r="A126" t="s">
        <v>129</v>
      </c>
      <c r="B126" t="str">
        <f>"0.10904%"</f>
        <v>0.10904%</v>
      </c>
      <c r="C126" t="s">
        <v>10</v>
      </c>
      <c r="D126" t="s">
        <v>10</v>
      </c>
      <c r="E126" t="str">
        <f>"$ 841,969"</f>
        <v>$ 841,969</v>
      </c>
      <c r="F126" s="1">
        <v>2443</v>
      </c>
    </row>
    <row r="127" spans="1:6">
      <c r="A127" t="s">
        <v>130</v>
      </c>
      <c r="B127" t="str">
        <f>"0.10821%"</f>
        <v>0.10821%</v>
      </c>
      <c r="C127" t="s">
        <v>10</v>
      </c>
      <c r="D127" t="s">
        <v>10</v>
      </c>
      <c r="E127" t="str">
        <f>"$ 835,615"</f>
        <v>$ 835,615</v>
      </c>
      <c r="F127" s="1">
        <v>30284</v>
      </c>
    </row>
    <row r="128" spans="1:6">
      <c r="A128" t="s">
        <v>131</v>
      </c>
      <c r="B128" t="str">
        <f>"0.10819%"</f>
        <v>0.10819%</v>
      </c>
      <c r="C128" t="s">
        <v>10</v>
      </c>
      <c r="D128" t="s">
        <v>10</v>
      </c>
      <c r="E128" t="str">
        <f>"$ 835,408"</f>
        <v>$ 835,408</v>
      </c>
      <c r="F128" s="1">
        <v>14733</v>
      </c>
    </row>
    <row r="129" spans="1:6">
      <c r="A129" t="s">
        <v>132</v>
      </c>
      <c r="B129" t="str">
        <f>"0.10811%"</f>
        <v>0.10811%</v>
      </c>
      <c r="C129" t="s">
        <v>10</v>
      </c>
      <c r="D129" t="s">
        <v>10</v>
      </c>
      <c r="E129" t="str">
        <f>"$ 834,834"</f>
        <v>$ 834,834</v>
      </c>
      <c r="F129" s="1">
        <v>2578</v>
      </c>
    </row>
    <row r="130" spans="1:6">
      <c r="A130" t="s">
        <v>133</v>
      </c>
      <c r="B130" t="str">
        <f>"0.10763%"</f>
        <v>0.10763%</v>
      </c>
      <c r="C130" t="s">
        <v>10</v>
      </c>
      <c r="D130" t="s">
        <v>10</v>
      </c>
      <c r="E130" t="str">
        <f>"$ 831,141"</f>
        <v>$ 831,141</v>
      </c>
      <c r="F130" s="1">
        <v>16849</v>
      </c>
    </row>
    <row r="131" spans="1:6">
      <c r="A131" t="s">
        <v>134</v>
      </c>
      <c r="B131" t="str">
        <f>"0.10640%"</f>
        <v>0.10640%</v>
      </c>
      <c r="C131" t="s">
        <v>10</v>
      </c>
      <c r="D131" t="s">
        <v>10</v>
      </c>
      <c r="E131" t="str">
        <f>"$ 821,610"</f>
        <v>$ 821,610</v>
      </c>
      <c r="F131" s="1">
        <v>3402</v>
      </c>
    </row>
    <row r="132" spans="1:6">
      <c r="A132" t="s">
        <v>135</v>
      </c>
      <c r="B132" t="str">
        <f>"0.10617%"</f>
        <v>0.10617%</v>
      </c>
      <c r="C132" t="s">
        <v>10</v>
      </c>
      <c r="D132" t="s">
        <v>10</v>
      </c>
      <c r="E132" t="str">
        <f>"$ 819,837"</f>
        <v>$ 819,837</v>
      </c>
      <c r="F132" s="1">
        <v>8164</v>
      </c>
    </row>
    <row r="133" spans="1:6">
      <c r="A133" t="s">
        <v>136</v>
      </c>
      <c r="B133" t="str">
        <f>"0.10574%"</f>
        <v>0.10574%</v>
      </c>
      <c r="C133" t="s">
        <v>10</v>
      </c>
      <c r="D133" t="s">
        <v>10</v>
      </c>
      <c r="E133" t="str">
        <f>"$ 816,529"</f>
        <v>$ 816,529</v>
      </c>
      <c r="F133" s="1">
        <v>67094</v>
      </c>
    </row>
    <row r="134" spans="1:6">
      <c r="A134" t="s">
        <v>137</v>
      </c>
      <c r="B134" t="str">
        <f>"0.10567%"</f>
        <v>0.10567%</v>
      </c>
      <c r="C134" t="s">
        <v>10</v>
      </c>
      <c r="D134" t="s">
        <v>10</v>
      </c>
      <c r="E134" t="str">
        <f>"$ 815,975"</f>
        <v>$ 815,975</v>
      </c>
      <c r="F134" s="1">
        <v>57666</v>
      </c>
    </row>
    <row r="135" spans="1:6">
      <c r="A135" t="s">
        <v>138</v>
      </c>
      <c r="B135" t="str">
        <f>"0.10501%"</f>
        <v>0.10501%</v>
      </c>
      <c r="C135" t="s">
        <v>10</v>
      </c>
      <c r="D135" t="s">
        <v>10</v>
      </c>
      <c r="E135" t="str">
        <f>"$ 810,891"</f>
        <v>$ 810,891</v>
      </c>
      <c r="F135" s="1">
        <v>1541</v>
      </c>
    </row>
    <row r="136" spans="1:6">
      <c r="A136" t="s">
        <v>139</v>
      </c>
      <c r="B136" t="str">
        <f>"0.10239%"</f>
        <v>0.10239%</v>
      </c>
      <c r="C136" t="s">
        <v>10</v>
      </c>
      <c r="D136" t="s">
        <v>10</v>
      </c>
      <c r="E136" t="str">
        <f>"$ 790,688"</f>
        <v>$ 790,688</v>
      </c>
      <c r="F136" s="1">
        <v>23483</v>
      </c>
    </row>
    <row r="137" spans="1:6">
      <c r="A137" t="s">
        <v>140</v>
      </c>
      <c r="B137" t="str">
        <f>"0.10203%"</f>
        <v>0.10203%</v>
      </c>
      <c r="C137" t="s">
        <v>10</v>
      </c>
      <c r="D137" t="s">
        <v>10</v>
      </c>
      <c r="E137" t="str">
        <f>"$ 787,890"</f>
        <v>$ 787,890</v>
      </c>
      <c r="F137" s="1">
        <v>6744</v>
      </c>
    </row>
    <row r="138" spans="1:6">
      <c r="A138" t="s">
        <v>141</v>
      </c>
      <c r="B138" t="str">
        <f>"0.10166%"</f>
        <v>0.10166%</v>
      </c>
      <c r="C138" t="s">
        <v>10</v>
      </c>
      <c r="D138" t="s">
        <v>10</v>
      </c>
      <c r="E138" t="str">
        <f>"$ 785,048"</f>
        <v>$ 785,048</v>
      </c>
      <c r="F138" s="1">
        <v>20171</v>
      </c>
    </row>
    <row r="139" spans="1:6">
      <c r="A139" t="s">
        <v>142</v>
      </c>
      <c r="B139" t="str">
        <f>"0.10041%"</f>
        <v>0.10041%</v>
      </c>
      <c r="C139" t="s">
        <v>10</v>
      </c>
      <c r="D139" t="s">
        <v>10</v>
      </c>
      <c r="E139" t="str">
        <f>"$ 775,355"</f>
        <v>$ 775,355</v>
      </c>
      <c r="F139" s="1">
        <v>2977</v>
      </c>
    </row>
    <row r="140" spans="1:6">
      <c r="A140" t="s">
        <v>143</v>
      </c>
      <c r="B140" t="str">
        <f>"0.09971%"</f>
        <v>0.09971%</v>
      </c>
      <c r="C140" t="s">
        <v>10</v>
      </c>
      <c r="D140" t="s">
        <v>10</v>
      </c>
      <c r="E140" t="str">
        <f>"$ 769,959"</f>
        <v>$ 769,959</v>
      </c>
      <c r="F140" s="1">
        <v>10913</v>
      </c>
    </row>
    <row r="141" spans="1:6">
      <c r="A141" t="s">
        <v>144</v>
      </c>
      <c r="B141" t="str">
        <f>"0.09910%"</f>
        <v>0.09910%</v>
      </c>
      <c r="C141" t="s">
        <v>10</v>
      </c>
      <c r="D141" t="s">
        <v>10</v>
      </c>
      <c r="E141" t="str">
        <f>"$ 765,278"</f>
        <v>$ 765,278</v>
      </c>
      <c r="F141" s="1">
        <v>7354</v>
      </c>
    </row>
    <row r="142" spans="1:6">
      <c r="A142" t="s">
        <v>145</v>
      </c>
      <c r="B142" t="str">
        <f>"0.09895%"</f>
        <v>0.09895%</v>
      </c>
      <c r="C142" t="s">
        <v>10</v>
      </c>
      <c r="D142" t="s">
        <v>10</v>
      </c>
      <c r="E142" t="str">
        <f>"$ 764,115"</f>
        <v>$ 764,115</v>
      </c>
      <c r="F142" s="1">
        <v>4748</v>
      </c>
    </row>
    <row r="143" spans="1:6">
      <c r="A143" t="s">
        <v>146</v>
      </c>
      <c r="B143" t="str">
        <f>"0.09877%"</f>
        <v>0.09877%</v>
      </c>
      <c r="C143" t="s">
        <v>10</v>
      </c>
      <c r="D143" t="s">
        <v>10</v>
      </c>
      <c r="E143" t="str">
        <f>"$ 762,672"</f>
        <v>$ 762,672</v>
      </c>
      <c r="F143" s="1">
        <v>9375</v>
      </c>
    </row>
    <row r="144" spans="1:6">
      <c r="A144" t="s">
        <v>147</v>
      </c>
      <c r="B144" t="str">
        <f>"0.09817%"</f>
        <v>0.09817%</v>
      </c>
      <c r="C144" t="s">
        <v>10</v>
      </c>
      <c r="D144" t="s">
        <v>10</v>
      </c>
      <c r="E144" t="str">
        <f>"$ 758,061"</f>
        <v>$ 758,061</v>
      </c>
      <c r="F144" s="1">
        <v>5001</v>
      </c>
    </row>
    <row r="145" spans="1:6">
      <c r="A145" t="s">
        <v>148</v>
      </c>
      <c r="B145" t="str">
        <f>"0.09616%"</f>
        <v>0.09616%</v>
      </c>
      <c r="C145" t="s">
        <v>10</v>
      </c>
      <c r="D145" t="s">
        <v>10</v>
      </c>
      <c r="E145" t="str">
        <f>"$ 742,529"</f>
        <v>$ 742,529</v>
      </c>
      <c r="F145" s="1">
        <v>34030</v>
      </c>
    </row>
    <row r="146" spans="1:6">
      <c r="A146" t="s">
        <v>149</v>
      </c>
      <c r="B146" t="str">
        <f>"0.09570%"</f>
        <v>0.09570%</v>
      </c>
      <c r="C146" t="s">
        <v>10</v>
      </c>
      <c r="D146" t="s">
        <v>10</v>
      </c>
      <c r="E146" t="str">
        <f>"$ 738,980"</f>
        <v>$ 738,980</v>
      </c>
      <c r="F146" s="1">
        <v>5295</v>
      </c>
    </row>
    <row r="147" spans="1:6">
      <c r="A147" t="s">
        <v>150</v>
      </c>
      <c r="B147" t="str">
        <f>"0.09547%"</f>
        <v>0.09547%</v>
      </c>
      <c r="C147" t="s">
        <v>10</v>
      </c>
      <c r="D147" t="s">
        <v>10</v>
      </c>
      <c r="E147" t="str">
        <f>"$ 737,183"</f>
        <v>$ 737,183</v>
      </c>
      <c r="F147" s="1">
        <v>14059</v>
      </c>
    </row>
    <row r="148" spans="1:6">
      <c r="A148" t="s">
        <v>151</v>
      </c>
      <c r="B148" t="str">
        <f>"0.09512%"</f>
        <v>0.09512%</v>
      </c>
      <c r="C148" t="s">
        <v>10</v>
      </c>
      <c r="D148" t="s">
        <v>10</v>
      </c>
      <c r="E148" t="str">
        <f>"$ 734,503"</f>
        <v>$ 734,503</v>
      </c>
      <c r="F148" s="1">
        <v>4981</v>
      </c>
    </row>
    <row r="149" spans="1:6">
      <c r="A149" t="s">
        <v>152</v>
      </c>
      <c r="B149" t="str">
        <f>"0.09379%"</f>
        <v>0.09379%</v>
      </c>
      <c r="C149" t="s">
        <v>10</v>
      </c>
      <c r="D149" t="s">
        <v>10</v>
      </c>
      <c r="E149" t="str">
        <f>"$ 724,271"</f>
        <v>$ 724,271</v>
      </c>
      <c r="F149" s="1">
        <v>14060</v>
      </c>
    </row>
    <row r="150" spans="1:6">
      <c r="A150" t="s">
        <v>153</v>
      </c>
      <c r="B150" t="str">
        <f>"0.09294%"</f>
        <v>0.09294%</v>
      </c>
      <c r="C150" t="s">
        <v>10</v>
      </c>
      <c r="D150" t="s">
        <v>10</v>
      </c>
      <c r="E150" t="str">
        <f>"$ 717,669"</f>
        <v>$ 717,669</v>
      </c>
      <c r="F150" s="1">
        <v>2743</v>
      </c>
    </row>
    <row r="151" spans="1:6">
      <c r="A151" t="s">
        <v>154</v>
      </c>
      <c r="B151" t="str">
        <f>"0.09286%"</f>
        <v>0.09286%</v>
      </c>
      <c r="C151" t="s">
        <v>10</v>
      </c>
      <c r="D151" t="s">
        <v>10</v>
      </c>
      <c r="E151" t="str">
        <f>"$ 717,094"</f>
        <v>$ 717,094</v>
      </c>
      <c r="F151">
        <v>289</v>
      </c>
    </row>
    <row r="152" spans="1:6">
      <c r="A152" t="s">
        <v>155</v>
      </c>
      <c r="B152" t="str">
        <f>"0.09185%"</f>
        <v>0.09185%</v>
      </c>
      <c r="C152" t="s">
        <v>10</v>
      </c>
      <c r="D152" t="s">
        <v>10</v>
      </c>
      <c r="E152" t="str">
        <f>"$ 709,293"</f>
        <v>$ 709,293</v>
      </c>
      <c r="F152" s="1">
        <v>22763</v>
      </c>
    </row>
    <row r="153" spans="1:6">
      <c r="A153" t="s">
        <v>156</v>
      </c>
      <c r="B153" t="str">
        <f>"0.09184%"</f>
        <v>0.09184%</v>
      </c>
      <c r="C153" t="s">
        <v>10</v>
      </c>
      <c r="D153" t="s">
        <v>10</v>
      </c>
      <c r="E153" t="str">
        <f>"$ 709,153"</f>
        <v>$ 709,153</v>
      </c>
      <c r="F153" s="1">
        <v>3997</v>
      </c>
    </row>
    <row r="154" spans="1:6">
      <c r="A154" t="s">
        <v>157</v>
      </c>
      <c r="B154" t="str">
        <f>"0.09161%"</f>
        <v>0.09161%</v>
      </c>
      <c r="C154" t="s">
        <v>10</v>
      </c>
      <c r="D154" t="s">
        <v>10</v>
      </c>
      <c r="E154" t="str">
        <f>"$ 707,431"</f>
        <v>$ 707,431</v>
      </c>
      <c r="F154" s="1">
        <v>51922</v>
      </c>
    </row>
    <row r="155" spans="1:6">
      <c r="A155" t="s">
        <v>158</v>
      </c>
      <c r="B155" t="str">
        <f>"0.09121%"</f>
        <v>0.09121%</v>
      </c>
      <c r="C155" t="s">
        <v>10</v>
      </c>
      <c r="D155" t="s">
        <v>10</v>
      </c>
      <c r="E155" t="str">
        <f>"$ 704,319"</f>
        <v>$ 704,319</v>
      </c>
      <c r="F155" s="1">
        <v>2518</v>
      </c>
    </row>
    <row r="156" spans="1:6">
      <c r="A156" t="s">
        <v>159</v>
      </c>
      <c r="B156" t="str">
        <f>"0.09116%"</f>
        <v>0.09116%</v>
      </c>
      <c r="C156" t="s">
        <v>10</v>
      </c>
      <c r="D156" t="s">
        <v>10</v>
      </c>
      <c r="E156" t="str">
        <f>"$ 703,911"</f>
        <v>$ 703,911</v>
      </c>
      <c r="F156" s="1">
        <v>12317</v>
      </c>
    </row>
    <row r="157" spans="1:6">
      <c r="A157" t="s">
        <v>160</v>
      </c>
      <c r="B157" t="str">
        <f>"0.09013%"</f>
        <v>0.09013%</v>
      </c>
      <c r="C157" t="s">
        <v>10</v>
      </c>
      <c r="D157" t="s">
        <v>10</v>
      </c>
      <c r="E157" t="str">
        <f>"$ 696,014"</f>
        <v>$ 696,014</v>
      </c>
      <c r="F157" s="1">
        <v>7988</v>
      </c>
    </row>
    <row r="158" spans="1:6">
      <c r="A158" t="s">
        <v>161</v>
      </c>
      <c r="B158" t="str">
        <f>"0.09003%"</f>
        <v>0.09003%</v>
      </c>
      <c r="C158" t="s">
        <v>10</v>
      </c>
      <c r="D158" t="s">
        <v>10</v>
      </c>
      <c r="E158" t="str">
        <f>"$ 695,240"</f>
        <v>$ 695,240</v>
      </c>
      <c r="F158" s="1">
        <v>10577</v>
      </c>
    </row>
    <row r="159" spans="1:6">
      <c r="A159" t="s">
        <v>162</v>
      </c>
      <c r="B159" t="str">
        <f>"0.08861%"</f>
        <v>0.08861%</v>
      </c>
      <c r="C159" t="s">
        <v>10</v>
      </c>
      <c r="D159" t="s">
        <v>10</v>
      </c>
      <c r="E159" t="str">
        <f>"$ 684,254"</f>
        <v>$ 684,254</v>
      </c>
      <c r="F159" s="1">
        <v>15799</v>
      </c>
    </row>
    <row r="160" spans="1:6">
      <c r="A160" t="s">
        <v>163</v>
      </c>
      <c r="B160" t="str">
        <f>"0.08820%"</f>
        <v>0.08820%</v>
      </c>
      <c r="C160" t="s">
        <v>10</v>
      </c>
      <c r="D160" t="s">
        <v>10</v>
      </c>
      <c r="E160" t="str">
        <f>"$ 681,050"</f>
        <v>$ 681,050</v>
      </c>
      <c r="F160" s="1">
        <v>100134</v>
      </c>
    </row>
    <row r="161" spans="1:6">
      <c r="A161" t="s">
        <v>164</v>
      </c>
      <c r="B161" t="str">
        <f>"0.08683%"</f>
        <v>0.08683%</v>
      </c>
      <c r="C161" t="s">
        <v>10</v>
      </c>
      <c r="D161" t="s">
        <v>10</v>
      </c>
      <c r="E161" t="str">
        <f>"$ 670,489"</f>
        <v>$ 670,489</v>
      </c>
      <c r="F161" s="1">
        <v>3590</v>
      </c>
    </row>
    <row r="162" spans="1:6">
      <c r="A162" t="s">
        <v>165</v>
      </c>
      <c r="B162" t="str">
        <f>"0.08679%"</f>
        <v>0.08679%</v>
      </c>
      <c r="C162" t="s">
        <v>10</v>
      </c>
      <c r="D162" t="s">
        <v>10</v>
      </c>
      <c r="E162" t="str">
        <f>"$ 670,192"</f>
        <v>$ 670,192</v>
      </c>
      <c r="F162" s="1">
        <v>1501</v>
      </c>
    </row>
    <row r="163" spans="1:6">
      <c r="A163" t="s">
        <v>166</v>
      </c>
      <c r="B163" t="str">
        <f>"0.08646%"</f>
        <v>0.08646%</v>
      </c>
      <c r="C163" t="s">
        <v>10</v>
      </c>
      <c r="D163" t="s">
        <v>10</v>
      </c>
      <c r="E163" t="str">
        <f>"$ 667,638"</f>
        <v>$ 667,638</v>
      </c>
      <c r="F163" s="1">
        <v>25918</v>
      </c>
    </row>
    <row r="164" spans="1:6">
      <c r="A164" t="s">
        <v>167</v>
      </c>
      <c r="B164" t="str">
        <f>"0.08592%"</f>
        <v>0.08592%</v>
      </c>
      <c r="C164" t="s">
        <v>10</v>
      </c>
      <c r="D164" t="s">
        <v>10</v>
      </c>
      <c r="E164" t="str">
        <f>"$ 663,484"</f>
        <v>$ 663,484</v>
      </c>
      <c r="F164" s="1">
        <v>20779</v>
      </c>
    </row>
    <row r="165" spans="1:6">
      <c r="A165" t="s">
        <v>168</v>
      </c>
      <c r="B165" t="str">
        <f>"0.08544%"</f>
        <v>0.08544%</v>
      </c>
      <c r="C165" t="s">
        <v>10</v>
      </c>
      <c r="D165" t="s">
        <v>10</v>
      </c>
      <c r="E165" t="str">
        <f>"$ 659,738"</f>
        <v>$ 659,738</v>
      </c>
      <c r="F165" s="1">
        <v>4201</v>
      </c>
    </row>
    <row r="166" spans="1:6">
      <c r="A166" t="s">
        <v>169</v>
      </c>
      <c r="B166" t="str">
        <f>"0.08438%"</f>
        <v>0.08438%</v>
      </c>
      <c r="C166" t="s">
        <v>10</v>
      </c>
      <c r="D166" t="s">
        <v>10</v>
      </c>
      <c r="E166" t="str">
        <f>"$ 651,572"</f>
        <v>$ 651,572</v>
      </c>
      <c r="F166" s="1">
        <v>18400</v>
      </c>
    </row>
    <row r="167" spans="1:6">
      <c r="A167" t="s">
        <v>170</v>
      </c>
      <c r="B167" t="str">
        <f>"0.08343%"</f>
        <v>0.08343%</v>
      </c>
      <c r="C167" t="s">
        <v>10</v>
      </c>
      <c r="D167" t="s">
        <v>10</v>
      </c>
      <c r="E167" t="str">
        <f>"$ 644,237"</f>
        <v>$ 644,237</v>
      </c>
      <c r="F167" s="1">
        <v>9019</v>
      </c>
    </row>
    <row r="168" spans="1:6">
      <c r="A168" t="s">
        <v>171</v>
      </c>
      <c r="B168" t="str">
        <f>"0.08203%"</f>
        <v>0.08203%</v>
      </c>
      <c r="C168" t="s">
        <v>10</v>
      </c>
      <c r="D168" t="s">
        <v>10</v>
      </c>
      <c r="E168" t="str">
        <f>"$ 633,400"</f>
        <v>$ 633,400</v>
      </c>
      <c r="F168" s="1">
        <v>10183</v>
      </c>
    </row>
    <row r="169" spans="1:6">
      <c r="A169" t="s">
        <v>172</v>
      </c>
      <c r="B169" t="str">
        <f>"0.08191%"</f>
        <v>0.08191%</v>
      </c>
      <c r="C169" t="s">
        <v>10</v>
      </c>
      <c r="D169" t="s">
        <v>10</v>
      </c>
      <c r="E169" t="str">
        <f>"$ 632,503"</f>
        <v>$ 632,503</v>
      </c>
      <c r="F169" s="1">
        <v>8743</v>
      </c>
    </row>
    <row r="170" spans="1:6">
      <c r="A170" t="s">
        <v>173</v>
      </c>
      <c r="B170" t="str">
        <f>"0.08135%"</f>
        <v>0.08135%</v>
      </c>
      <c r="C170" t="s">
        <v>10</v>
      </c>
      <c r="D170" t="s">
        <v>10</v>
      </c>
      <c r="E170" t="str">
        <f>"$ 628,178"</f>
        <v>$ 628,178</v>
      </c>
      <c r="F170" s="1">
        <v>3419</v>
      </c>
    </row>
    <row r="171" spans="1:6">
      <c r="A171" t="s">
        <v>174</v>
      </c>
      <c r="B171" t="str">
        <f>"0.08082%"</f>
        <v>0.08082%</v>
      </c>
      <c r="C171" t="s">
        <v>10</v>
      </c>
      <c r="D171" t="s">
        <v>10</v>
      </c>
      <c r="E171" t="str">
        <f>"$ 624,080"</f>
        <v>$ 624,080</v>
      </c>
      <c r="F171" s="1">
        <v>5711</v>
      </c>
    </row>
    <row r="172" spans="1:6">
      <c r="A172" t="s">
        <v>175</v>
      </c>
      <c r="B172" t="str">
        <f>"0.08056%"</f>
        <v>0.08056%</v>
      </c>
      <c r="C172" t="s">
        <v>10</v>
      </c>
      <c r="D172" t="s">
        <v>10</v>
      </c>
      <c r="E172" t="str">
        <f>"$ 622,046"</f>
        <v>$ 622,046</v>
      </c>
      <c r="F172" s="1">
        <v>40683</v>
      </c>
    </row>
    <row r="173" spans="1:6">
      <c r="A173" t="s">
        <v>176</v>
      </c>
      <c r="B173" t="str">
        <f>"0.08043%"</f>
        <v>0.08043%</v>
      </c>
      <c r="C173" t="s">
        <v>10</v>
      </c>
      <c r="D173" t="s">
        <v>10</v>
      </c>
      <c r="E173" t="str">
        <f>"$ 621,048"</f>
        <v>$ 621,048</v>
      </c>
      <c r="F173" s="1">
        <v>10579</v>
      </c>
    </row>
    <row r="174" spans="1:6">
      <c r="A174" t="s">
        <v>177</v>
      </c>
      <c r="B174" t="str">
        <f>"0.07979%"</f>
        <v>0.07979%</v>
      </c>
      <c r="C174" t="s">
        <v>10</v>
      </c>
      <c r="D174" t="s">
        <v>10</v>
      </c>
      <c r="E174" t="str">
        <f>"$ 616,108"</f>
        <v>$ 616,108</v>
      </c>
      <c r="F174" s="1">
        <v>4330</v>
      </c>
    </row>
    <row r="175" spans="1:6">
      <c r="A175" t="s">
        <v>178</v>
      </c>
      <c r="B175" t="str">
        <f>"0.07923%"</f>
        <v>0.07923%</v>
      </c>
      <c r="C175" t="s">
        <v>10</v>
      </c>
      <c r="D175" t="s">
        <v>10</v>
      </c>
      <c r="E175" t="str">
        <f>"$ 611,847"</f>
        <v>$ 611,847</v>
      </c>
      <c r="F175" s="1">
        <v>8981</v>
      </c>
    </row>
    <row r="176" spans="1:6">
      <c r="A176" t="s">
        <v>179</v>
      </c>
      <c r="B176" t="str">
        <f>"0.07844%"</f>
        <v>0.07844%</v>
      </c>
      <c r="C176" t="s">
        <v>10</v>
      </c>
      <c r="D176" t="s">
        <v>10</v>
      </c>
      <c r="E176" t="str">
        <f>"$ 605,692"</f>
        <v>$ 605,692</v>
      </c>
      <c r="F176" s="1">
        <v>512849</v>
      </c>
    </row>
    <row r="177" spans="1:6">
      <c r="A177" t="s">
        <v>180</v>
      </c>
      <c r="B177" t="str">
        <f>"0.07835%"</f>
        <v>0.07835%</v>
      </c>
      <c r="C177" t="s">
        <v>10</v>
      </c>
      <c r="D177" t="s">
        <v>10</v>
      </c>
      <c r="E177" t="str">
        <f>"$ 605,040"</f>
        <v>$ 605,040</v>
      </c>
      <c r="F177" s="1">
        <v>6049</v>
      </c>
    </row>
    <row r="178" spans="1:6">
      <c r="A178" t="s">
        <v>181</v>
      </c>
      <c r="B178" t="str">
        <f>"0.07744%"</f>
        <v>0.07744%</v>
      </c>
      <c r="C178" t="s">
        <v>10</v>
      </c>
      <c r="D178" t="s">
        <v>10</v>
      </c>
      <c r="E178" t="str">
        <f>"$ 598,009"</f>
        <v>$ 598,009</v>
      </c>
      <c r="F178" s="1">
        <v>7072</v>
      </c>
    </row>
    <row r="179" spans="1:6">
      <c r="A179" t="s">
        <v>182</v>
      </c>
      <c r="B179" t="str">
        <f>"0.07633%"</f>
        <v>0.07633%</v>
      </c>
      <c r="C179" t="s">
        <v>10</v>
      </c>
      <c r="D179" t="s">
        <v>10</v>
      </c>
      <c r="E179" t="str">
        <f>"$ 589,380"</f>
        <v>$ 589,380</v>
      </c>
      <c r="F179" s="1">
        <v>8090</v>
      </c>
    </row>
    <row r="180" spans="1:6">
      <c r="A180" t="s">
        <v>183</v>
      </c>
      <c r="B180" t="str">
        <f>"0.07562%"</f>
        <v>0.07562%</v>
      </c>
      <c r="C180" t="s">
        <v>10</v>
      </c>
      <c r="D180" t="s">
        <v>10</v>
      </c>
      <c r="E180" t="str">
        <f>"$ 583,961"</f>
        <v>$ 583,961</v>
      </c>
      <c r="F180" s="1">
        <v>12184</v>
      </c>
    </row>
    <row r="181" spans="1:6">
      <c r="A181" t="s">
        <v>184</v>
      </c>
      <c r="B181" t="str">
        <f>"0.07464%"</f>
        <v>0.07464%</v>
      </c>
      <c r="C181" t="s">
        <v>10</v>
      </c>
      <c r="D181" t="s">
        <v>10</v>
      </c>
      <c r="E181" t="str">
        <f>"$ 576,394"</f>
        <v>$ 576,394</v>
      </c>
      <c r="F181" s="1">
        <v>2089</v>
      </c>
    </row>
    <row r="182" spans="1:6">
      <c r="A182" t="s">
        <v>185</v>
      </c>
      <c r="B182" t="str">
        <f>"0.07456%"</f>
        <v>0.07456%</v>
      </c>
      <c r="C182" t="s">
        <v>10</v>
      </c>
      <c r="D182" t="s">
        <v>10</v>
      </c>
      <c r="E182" t="str">
        <f>"$ 575,778"</f>
        <v>$ 575,778</v>
      </c>
      <c r="F182" s="1">
        <v>26558</v>
      </c>
    </row>
    <row r="183" spans="1:6">
      <c r="A183" t="s">
        <v>186</v>
      </c>
      <c r="B183" t="str">
        <f>"0.07432%"</f>
        <v>0.07432%</v>
      </c>
      <c r="C183" t="s">
        <v>10</v>
      </c>
      <c r="D183" t="s">
        <v>10</v>
      </c>
      <c r="E183" t="str">
        <f>"$ 573,919"</f>
        <v>$ 573,919</v>
      </c>
      <c r="F183" s="1">
        <v>4803</v>
      </c>
    </row>
    <row r="184" spans="1:6">
      <c r="A184" t="s">
        <v>187</v>
      </c>
      <c r="B184" t="str">
        <f>"0.07347%"</f>
        <v>0.07347%</v>
      </c>
      <c r="C184" t="s">
        <v>10</v>
      </c>
      <c r="D184" t="s">
        <v>10</v>
      </c>
      <c r="E184" t="str">
        <f>"$ 567,341"</f>
        <v>$ 567,341</v>
      </c>
      <c r="F184" s="1">
        <v>2576</v>
      </c>
    </row>
    <row r="185" spans="1:6">
      <c r="A185" t="s">
        <v>188</v>
      </c>
      <c r="B185" t="str">
        <f>"0.07323%"</f>
        <v>0.07323%</v>
      </c>
      <c r="C185" t="s">
        <v>10</v>
      </c>
      <c r="D185" t="s">
        <v>10</v>
      </c>
      <c r="E185" t="str">
        <f>"$ 565,446"</f>
        <v>$ 565,446</v>
      </c>
      <c r="F185" s="1">
        <v>1605</v>
      </c>
    </row>
    <row r="186" spans="1:6">
      <c r="A186" t="s">
        <v>189</v>
      </c>
      <c r="B186" t="str">
        <f>"0.07185%"</f>
        <v>0.07185%</v>
      </c>
      <c r="C186" t="s">
        <v>10</v>
      </c>
      <c r="D186" t="s">
        <v>10</v>
      </c>
      <c r="E186" t="str">
        <f>"$ 554,852"</f>
        <v>$ 554,852</v>
      </c>
      <c r="F186" s="1">
        <v>6793</v>
      </c>
    </row>
    <row r="187" spans="1:6">
      <c r="A187" t="s">
        <v>190</v>
      </c>
      <c r="B187" t="str">
        <f>"0.07179%"</f>
        <v>0.07179%</v>
      </c>
      <c r="C187" t="s">
        <v>10</v>
      </c>
      <c r="D187" t="s">
        <v>10</v>
      </c>
      <c r="E187" t="str">
        <f>"$ 554,356"</f>
        <v>$ 554,356</v>
      </c>
      <c r="F187" s="1">
        <v>24218</v>
      </c>
    </row>
    <row r="188" spans="1:6">
      <c r="A188" t="s">
        <v>191</v>
      </c>
      <c r="B188" t="str">
        <f>"0.07172%"</f>
        <v>0.07172%</v>
      </c>
      <c r="C188" t="s">
        <v>10</v>
      </c>
      <c r="D188" t="s">
        <v>10</v>
      </c>
      <c r="E188" t="str">
        <f>"$ 553,829"</f>
        <v>$ 553,829</v>
      </c>
      <c r="F188" s="1">
        <v>21263</v>
      </c>
    </row>
    <row r="189" spans="1:6">
      <c r="A189" t="s">
        <v>192</v>
      </c>
      <c r="B189" t="str">
        <f>"0.07160%"</f>
        <v>0.07160%</v>
      </c>
      <c r="C189" t="s">
        <v>10</v>
      </c>
      <c r="D189" t="s">
        <v>10</v>
      </c>
      <c r="E189" t="str">
        <f>"$ 552,866"</f>
        <v>$ 552,866</v>
      </c>
      <c r="F189" s="1">
        <v>4360</v>
      </c>
    </row>
    <row r="190" spans="1:6">
      <c r="A190" t="s">
        <v>193</v>
      </c>
      <c r="B190" t="str">
        <f>"0.07154%"</f>
        <v>0.07154%</v>
      </c>
      <c r="C190" t="s">
        <v>10</v>
      </c>
      <c r="D190" t="s">
        <v>10</v>
      </c>
      <c r="E190" t="str">
        <f>"$ 552,405"</f>
        <v>$ 552,405</v>
      </c>
      <c r="F190" s="1">
        <v>4525</v>
      </c>
    </row>
    <row r="191" spans="1:6">
      <c r="A191" t="s">
        <v>194</v>
      </c>
      <c r="B191" t="str">
        <f>"0.07108%"</f>
        <v>0.07108%</v>
      </c>
      <c r="C191" t="s">
        <v>10</v>
      </c>
      <c r="D191" t="s">
        <v>10</v>
      </c>
      <c r="E191" t="str">
        <f>"$ 548,894"</f>
        <v>$ 548,894</v>
      </c>
      <c r="F191" s="1">
        <v>7063</v>
      </c>
    </row>
    <row r="192" spans="1:6">
      <c r="A192" t="s">
        <v>195</v>
      </c>
      <c r="B192" t="str">
        <f>"0.07013%"</f>
        <v>0.07013%</v>
      </c>
      <c r="C192" t="s">
        <v>10</v>
      </c>
      <c r="D192" t="s">
        <v>10</v>
      </c>
      <c r="E192" t="str">
        <f>"$ 541,557"</f>
        <v>$ 541,557</v>
      </c>
      <c r="F192" s="1">
        <v>17492</v>
      </c>
    </row>
    <row r="193" spans="1:6">
      <c r="A193" t="s">
        <v>196</v>
      </c>
      <c r="B193" t="str">
        <f>"0.07001%"</f>
        <v>0.07001%</v>
      </c>
      <c r="C193" t="s">
        <v>10</v>
      </c>
      <c r="D193" t="s">
        <v>10</v>
      </c>
      <c r="E193" t="str">
        <f>"$ 540,638"</f>
        <v>$ 540,638</v>
      </c>
      <c r="F193" s="1">
        <v>1676</v>
      </c>
    </row>
    <row r="194" spans="1:6">
      <c r="A194" t="s">
        <v>197</v>
      </c>
      <c r="B194" t="str">
        <f>"0.06991%"</f>
        <v>0.06991%</v>
      </c>
      <c r="C194" t="s">
        <v>10</v>
      </c>
      <c r="D194" t="s">
        <v>10</v>
      </c>
      <c r="E194" t="str">
        <f>"$ 539,811"</f>
        <v>$ 539,811</v>
      </c>
      <c r="F194" s="1">
        <v>6894</v>
      </c>
    </row>
    <row r="195" spans="1:6">
      <c r="A195" t="s">
        <v>198</v>
      </c>
      <c r="B195" t="str">
        <f>"0.06915%"</f>
        <v>0.06915%</v>
      </c>
      <c r="C195" t="s">
        <v>10</v>
      </c>
      <c r="D195" t="s">
        <v>10</v>
      </c>
      <c r="E195" t="str">
        <f>"$ 533,965"</f>
        <v>$ 533,965</v>
      </c>
      <c r="F195" s="1">
        <v>2228</v>
      </c>
    </row>
    <row r="196" spans="1:6">
      <c r="A196" t="s">
        <v>199</v>
      </c>
      <c r="B196" t="str">
        <f>"0.06880%"</f>
        <v>0.06880%</v>
      </c>
      <c r="C196" t="s">
        <v>10</v>
      </c>
      <c r="D196" t="s">
        <v>10</v>
      </c>
      <c r="E196" t="str">
        <f>"$ 531,278"</f>
        <v>$ 531,278</v>
      </c>
      <c r="F196" s="1">
        <v>2826</v>
      </c>
    </row>
    <row r="197" spans="1:6">
      <c r="A197" t="s">
        <v>200</v>
      </c>
      <c r="B197" t="str">
        <f>"0.06785%"</f>
        <v>0.06785%</v>
      </c>
      <c r="C197" t="s">
        <v>10</v>
      </c>
      <c r="D197" t="s">
        <v>10</v>
      </c>
      <c r="E197" t="str">
        <f>"$ 523,972"</f>
        <v>$ 523,972</v>
      </c>
      <c r="F197" s="1">
        <v>5373</v>
      </c>
    </row>
    <row r="198" spans="1:6">
      <c r="A198" t="s">
        <v>201</v>
      </c>
      <c r="B198" t="str">
        <f>"0.06767%"</f>
        <v>0.06767%</v>
      </c>
      <c r="C198" t="s">
        <v>10</v>
      </c>
      <c r="D198" t="s">
        <v>10</v>
      </c>
      <c r="E198" t="str">
        <f>"$ 522,512"</f>
        <v>$ 522,512</v>
      </c>
      <c r="F198" s="1">
        <v>5841</v>
      </c>
    </row>
    <row r="199" spans="1:6">
      <c r="A199" t="s">
        <v>202</v>
      </c>
      <c r="B199" t="str">
        <f>"0.06713%"</f>
        <v>0.06713%</v>
      </c>
      <c r="C199" t="s">
        <v>10</v>
      </c>
      <c r="D199" t="s">
        <v>10</v>
      </c>
      <c r="E199" t="str">
        <f>"$ 518,354"</f>
        <v>$ 518,354</v>
      </c>
      <c r="F199" s="1">
        <v>4969</v>
      </c>
    </row>
    <row r="200" spans="1:6">
      <c r="A200" t="s">
        <v>203</v>
      </c>
      <c r="B200" t="str">
        <f>"0.06685%"</f>
        <v>0.06685%</v>
      </c>
      <c r="C200" t="s">
        <v>10</v>
      </c>
      <c r="D200" t="s">
        <v>10</v>
      </c>
      <c r="E200" t="str">
        <f>"$ 516,224"</f>
        <v>$ 516,224</v>
      </c>
      <c r="F200" s="1">
        <v>1535</v>
      </c>
    </row>
    <row r="201" spans="1:6">
      <c r="A201" t="s">
        <v>204</v>
      </c>
      <c r="B201" t="str">
        <f>"0.06680%"</f>
        <v>0.06680%</v>
      </c>
      <c r="C201" t="s">
        <v>10</v>
      </c>
      <c r="D201" t="s">
        <v>10</v>
      </c>
      <c r="E201" t="str">
        <f>"$ 515,854"</f>
        <v>$ 515,854</v>
      </c>
      <c r="F201" s="1">
        <v>7980</v>
      </c>
    </row>
    <row r="202" spans="1:6">
      <c r="A202" t="s">
        <v>205</v>
      </c>
      <c r="B202" t="str">
        <f>"0.06675%"</f>
        <v>0.06675%</v>
      </c>
      <c r="C202" t="s">
        <v>10</v>
      </c>
      <c r="D202" t="s">
        <v>10</v>
      </c>
      <c r="E202" t="str">
        <f>"$ 515,477"</f>
        <v>$ 515,477</v>
      </c>
      <c r="F202" s="1">
        <v>41943</v>
      </c>
    </row>
    <row r="203" spans="1:6">
      <c r="A203" t="s">
        <v>206</v>
      </c>
      <c r="B203" t="str">
        <f>"0.06661%"</f>
        <v>0.06661%</v>
      </c>
      <c r="C203" t="s">
        <v>10</v>
      </c>
      <c r="D203" t="s">
        <v>10</v>
      </c>
      <c r="E203" t="str">
        <f>"$ 514,355"</f>
        <v>$ 514,355</v>
      </c>
      <c r="F203" s="1">
        <v>4821</v>
      </c>
    </row>
    <row r="204" spans="1:6">
      <c r="A204" t="s">
        <v>207</v>
      </c>
      <c r="B204" t="str">
        <f>"0.06614%"</f>
        <v>0.06614%</v>
      </c>
      <c r="C204" t="s">
        <v>10</v>
      </c>
      <c r="D204" t="s">
        <v>10</v>
      </c>
      <c r="E204" t="str">
        <f>"$ 510,756"</f>
        <v>$ 510,756</v>
      </c>
      <c r="F204" s="1">
        <v>76901</v>
      </c>
    </row>
    <row r="205" spans="1:6">
      <c r="A205" t="s">
        <v>208</v>
      </c>
      <c r="B205" t="str">
        <f>"0.06580%"</f>
        <v>0.06580%</v>
      </c>
      <c r="C205" t="s">
        <v>10</v>
      </c>
      <c r="D205" t="s">
        <v>10</v>
      </c>
      <c r="E205" t="str">
        <f>"$ 508,082"</f>
        <v>$ 508,082</v>
      </c>
      <c r="F205" s="1">
        <v>6911</v>
      </c>
    </row>
    <row r="206" spans="1:6">
      <c r="A206" t="s">
        <v>209</v>
      </c>
      <c r="B206" t="str">
        <f>"0.06553%"</f>
        <v>0.06553%</v>
      </c>
      <c r="C206" t="s">
        <v>10</v>
      </c>
      <c r="D206" t="s">
        <v>10</v>
      </c>
      <c r="E206" t="str">
        <f>"$ 506,028"</f>
        <v>$ 506,028</v>
      </c>
      <c r="F206" s="1">
        <v>2378</v>
      </c>
    </row>
    <row r="207" spans="1:6">
      <c r="A207" t="s">
        <v>210</v>
      </c>
      <c r="B207" t="str">
        <f>"0.06540%"</f>
        <v>0.06540%</v>
      </c>
      <c r="C207" t="s">
        <v>10</v>
      </c>
      <c r="D207" t="s">
        <v>10</v>
      </c>
      <c r="E207" t="str">
        <f>"$ 504,991"</f>
        <v>$ 504,991</v>
      </c>
      <c r="F207" s="1">
        <v>12230</v>
      </c>
    </row>
    <row r="208" spans="1:6">
      <c r="A208" t="s">
        <v>211</v>
      </c>
      <c r="B208" t="str">
        <f>"0.06484%"</f>
        <v>0.06484%</v>
      </c>
      <c r="C208" t="s">
        <v>10</v>
      </c>
      <c r="D208" t="s">
        <v>10</v>
      </c>
      <c r="E208" t="str">
        <f>"$ 500,670"</f>
        <v>$ 500,670</v>
      </c>
      <c r="F208" s="1">
        <v>2574</v>
      </c>
    </row>
    <row r="209" spans="1:6">
      <c r="A209" t="s">
        <v>212</v>
      </c>
      <c r="B209" t="str">
        <f>"0.06441%"</f>
        <v>0.06441%</v>
      </c>
      <c r="C209" t="s">
        <v>10</v>
      </c>
      <c r="D209" t="s">
        <v>10</v>
      </c>
      <c r="E209" t="str">
        <f>"$ 497,390"</f>
        <v>$ 497,390</v>
      </c>
      <c r="F209" s="1">
        <v>7901</v>
      </c>
    </row>
    <row r="210" spans="1:6">
      <c r="A210" t="s">
        <v>213</v>
      </c>
      <c r="B210" t="str">
        <f>"0.06432%"</f>
        <v>0.06432%</v>
      </c>
      <c r="C210" t="s">
        <v>10</v>
      </c>
      <c r="D210" t="s">
        <v>10</v>
      </c>
      <c r="E210" t="str">
        <f>"$ 496,689"</f>
        <v>$ 496,689</v>
      </c>
      <c r="F210" s="1">
        <v>14871</v>
      </c>
    </row>
    <row r="211" spans="1:6">
      <c r="A211" t="s">
        <v>214</v>
      </c>
      <c r="B211" t="str">
        <f>"0.06415%"</f>
        <v>0.06415%</v>
      </c>
      <c r="C211" t="s">
        <v>10</v>
      </c>
      <c r="D211" t="s">
        <v>10</v>
      </c>
      <c r="E211" t="str">
        <f>"$ 495,368"</f>
        <v>$ 495,368</v>
      </c>
      <c r="F211" s="1">
        <v>8664</v>
      </c>
    </row>
    <row r="212" spans="1:6">
      <c r="A212" t="s">
        <v>215</v>
      </c>
      <c r="B212" t="str">
        <f>"0.06370%"</f>
        <v>0.06370%</v>
      </c>
      <c r="C212" t="s">
        <v>10</v>
      </c>
      <c r="D212" t="s">
        <v>10</v>
      </c>
      <c r="E212" t="str">
        <f>"$ 491,859"</f>
        <v>$ 491,859</v>
      </c>
      <c r="F212" s="1">
        <v>16166</v>
      </c>
    </row>
    <row r="213" spans="1:6">
      <c r="A213" t="s">
        <v>216</v>
      </c>
      <c r="B213" t="str">
        <f>"0.06361%"</f>
        <v>0.06361%</v>
      </c>
      <c r="C213" t="s">
        <v>10</v>
      </c>
      <c r="D213" t="s">
        <v>10</v>
      </c>
      <c r="E213" t="str">
        <f>"$ 491,159"</f>
        <v>$ 491,159</v>
      </c>
      <c r="F213" s="1">
        <v>33231</v>
      </c>
    </row>
    <row r="214" spans="1:6">
      <c r="A214" t="s">
        <v>217</v>
      </c>
      <c r="B214" t="str">
        <f>"0.06331%"</f>
        <v>0.06331%</v>
      </c>
      <c r="C214" t="s">
        <v>10</v>
      </c>
      <c r="D214" t="s">
        <v>10</v>
      </c>
      <c r="E214" t="str">
        <f>"$ 488,900"</f>
        <v>$ 488,900</v>
      </c>
      <c r="F214">
        <v>983</v>
      </c>
    </row>
    <row r="215" spans="1:6">
      <c r="A215" t="s">
        <v>218</v>
      </c>
      <c r="B215" t="str">
        <f>"0.06318%"</f>
        <v>0.06318%</v>
      </c>
      <c r="C215" t="s">
        <v>10</v>
      </c>
      <c r="D215" t="s">
        <v>10</v>
      </c>
      <c r="E215" t="str">
        <f>"$ 487,856"</f>
        <v>$ 487,856</v>
      </c>
      <c r="F215">
        <v>713</v>
      </c>
    </row>
    <row r="216" spans="1:6">
      <c r="A216" t="s">
        <v>219</v>
      </c>
      <c r="B216" t="str">
        <f>"0.06284%"</f>
        <v>0.06284%</v>
      </c>
      <c r="C216" t="s">
        <v>10</v>
      </c>
      <c r="D216" t="s">
        <v>10</v>
      </c>
      <c r="E216" t="str">
        <f>"$ 485,268"</f>
        <v>$ 485,268</v>
      </c>
      <c r="F216" s="1">
        <v>9098</v>
      </c>
    </row>
    <row r="217" spans="1:6">
      <c r="A217" t="s">
        <v>220</v>
      </c>
      <c r="B217" t="str">
        <f>"0.06269%"</f>
        <v>0.06269%</v>
      </c>
      <c r="C217" t="s">
        <v>10</v>
      </c>
      <c r="D217" t="s">
        <v>10</v>
      </c>
      <c r="E217" t="str">
        <f>"$ 484,127"</f>
        <v>$ 484,127</v>
      </c>
      <c r="F217" s="1">
        <v>441209</v>
      </c>
    </row>
    <row r="218" spans="1:6">
      <c r="A218" t="s">
        <v>221</v>
      </c>
      <c r="B218" t="str">
        <f>"0.06268%"</f>
        <v>0.06268%</v>
      </c>
      <c r="C218" t="s">
        <v>10</v>
      </c>
      <c r="D218" t="s">
        <v>10</v>
      </c>
      <c r="E218" t="str">
        <f>"$ 483,985"</f>
        <v>$ 483,985</v>
      </c>
      <c r="F218" s="1">
        <v>29845</v>
      </c>
    </row>
    <row r="219" spans="1:6">
      <c r="A219" t="s">
        <v>222</v>
      </c>
      <c r="B219" t="str">
        <f>"0.06193%"</f>
        <v>0.06193%</v>
      </c>
      <c r="C219" t="s">
        <v>10</v>
      </c>
      <c r="D219" t="s">
        <v>10</v>
      </c>
      <c r="E219" t="str">
        <f>"$ 478,207"</f>
        <v>$ 478,207</v>
      </c>
      <c r="F219" s="1">
        <v>6685</v>
      </c>
    </row>
    <row r="220" spans="1:6">
      <c r="A220" t="s">
        <v>223</v>
      </c>
      <c r="B220" t="str">
        <f>"0.06180%"</f>
        <v>0.06180%</v>
      </c>
      <c r="C220" t="s">
        <v>10</v>
      </c>
      <c r="D220" t="s">
        <v>10</v>
      </c>
      <c r="E220" t="str">
        <f>"$ 477,243"</f>
        <v>$ 477,243</v>
      </c>
      <c r="F220" s="1">
        <v>6498</v>
      </c>
    </row>
    <row r="221" spans="1:6">
      <c r="A221" t="s">
        <v>224</v>
      </c>
      <c r="B221" t="str">
        <f>"0.06179%"</f>
        <v>0.06179%</v>
      </c>
      <c r="C221" t="s">
        <v>10</v>
      </c>
      <c r="D221" t="s">
        <v>10</v>
      </c>
      <c r="E221" t="str">
        <f>"$ 477,120"</f>
        <v>$ 477,120</v>
      </c>
      <c r="F221" s="1">
        <v>17777</v>
      </c>
    </row>
    <row r="222" spans="1:6">
      <c r="A222" t="s">
        <v>225</v>
      </c>
      <c r="B222" t="str">
        <f>"0.06100%"</f>
        <v>0.06100%</v>
      </c>
      <c r="C222" t="s">
        <v>10</v>
      </c>
      <c r="D222" t="s">
        <v>10</v>
      </c>
      <c r="E222" t="str">
        <f>"$ 471,039"</f>
        <v>$ 471,039</v>
      </c>
      <c r="F222" s="1">
        <v>5356</v>
      </c>
    </row>
    <row r="223" spans="1:6">
      <c r="A223" t="s">
        <v>226</v>
      </c>
      <c r="B223" t="str">
        <f>"0.06090%"</f>
        <v>0.06090%</v>
      </c>
      <c r="C223" t="s">
        <v>10</v>
      </c>
      <c r="D223" t="s">
        <v>10</v>
      </c>
      <c r="E223" t="str">
        <f>"$ 470,305"</f>
        <v>$ 470,305</v>
      </c>
      <c r="F223" s="1">
        <v>2564</v>
      </c>
    </row>
    <row r="224" spans="1:6">
      <c r="A224" t="s">
        <v>227</v>
      </c>
      <c r="B224" t="str">
        <f>"0.06086%"</f>
        <v>0.06086%</v>
      </c>
      <c r="C224" t="s">
        <v>10</v>
      </c>
      <c r="D224" t="s">
        <v>10</v>
      </c>
      <c r="E224" t="str">
        <f>"$ 469,930"</f>
        <v>$ 469,930</v>
      </c>
      <c r="F224" s="1">
        <v>1857</v>
      </c>
    </row>
    <row r="225" spans="1:6">
      <c r="A225" t="s">
        <v>228</v>
      </c>
      <c r="B225" t="str">
        <f>"0.06068%"</f>
        <v>0.06068%</v>
      </c>
      <c r="C225" t="s">
        <v>10</v>
      </c>
      <c r="D225" t="s">
        <v>10</v>
      </c>
      <c r="E225" t="str">
        <f>"$ 468,605"</f>
        <v>$ 468,605</v>
      </c>
      <c r="F225" s="1">
        <v>9435</v>
      </c>
    </row>
    <row r="226" spans="1:6">
      <c r="A226" t="s">
        <v>229</v>
      </c>
      <c r="B226" t="str">
        <f>"0.06063%"</f>
        <v>0.06063%</v>
      </c>
      <c r="C226" t="s">
        <v>10</v>
      </c>
      <c r="D226" t="s">
        <v>10</v>
      </c>
      <c r="E226" t="str">
        <f>"$ 468,209"</f>
        <v>$ 468,209</v>
      </c>
      <c r="F226">
        <v>561</v>
      </c>
    </row>
    <row r="227" spans="1:6">
      <c r="A227" t="s">
        <v>230</v>
      </c>
      <c r="B227" t="str">
        <f>"0.06033%"</f>
        <v>0.06033%</v>
      </c>
      <c r="C227" t="s">
        <v>10</v>
      </c>
      <c r="D227" t="s">
        <v>10</v>
      </c>
      <c r="E227" t="str">
        <f>"$ 465,864"</f>
        <v>$ 465,864</v>
      </c>
      <c r="F227" s="1">
        <v>3620</v>
      </c>
    </row>
    <row r="228" spans="1:6">
      <c r="A228" t="s">
        <v>231</v>
      </c>
      <c r="B228" t="str">
        <f>"0.06014%"</f>
        <v>0.06014%</v>
      </c>
      <c r="C228" t="s">
        <v>10</v>
      </c>
      <c r="D228" t="s">
        <v>10</v>
      </c>
      <c r="E228" t="str">
        <f>"$ 464,361"</f>
        <v>$ 464,361</v>
      </c>
      <c r="F228" s="1">
        <v>7571</v>
      </c>
    </row>
    <row r="229" spans="1:6">
      <c r="A229" t="s">
        <v>232</v>
      </c>
      <c r="B229" t="str">
        <f>"0.05971%"</f>
        <v>0.05971%</v>
      </c>
      <c r="C229" t="s">
        <v>10</v>
      </c>
      <c r="D229" t="s">
        <v>10</v>
      </c>
      <c r="E229" t="str">
        <f>"$ 461,053"</f>
        <v>$ 461,053</v>
      </c>
      <c r="F229" s="1">
        <v>6618</v>
      </c>
    </row>
    <row r="230" spans="1:6">
      <c r="A230" t="s">
        <v>233</v>
      </c>
      <c r="B230" t="str">
        <f>"0.05929%"</f>
        <v>0.05929%</v>
      </c>
      <c r="C230" t="s">
        <v>10</v>
      </c>
      <c r="D230" t="s">
        <v>10</v>
      </c>
      <c r="E230" t="str">
        <f>"$ 457,851"</f>
        <v>$ 457,851</v>
      </c>
      <c r="F230" s="1">
        <v>17778</v>
      </c>
    </row>
    <row r="231" spans="1:6">
      <c r="A231" t="s">
        <v>234</v>
      </c>
      <c r="B231" t="str">
        <f>"0.05921%"</f>
        <v>0.05921%</v>
      </c>
      <c r="C231" t="s">
        <v>10</v>
      </c>
      <c r="D231" t="s">
        <v>10</v>
      </c>
      <c r="E231" t="str">
        <f>"$ 457,225"</f>
        <v>$ 457,225</v>
      </c>
      <c r="F231" s="1">
        <v>37452</v>
      </c>
    </row>
    <row r="232" spans="1:6">
      <c r="A232" t="s">
        <v>235</v>
      </c>
      <c r="B232" t="str">
        <f>"0.05921%"</f>
        <v>0.05921%</v>
      </c>
      <c r="C232" t="s">
        <v>10</v>
      </c>
      <c r="D232" t="s">
        <v>10</v>
      </c>
      <c r="E232" t="str">
        <f>"$ 457,249"</f>
        <v>$ 457,249</v>
      </c>
      <c r="F232" s="1">
        <v>1547</v>
      </c>
    </row>
    <row r="233" spans="1:6">
      <c r="A233" t="s">
        <v>236</v>
      </c>
      <c r="B233" t="str">
        <f>"0.05893%"</f>
        <v>0.05893%</v>
      </c>
      <c r="C233" t="s">
        <v>10</v>
      </c>
      <c r="D233" t="s">
        <v>10</v>
      </c>
      <c r="E233" t="str">
        <f>"$ 455,040"</f>
        <v>$ 455,040</v>
      </c>
      <c r="F233" s="1">
        <v>1665</v>
      </c>
    </row>
    <row r="234" spans="1:6">
      <c r="A234" t="s">
        <v>237</v>
      </c>
      <c r="B234" t="str">
        <f>"0.05887%"</f>
        <v>0.05887%</v>
      </c>
      <c r="C234" t="s">
        <v>10</v>
      </c>
      <c r="D234" t="s">
        <v>10</v>
      </c>
      <c r="E234" t="str">
        <f>"$ 454,572"</f>
        <v>$ 454,572</v>
      </c>
      <c r="F234" s="1">
        <v>451113</v>
      </c>
    </row>
    <row r="235" spans="1:6">
      <c r="A235" t="s">
        <v>238</v>
      </c>
      <c r="B235" t="str">
        <f>"0.05831%"</f>
        <v>0.05831%</v>
      </c>
      <c r="C235" t="s">
        <v>10</v>
      </c>
      <c r="D235" t="s">
        <v>10</v>
      </c>
      <c r="E235" t="str">
        <f>"$ 450,292"</f>
        <v>$ 450,292</v>
      </c>
      <c r="F235" s="1">
        <v>6316</v>
      </c>
    </row>
    <row r="236" spans="1:6">
      <c r="A236" t="s">
        <v>239</v>
      </c>
      <c r="B236" t="str">
        <f>"0.05799%"</f>
        <v>0.05799%</v>
      </c>
      <c r="C236" t="s">
        <v>10</v>
      </c>
      <c r="D236" t="s">
        <v>10</v>
      </c>
      <c r="E236" t="str">
        <f>"$ 447,774"</f>
        <v>$ 447,774</v>
      </c>
      <c r="F236" s="1">
        <v>1924</v>
      </c>
    </row>
    <row r="237" spans="1:6">
      <c r="A237" t="s">
        <v>240</v>
      </c>
      <c r="B237" t="str">
        <f>"0.05793%"</f>
        <v>0.05793%</v>
      </c>
      <c r="C237" t="s">
        <v>10</v>
      </c>
      <c r="D237" t="s">
        <v>10</v>
      </c>
      <c r="E237" t="str">
        <f>"$ 447,355"</f>
        <v>$ 447,355</v>
      </c>
      <c r="F237">
        <v>688</v>
      </c>
    </row>
    <row r="238" spans="1:6">
      <c r="A238" t="s">
        <v>241</v>
      </c>
      <c r="B238" t="str">
        <f>"0.05790%"</f>
        <v>0.05790%</v>
      </c>
      <c r="C238" t="s">
        <v>10</v>
      </c>
      <c r="D238" t="s">
        <v>10</v>
      </c>
      <c r="E238" t="str">
        <f>"$ 447,089"</f>
        <v>$ 447,089</v>
      </c>
      <c r="F238" s="1">
        <v>104950</v>
      </c>
    </row>
    <row r="239" spans="1:6">
      <c r="A239" t="s">
        <v>242</v>
      </c>
      <c r="B239" t="str">
        <f>"0.05777%"</f>
        <v>0.05777%</v>
      </c>
      <c r="C239" t="s">
        <v>10</v>
      </c>
      <c r="D239" t="s">
        <v>10</v>
      </c>
      <c r="E239" t="str">
        <f>"$ 446,131"</f>
        <v>$ 446,131</v>
      </c>
      <c r="F239" s="1">
        <v>19842</v>
      </c>
    </row>
    <row r="240" spans="1:6">
      <c r="A240" t="s">
        <v>243</v>
      </c>
      <c r="B240" t="str">
        <f>"0.05723%"</f>
        <v>0.05723%</v>
      </c>
      <c r="C240" t="s">
        <v>10</v>
      </c>
      <c r="D240" t="s">
        <v>10</v>
      </c>
      <c r="E240" t="str">
        <f>"$ 441,966"</f>
        <v>$ 441,966</v>
      </c>
      <c r="F240" s="1">
        <v>1992</v>
      </c>
    </row>
    <row r="241" spans="1:6">
      <c r="A241" t="s">
        <v>244</v>
      </c>
      <c r="B241" t="str">
        <f>"0.05639%"</f>
        <v>0.05639%</v>
      </c>
      <c r="C241" t="s">
        <v>10</v>
      </c>
      <c r="D241" t="s">
        <v>10</v>
      </c>
      <c r="E241" t="str">
        <f>"$ 435,406"</f>
        <v>$ 435,406</v>
      </c>
      <c r="F241" s="1">
        <v>2584</v>
      </c>
    </row>
    <row r="242" spans="1:6">
      <c r="A242" t="s">
        <v>245</v>
      </c>
      <c r="B242" t="str">
        <f>"0.05575%"</f>
        <v>0.05575%</v>
      </c>
      <c r="C242" t="s">
        <v>10</v>
      </c>
      <c r="D242" t="s">
        <v>10</v>
      </c>
      <c r="E242" t="str">
        <f>"$ 430,461"</f>
        <v>$ 430,461</v>
      </c>
      <c r="F242" s="1">
        <v>14445</v>
      </c>
    </row>
    <row r="243" spans="1:6">
      <c r="A243" t="s">
        <v>246</v>
      </c>
      <c r="B243" t="str">
        <f>"0.05557%"</f>
        <v>0.05557%</v>
      </c>
      <c r="C243" t="s">
        <v>10</v>
      </c>
      <c r="D243" t="s">
        <v>10</v>
      </c>
      <c r="E243" t="str">
        <f>"$ 429,121"</f>
        <v>$ 429,121</v>
      </c>
      <c r="F243" s="1">
        <v>8629</v>
      </c>
    </row>
    <row r="244" spans="1:6">
      <c r="A244" t="s">
        <v>247</v>
      </c>
      <c r="B244" t="str">
        <f>"0.05531%"</f>
        <v>0.05531%</v>
      </c>
      <c r="C244" t="s">
        <v>10</v>
      </c>
      <c r="D244" t="s">
        <v>10</v>
      </c>
      <c r="E244" t="str">
        <f>"$ 427,089"</f>
        <v>$ 427,089</v>
      </c>
      <c r="F244" s="1">
        <v>9161</v>
      </c>
    </row>
    <row r="245" spans="1:6">
      <c r="A245" t="s">
        <v>248</v>
      </c>
      <c r="B245" t="str">
        <f>"0.05523%"</f>
        <v>0.05523%</v>
      </c>
      <c r="C245" t="s">
        <v>10</v>
      </c>
      <c r="D245" t="s">
        <v>10</v>
      </c>
      <c r="E245" t="str">
        <f>"$ 426,506"</f>
        <v>$ 426,506</v>
      </c>
      <c r="F245" s="1">
        <v>21293</v>
      </c>
    </row>
    <row r="246" spans="1:6">
      <c r="A246" t="s">
        <v>249</v>
      </c>
      <c r="B246" t="str">
        <f>"0.05488%"</f>
        <v>0.05488%</v>
      </c>
      <c r="C246" t="s">
        <v>10</v>
      </c>
      <c r="D246" t="s">
        <v>10</v>
      </c>
      <c r="E246" t="str">
        <f>"$ 423,772"</f>
        <v>$ 423,772</v>
      </c>
      <c r="F246" s="1">
        <v>11838</v>
      </c>
    </row>
    <row r="247" spans="1:6">
      <c r="A247" t="s">
        <v>250</v>
      </c>
      <c r="B247" t="str">
        <f>"0.05483%"</f>
        <v>0.05483%</v>
      </c>
      <c r="C247" t="s">
        <v>10</v>
      </c>
      <c r="D247" t="s">
        <v>10</v>
      </c>
      <c r="E247" t="str">
        <f>"$ 423,363"</f>
        <v>$ 423,363</v>
      </c>
      <c r="F247" s="1">
        <v>3896</v>
      </c>
    </row>
    <row r="248" spans="1:6">
      <c r="A248" t="s">
        <v>251</v>
      </c>
      <c r="B248" t="str">
        <f>"0.05422%"</f>
        <v>0.05422%</v>
      </c>
      <c r="C248" t="s">
        <v>10</v>
      </c>
      <c r="D248" t="s">
        <v>10</v>
      </c>
      <c r="E248" t="str">
        <f>"$ 418,699"</f>
        <v>$ 418,699</v>
      </c>
      <c r="F248" s="1">
        <v>1760</v>
      </c>
    </row>
    <row r="249" spans="1:6">
      <c r="A249" t="s">
        <v>252</v>
      </c>
      <c r="B249" t="str">
        <f>"0.05413%"</f>
        <v>0.05413%</v>
      </c>
      <c r="C249" t="s">
        <v>10</v>
      </c>
      <c r="D249" t="s">
        <v>10</v>
      </c>
      <c r="E249" t="str">
        <f>"$ 417,971"</f>
        <v>$ 417,971</v>
      </c>
      <c r="F249" s="1">
        <v>8812</v>
      </c>
    </row>
    <row r="250" spans="1:6">
      <c r="A250" t="s">
        <v>253</v>
      </c>
      <c r="B250" t="str">
        <f>"0.05361%"</f>
        <v>0.05361%</v>
      </c>
      <c r="C250" t="s">
        <v>10</v>
      </c>
      <c r="D250" t="s">
        <v>10</v>
      </c>
      <c r="E250" t="str">
        <f>"$ 413,973"</f>
        <v>$ 413,973</v>
      </c>
      <c r="F250" s="1">
        <v>166240</v>
      </c>
    </row>
    <row r="251" spans="1:6">
      <c r="A251" t="s">
        <v>254</v>
      </c>
      <c r="B251" t="str">
        <f>"0.05345%"</f>
        <v>0.05345%</v>
      </c>
      <c r="C251" t="s">
        <v>10</v>
      </c>
      <c r="D251" t="s">
        <v>10</v>
      </c>
      <c r="E251" t="str">
        <f>"$ 412,707"</f>
        <v>$ 412,707</v>
      </c>
      <c r="F251" s="1">
        <v>17195</v>
      </c>
    </row>
    <row r="252" spans="1:6">
      <c r="A252" t="s">
        <v>255</v>
      </c>
      <c r="B252" t="str">
        <f>"0.05338%"</f>
        <v>0.05338%</v>
      </c>
      <c r="C252" t="s">
        <v>10</v>
      </c>
      <c r="D252" t="s">
        <v>10</v>
      </c>
      <c r="E252" t="str">
        <f>"$ 412,161"</f>
        <v>$ 412,161</v>
      </c>
      <c r="F252" s="1">
        <v>7899</v>
      </c>
    </row>
    <row r="253" spans="1:6">
      <c r="A253" t="s">
        <v>256</v>
      </c>
      <c r="B253" t="str">
        <f>"0.05330%"</f>
        <v>0.05330%</v>
      </c>
      <c r="C253" t="s">
        <v>10</v>
      </c>
      <c r="D253" t="s">
        <v>10</v>
      </c>
      <c r="E253" t="str">
        <f>"$ 411,557"</f>
        <v>$ 411,557</v>
      </c>
      <c r="F253" s="1">
        <v>24040</v>
      </c>
    </row>
    <row r="254" spans="1:6">
      <c r="A254" t="s">
        <v>257</v>
      </c>
      <c r="B254" t="str">
        <f>"0.05329%"</f>
        <v>0.05329%</v>
      </c>
      <c r="C254" t="s">
        <v>10</v>
      </c>
      <c r="D254" t="s">
        <v>10</v>
      </c>
      <c r="E254" t="str">
        <f>"$ 411,472"</f>
        <v>$ 411,472</v>
      </c>
      <c r="F254" s="1">
        <v>12968</v>
      </c>
    </row>
    <row r="255" spans="1:6">
      <c r="A255" t="s">
        <v>258</v>
      </c>
      <c r="B255" t="str">
        <f>"0.05319%"</f>
        <v>0.05319%</v>
      </c>
      <c r="C255" t="s">
        <v>10</v>
      </c>
      <c r="D255" t="s">
        <v>10</v>
      </c>
      <c r="E255" t="str">
        <f>"$ 410,712"</f>
        <v>$ 410,712</v>
      </c>
      <c r="F255" s="1">
        <v>1057</v>
      </c>
    </row>
    <row r="256" spans="1:6">
      <c r="A256" t="s">
        <v>259</v>
      </c>
      <c r="B256" t="str">
        <f>"0.05306%"</f>
        <v>0.05306%</v>
      </c>
      <c r="C256" t="s">
        <v>10</v>
      </c>
      <c r="D256" t="s">
        <v>10</v>
      </c>
      <c r="E256" t="str">
        <f>"$ 409,766"</f>
        <v>$ 409,766</v>
      </c>
      <c r="F256" s="1">
        <v>6003</v>
      </c>
    </row>
    <row r="257" spans="1:6">
      <c r="A257" t="s">
        <v>260</v>
      </c>
      <c r="B257" t="str">
        <f>"0.05297%"</f>
        <v>0.05297%</v>
      </c>
      <c r="C257" t="s">
        <v>10</v>
      </c>
      <c r="D257" t="s">
        <v>10</v>
      </c>
      <c r="E257" t="str">
        <f>"$ 409,060"</f>
        <v>$ 409,060</v>
      </c>
      <c r="F257" s="1">
        <v>178629</v>
      </c>
    </row>
    <row r="258" spans="1:6">
      <c r="A258" t="s">
        <v>261</v>
      </c>
      <c r="B258" t="str">
        <f>"0.05292%"</f>
        <v>0.05292%</v>
      </c>
      <c r="C258" t="s">
        <v>10</v>
      </c>
      <c r="D258" t="s">
        <v>10</v>
      </c>
      <c r="E258" t="str">
        <f>"$ 408,683"</f>
        <v>$ 408,683</v>
      </c>
      <c r="F258" s="1">
        <v>2075</v>
      </c>
    </row>
    <row r="259" spans="1:6">
      <c r="A259" t="s">
        <v>262</v>
      </c>
      <c r="B259" t="str">
        <f>"0.05285%"</f>
        <v>0.05285%</v>
      </c>
      <c r="C259" t="s">
        <v>10</v>
      </c>
      <c r="D259" t="s">
        <v>10</v>
      </c>
      <c r="E259" t="str">
        <f>"$ 408,072"</f>
        <v>$ 408,072</v>
      </c>
      <c r="F259" s="1">
        <v>22913</v>
      </c>
    </row>
    <row r="260" spans="1:6">
      <c r="A260" t="s">
        <v>263</v>
      </c>
      <c r="B260" t="str">
        <f>"0.05270%"</f>
        <v>0.05270%</v>
      </c>
      <c r="C260" t="s">
        <v>10</v>
      </c>
      <c r="D260" t="s">
        <v>10</v>
      </c>
      <c r="E260" t="str">
        <f>"$ 406,922"</f>
        <v>$ 406,922</v>
      </c>
      <c r="F260" s="1">
        <v>2983</v>
      </c>
    </row>
    <row r="261" spans="1:6">
      <c r="A261" t="s">
        <v>264</v>
      </c>
      <c r="B261" t="str">
        <f>"0.05268%"</f>
        <v>0.05268%</v>
      </c>
      <c r="C261" t="s">
        <v>10</v>
      </c>
      <c r="D261" t="s">
        <v>10</v>
      </c>
      <c r="E261" t="str">
        <f>"$ 406,779"</f>
        <v>$ 406,779</v>
      </c>
      <c r="F261" s="1">
        <v>1178</v>
      </c>
    </row>
    <row r="262" spans="1:6">
      <c r="A262" t="s">
        <v>265</v>
      </c>
      <c r="B262" t="str">
        <f>"0.05265%"</f>
        <v>0.05265%</v>
      </c>
      <c r="C262" t="s">
        <v>10</v>
      </c>
      <c r="D262" t="s">
        <v>10</v>
      </c>
      <c r="E262" t="str">
        <f>"$ 406,523"</f>
        <v>$ 406,523</v>
      </c>
      <c r="F262" s="1">
        <v>10854</v>
      </c>
    </row>
    <row r="263" spans="1:6">
      <c r="A263" t="s">
        <v>266</v>
      </c>
      <c r="B263" t="str">
        <f>"0.05264%"</f>
        <v>0.05264%</v>
      </c>
      <c r="C263" t="s">
        <v>10</v>
      </c>
      <c r="D263" t="s">
        <v>10</v>
      </c>
      <c r="E263" t="str">
        <f>"$ 406,475"</f>
        <v>$ 406,475</v>
      </c>
      <c r="F263" s="1">
        <v>1117</v>
      </c>
    </row>
    <row r="264" spans="1:6">
      <c r="A264" t="s">
        <v>267</v>
      </c>
      <c r="B264" t="str">
        <f>"0.05217%"</f>
        <v>0.05217%</v>
      </c>
      <c r="C264" t="s">
        <v>10</v>
      </c>
      <c r="D264" t="s">
        <v>10</v>
      </c>
      <c r="E264" t="str">
        <f>"$ 402,889"</f>
        <v>$ 402,889</v>
      </c>
      <c r="F264" s="1">
        <v>3922</v>
      </c>
    </row>
    <row r="265" spans="1:6">
      <c r="A265" t="s">
        <v>268</v>
      </c>
      <c r="B265" t="str">
        <f>"0.05194%"</f>
        <v>0.05194%</v>
      </c>
      <c r="C265" t="s">
        <v>10</v>
      </c>
      <c r="D265" t="s">
        <v>10</v>
      </c>
      <c r="E265" t="str">
        <f>"$ 401,053"</f>
        <v>$ 401,053</v>
      </c>
      <c r="F265" s="1">
        <v>47176</v>
      </c>
    </row>
    <row r="266" spans="1:6">
      <c r="A266" t="s">
        <v>269</v>
      </c>
      <c r="B266" t="str">
        <f>"0.05183%"</f>
        <v>0.05183%</v>
      </c>
      <c r="C266" t="s">
        <v>10</v>
      </c>
      <c r="D266" t="s">
        <v>10</v>
      </c>
      <c r="E266" t="str">
        <f>"$ 400,203"</f>
        <v>$ 400,203</v>
      </c>
      <c r="F266" s="1">
        <v>3683</v>
      </c>
    </row>
    <row r="267" spans="1:6">
      <c r="A267" t="s">
        <v>270</v>
      </c>
      <c r="B267" t="str">
        <f>"0.05170%"</f>
        <v>0.05170%</v>
      </c>
      <c r="C267" t="s">
        <v>10</v>
      </c>
      <c r="D267" t="s">
        <v>10</v>
      </c>
      <c r="E267" t="str">
        <f>"$ 399,207"</f>
        <v>$ 399,207</v>
      </c>
      <c r="F267" s="1">
        <v>1619</v>
      </c>
    </row>
    <row r="268" spans="1:6">
      <c r="A268" t="s">
        <v>271</v>
      </c>
      <c r="B268" t="str">
        <f>"0.05156%"</f>
        <v>0.05156%</v>
      </c>
      <c r="C268" t="s">
        <v>10</v>
      </c>
      <c r="D268" t="s">
        <v>10</v>
      </c>
      <c r="E268" t="str">
        <f>"$ 398,119"</f>
        <v>$ 398,119</v>
      </c>
      <c r="F268" s="1">
        <v>4659</v>
      </c>
    </row>
    <row r="269" spans="1:6">
      <c r="A269" t="s">
        <v>272</v>
      </c>
      <c r="B269" t="str">
        <f>"0.05146%"</f>
        <v>0.05146%</v>
      </c>
      <c r="C269" t="s">
        <v>10</v>
      </c>
      <c r="D269" t="s">
        <v>10</v>
      </c>
      <c r="E269" t="str">
        <f>"$ 397,350"</f>
        <v>$ 397,350</v>
      </c>
      <c r="F269" s="1">
        <v>8182</v>
      </c>
    </row>
    <row r="270" spans="1:6">
      <c r="A270" t="s">
        <v>273</v>
      </c>
      <c r="B270" t="str">
        <f>"0.05145%"</f>
        <v>0.05145%</v>
      </c>
      <c r="C270" t="s">
        <v>10</v>
      </c>
      <c r="D270" t="s">
        <v>10</v>
      </c>
      <c r="E270" t="str">
        <f>"$ 397,314"</f>
        <v>$ 397,314</v>
      </c>
      <c r="F270" s="1">
        <v>11614</v>
      </c>
    </row>
    <row r="271" spans="1:6">
      <c r="A271" t="s">
        <v>274</v>
      </c>
      <c r="B271" t="str">
        <f>"0.05145%"</f>
        <v>0.05145%</v>
      </c>
      <c r="C271" t="s">
        <v>10</v>
      </c>
      <c r="D271" t="s">
        <v>10</v>
      </c>
      <c r="E271" t="str">
        <f>"$ 397,293"</f>
        <v>$ 397,293</v>
      </c>
      <c r="F271" s="1">
        <v>3145</v>
      </c>
    </row>
    <row r="272" spans="1:6">
      <c r="A272" t="s">
        <v>275</v>
      </c>
      <c r="B272" t="str">
        <f>"0.05105%"</f>
        <v>0.05105%</v>
      </c>
      <c r="C272" t="s">
        <v>10</v>
      </c>
      <c r="D272" t="s">
        <v>10</v>
      </c>
      <c r="E272" t="str">
        <f>"$ 394,170"</f>
        <v>$ 394,170</v>
      </c>
      <c r="F272" s="1">
        <v>6995</v>
      </c>
    </row>
    <row r="273" spans="1:6">
      <c r="A273" t="s">
        <v>276</v>
      </c>
      <c r="B273" t="str">
        <f>"0.05103%"</f>
        <v>0.05103%</v>
      </c>
      <c r="C273" t="s">
        <v>10</v>
      </c>
      <c r="D273" t="s">
        <v>10</v>
      </c>
      <c r="E273" t="str">
        <f>"$ 394,033"</f>
        <v>$ 394,033</v>
      </c>
      <c r="F273" s="1">
        <v>2012</v>
      </c>
    </row>
    <row r="274" spans="1:6">
      <c r="A274" t="s">
        <v>277</v>
      </c>
      <c r="B274" t="str">
        <f>"0.05054%"</f>
        <v>0.05054%</v>
      </c>
      <c r="C274" t="s">
        <v>10</v>
      </c>
      <c r="D274" t="s">
        <v>10</v>
      </c>
      <c r="E274" t="str">
        <f>"$ 390,298"</f>
        <v>$ 390,298</v>
      </c>
      <c r="F274" s="1">
        <v>2876</v>
      </c>
    </row>
    <row r="275" spans="1:6">
      <c r="A275" t="s">
        <v>278</v>
      </c>
      <c r="B275" t="str">
        <f>"0.05048%"</f>
        <v>0.05048%</v>
      </c>
      <c r="C275" t="s">
        <v>10</v>
      </c>
      <c r="D275" t="s">
        <v>10</v>
      </c>
      <c r="E275" t="str">
        <f>"$ 389,827"</f>
        <v>$ 389,827</v>
      </c>
      <c r="F275">
        <v>909</v>
      </c>
    </row>
    <row r="276" spans="1:6">
      <c r="A276" t="s">
        <v>279</v>
      </c>
      <c r="B276" t="str">
        <f>"0.05025%"</f>
        <v>0.05025%</v>
      </c>
      <c r="C276" t="s">
        <v>10</v>
      </c>
      <c r="D276" t="s">
        <v>10</v>
      </c>
      <c r="E276" t="str">
        <f>"$ 388,054"</f>
        <v>$ 388,054</v>
      </c>
      <c r="F276" s="1">
        <v>21511</v>
      </c>
    </row>
    <row r="277" spans="1:6">
      <c r="A277" t="s">
        <v>280</v>
      </c>
      <c r="B277" t="str">
        <f>"0.05006%"</f>
        <v>0.05006%</v>
      </c>
      <c r="C277" t="s">
        <v>10</v>
      </c>
      <c r="D277" t="s">
        <v>10</v>
      </c>
      <c r="E277" t="str">
        <f>"$ 386,566"</f>
        <v>$ 386,566</v>
      </c>
      <c r="F277" s="1">
        <v>30242</v>
      </c>
    </row>
    <row r="278" spans="1:6">
      <c r="A278" t="s">
        <v>281</v>
      </c>
      <c r="B278" t="str">
        <f>"0.04994%"</f>
        <v>0.04994%</v>
      </c>
      <c r="C278" t="s">
        <v>10</v>
      </c>
      <c r="D278" t="s">
        <v>10</v>
      </c>
      <c r="E278" t="str">
        <f>"$ 385,661"</f>
        <v>$ 385,661</v>
      </c>
      <c r="F278" s="1">
        <v>3539</v>
      </c>
    </row>
    <row r="279" spans="1:6">
      <c r="A279" t="s">
        <v>282</v>
      </c>
      <c r="B279" t="str">
        <f>"0.04983%"</f>
        <v>0.04983%</v>
      </c>
      <c r="C279" t="s">
        <v>10</v>
      </c>
      <c r="D279" t="s">
        <v>10</v>
      </c>
      <c r="E279" t="str">
        <f>"$ 384,820"</f>
        <v>$ 384,820</v>
      </c>
      <c r="F279" s="1">
        <v>53522</v>
      </c>
    </row>
    <row r="280" spans="1:6">
      <c r="A280" t="s">
        <v>283</v>
      </c>
      <c r="B280" t="str">
        <f>"0.04957%"</f>
        <v>0.04957%</v>
      </c>
      <c r="C280" t="s">
        <v>10</v>
      </c>
      <c r="D280" t="s">
        <v>10</v>
      </c>
      <c r="E280" t="str">
        <f>"$ 382,783"</f>
        <v>$ 382,783</v>
      </c>
      <c r="F280">
        <v>916</v>
      </c>
    </row>
    <row r="281" spans="1:6">
      <c r="A281" t="s">
        <v>284</v>
      </c>
      <c r="B281" t="str">
        <f>"0.04946%"</f>
        <v>0.04946%</v>
      </c>
      <c r="C281" t="s">
        <v>10</v>
      </c>
      <c r="D281" t="s">
        <v>10</v>
      </c>
      <c r="E281" t="str">
        <f>"$ 381,896"</f>
        <v>$ 381,896</v>
      </c>
      <c r="F281" s="1">
        <v>19777</v>
      </c>
    </row>
    <row r="282" spans="1:6">
      <c r="A282" t="s">
        <v>285</v>
      </c>
      <c r="B282" t="str">
        <f>"0.04929%"</f>
        <v>0.04929%</v>
      </c>
      <c r="C282" t="s">
        <v>10</v>
      </c>
      <c r="D282" t="s">
        <v>10</v>
      </c>
      <c r="E282" t="str">
        <f>"$ 380,642"</f>
        <v>$ 380,642</v>
      </c>
      <c r="F282" s="1">
        <v>3636</v>
      </c>
    </row>
    <row r="283" spans="1:6">
      <c r="A283" t="s">
        <v>286</v>
      </c>
      <c r="B283" t="str">
        <f>"0.04912%"</f>
        <v>0.04912%</v>
      </c>
      <c r="C283" t="s">
        <v>10</v>
      </c>
      <c r="D283" t="s">
        <v>10</v>
      </c>
      <c r="E283" t="str">
        <f>"$ 379,287"</f>
        <v>$ 379,287</v>
      </c>
      <c r="F283" s="1">
        <v>2638</v>
      </c>
    </row>
    <row r="284" spans="1:6">
      <c r="A284" t="s">
        <v>287</v>
      </c>
      <c r="B284" t="str">
        <f>"0.04901%"</f>
        <v>0.04901%</v>
      </c>
      <c r="C284" t="s">
        <v>10</v>
      </c>
      <c r="D284" t="s">
        <v>10</v>
      </c>
      <c r="E284" t="str">
        <f>"$ 378,464"</f>
        <v>$ 378,464</v>
      </c>
      <c r="F284" s="1">
        <v>9847</v>
      </c>
    </row>
    <row r="285" spans="1:6">
      <c r="A285" t="s">
        <v>288</v>
      </c>
      <c r="B285" t="str">
        <f>"0.04886%"</f>
        <v>0.04886%</v>
      </c>
      <c r="C285" t="s">
        <v>10</v>
      </c>
      <c r="D285" t="s">
        <v>10</v>
      </c>
      <c r="E285" t="str">
        <f>"$ 377,334"</f>
        <v>$ 377,334</v>
      </c>
      <c r="F285" s="1">
        <v>25951</v>
      </c>
    </row>
    <row r="286" spans="1:6">
      <c r="A286" t="s">
        <v>289</v>
      </c>
      <c r="B286" t="str">
        <f>"0.04882%"</f>
        <v>0.04882%</v>
      </c>
      <c r="C286" t="s">
        <v>10</v>
      </c>
      <c r="D286" t="s">
        <v>10</v>
      </c>
      <c r="E286" t="str">
        <f>"$ 377,022"</f>
        <v>$ 377,022</v>
      </c>
      <c r="F286" s="1">
        <v>1368</v>
      </c>
    </row>
    <row r="287" spans="1:6">
      <c r="A287" t="s">
        <v>290</v>
      </c>
      <c r="B287" t="str">
        <f>"0.04872%"</f>
        <v>0.04872%</v>
      </c>
      <c r="C287" t="s">
        <v>10</v>
      </c>
      <c r="D287" t="s">
        <v>10</v>
      </c>
      <c r="E287" t="str">
        <f>"$ 376,232"</f>
        <v>$ 376,232</v>
      </c>
      <c r="F287" s="1">
        <v>1225</v>
      </c>
    </row>
    <row r="288" spans="1:6">
      <c r="A288" t="s">
        <v>291</v>
      </c>
      <c r="B288" t="str">
        <f>"0.04862%"</f>
        <v>0.04862%</v>
      </c>
      <c r="C288" t="s">
        <v>10</v>
      </c>
      <c r="D288" t="s">
        <v>10</v>
      </c>
      <c r="E288" t="str">
        <f>"$ 375,423"</f>
        <v>$ 375,423</v>
      </c>
      <c r="F288" s="1">
        <v>19482</v>
      </c>
    </row>
    <row r="289" spans="1:6">
      <c r="A289" t="s">
        <v>292</v>
      </c>
      <c r="B289" t="str">
        <f>"0.04842%"</f>
        <v>0.04842%</v>
      </c>
      <c r="C289" t="s">
        <v>10</v>
      </c>
      <c r="D289" t="s">
        <v>10</v>
      </c>
      <c r="E289" t="str">
        <f>"$ 373,894"</f>
        <v>$ 373,894</v>
      </c>
      <c r="F289" s="1">
        <v>1473</v>
      </c>
    </row>
    <row r="290" spans="1:6">
      <c r="A290" t="s">
        <v>293</v>
      </c>
      <c r="B290" t="str">
        <f>"0.04820%"</f>
        <v>0.04820%</v>
      </c>
      <c r="C290" t="s">
        <v>10</v>
      </c>
      <c r="D290" t="s">
        <v>10</v>
      </c>
      <c r="E290" t="str">
        <f>"$ 372,226"</f>
        <v>$ 372,226</v>
      </c>
      <c r="F290" s="1">
        <v>10079</v>
      </c>
    </row>
    <row r="291" spans="1:6">
      <c r="A291" t="s">
        <v>294</v>
      </c>
      <c r="B291" t="str">
        <f>"0.04817%"</f>
        <v>0.04817%</v>
      </c>
      <c r="C291" t="s">
        <v>10</v>
      </c>
      <c r="D291" t="s">
        <v>10</v>
      </c>
      <c r="E291" t="str">
        <f>"$ 371,940"</f>
        <v>$ 371,940</v>
      </c>
      <c r="F291" s="1">
        <v>69687</v>
      </c>
    </row>
    <row r="292" spans="1:6">
      <c r="A292" t="s">
        <v>295</v>
      </c>
      <c r="B292" t="str">
        <f>"0.04809%"</f>
        <v>0.04809%</v>
      </c>
      <c r="C292" t="s">
        <v>10</v>
      </c>
      <c r="D292" t="s">
        <v>10</v>
      </c>
      <c r="E292" t="str">
        <f>"$ 371,372"</f>
        <v>$ 371,372</v>
      </c>
      <c r="F292" s="1">
        <v>4708</v>
      </c>
    </row>
    <row r="293" spans="1:6">
      <c r="A293" t="s">
        <v>296</v>
      </c>
      <c r="B293" t="str">
        <f>"0.04778%"</f>
        <v>0.04778%</v>
      </c>
      <c r="C293" t="s">
        <v>10</v>
      </c>
      <c r="D293" t="s">
        <v>10</v>
      </c>
      <c r="E293" t="str">
        <f>"$ 368,984"</f>
        <v>$ 368,984</v>
      </c>
      <c r="F293" s="1">
        <v>2145</v>
      </c>
    </row>
    <row r="294" spans="1:6">
      <c r="A294" t="s">
        <v>297</v>
      </c>
      <c r="B294" t="str">
        <f>"0.04764%"</f>
        <v>0.04764%</v>
      </c>
      <c r="C294" t="s">
        <v>10</v>
      </c>
      <c r="D294" t="s">
        <v>10</v>
      </c>
      <c r="E294" t="str">
        <f>"$ 367,865"</f>
        <v>$ 367,865</v>
      </c>
      <c r="F294">
        <v>463</v>
      </c>
    </row>
    <row r="295" spans="1:6">
      <c r="A295" t="s">
        <v>298</v>
      </c>
      <c r="B295" t="str">
        <f>"0.04752%"</f>
        <v>0.04752%</v>
      </c>
      <c r="C295" t="s">
        <v>10</v>
      </c>
      <c r="D295" t="s">
        <v>10</v>
      </c>
      <c r="E295" t="str">
        <f>"$ 366,959"</f>
        <v>$ 366,959</v>
      </c>
      <c r="F295" s="1">
        <v>7868</v>
      </c>
    </row>
    <row r="296" spans="1:6">
      <c r="A296" t="s">
        <v>299</v>
      </c>
      <c r="B296" t="str">
        <f>"0.04733%"</f>
        <v>0.04733%</v>
      </c>
      <c r="C296" t="s">
        <v>10</v>
      </c>
      <c r="D296" t="s">
        <v>10</v>
      </c>
      <c r="E296" t="str">
        <f>"$ 365,480"</f>
        <v>$ 365,480</v>
      </c>
      <c r="F296" s="1">
        <v>1526</v>
      </c>
    </row>
    <row r="297" spans="1:6">
      <c r="A297" t="s">
        <v>300</v>
      </c>
      <c r="B297" t="str">
        <f>"0.04733%"</f>
        <v>0.04733%</v>
      </c>
      <c r="C297" t="s">
        <v>10</v>
      </c>
      <c r="D297" t="s">
        <v>10</v>
      </c>
      <c r="E297" t="str">
        <f>"$ 365,489"</f>
        <v>$ 365,489</v>
      </c>
      <c r="F297" s="1">
        <v>3213</v>
      </c>
    </row>
    <row r="298" spans="1:6">
      <c r="A298" t="s">
        <v>301</v>
      </c>
      <c r="B298" t="str">
        <f>"0.04727%"</f>
        <v>0.04727%</v>
      </c>
      <c r="C298" t="s">
        <v>10</v>
      </c>
      <c r="D298" t="s">
        <v>10</v>
      </c>
      <c r="E298" t="str">
        <f>"$ 364,988"</f>
        <v>$ 364,988</v>
      </c>
      <c r="F298" s="1">
        <v>4802</v>
      </c>
    </row>
    <row r="299" spans="1:6">
      <c r="A299" t="s">
        <v>302</v>
      </c>
      <c r="B299" t="str">
        <f>"0.04723%"</f>
        <v>0.04723%</v>
      </c>
      <c r="C299" t="s">
        <v>10</v>
      </c>
      <c r="D299" t="s">
        <v>10</v>
      </c>
      <c r="E299" t="str">
        <f>"$ 364,670"</f>
        <v>$ 364,670</v>
      </c>
      <c r="F299" s="1">
        <v>11339</v>
      </c>
    </row>
    <row r="300" spans="1:6">
      <c r="A300" t="s">
        <v>303</v>
      </c>
      <c r="B300" t="str">
        <f>"0.04718%"</f>
        <v>0.04718%</v>
      </c>
      <c r="C300" t="s">
        <v>10</v>
      </c>
      <c r="D300" t="s">
        <v>10</v>
      </c>
      <c r="E300" t="str">
        <f>"$ 364,302"</f>
        <v>$ 364,302</v>
      </c>
      <c r="F300" s="1">
        <v>3831</v>
      </c>
    </row>
    <row r="301" spans="1:6">
      <c r="A301" t="s">
        <v>304</v>
      </c>
      <c r="B301" t="str">
        <f>"0.04700%"</f>
        <v>0.04700%</v>
      </c>
      <c r="C301" t="s">
        <v>10</v>
      </c>
      <c r="D301" t="s">
        <v>10</v>
      </c>
      <c r="E301" t="str">
        <f>"$ 362,962"</f>
        <v>$ 362,962</v>
      </c>
      <c r="F301" s="1">
        <v>2919</v>
      </c>
    </row>
    <row r="302" spans="1:6">
      <c r="A302" t="s">
        <v>305</v>
      </c>
      <c r="B302" t="str">
        <f>"0.04692%"</f>
        <v>0.04692%</v>
      </c>
      <c r="C302" t="s">
        <v>10</v>
      </c>
      <c r="D302" t="s">
        <v>10</v>
      </c>
      <c r="E302" t="str">
        <f>"$ 362,283"</f>
        <v>$ 362,283</v>
      </c>
      <c r="F302" s="1">
        <v>1738</v>
      </c>
    </row>
    <row r="303" spans="1:6">
      <c r="A303" t="s">
        <v>306</v>
      </c>
      <c r="B303" t="str">
        <f>"0.04678%"</f>
        <v>0.04678%</v>
      </c>
      <c r="C303" t="s">
        <v>10</v>
      </c>
      <c r="D303" t="s">
        <v>10</v>
      </c>
      <c r="E303" t="str">
        <f>"$ 361,249"</f>
        <v>$ 361,249</v>
      </c>
      <c r="F303" s="1">
        <v>10663</v>
      </c>
    </row>
    <row r="304" spans="1:6">
      <c r="A304" t="s">
        <v>307</v>
      </c>
      <c r="B304" t="str">
        <f>"0.04670%"</f>
        <v>0.04670%</v>
      </c>
      <c r="C304" t="s">
        <v>10</v>
      </c>
      <c r="D304" t="s">
        <v>10</v>
      </c>
      <c r="E304" t="str">
        <f>"$ 360,603"</f>
        <v>$ 360,603</v>
      </c>
      <c r="F304" s="1">
        <v>1494</v>
      </c>
    </row>
    <row r="305" spans="1:6">
      <c r="A305" t="s">
        <v>308</v>
      </c>
      <c r="B305" t="str">
        <f>"0.04669%"</f>
        <v>0.04669%</v>
      </c>
      <c r="C305" t="s">
        <v>10</v>
      </c>
      <c r="D305" t="s">
        <v>10</v>
      </c>
      <c r="E305" t="str">
        <f>"$ 360,577"</f>
        <v>$ 360,577</v>
      </c>
      <c r="F305" s="1">
        <v>1593</v>
      </c>
    </row>
    <row r="306" spans="1:6">
      <c r="A306" t="s">
        <v>309</v>
      </c>
      <c r="B306" t="str">
        <f>"0.04667%"</f>
        <v>0.04667%</v>
      </c>
      <c r="C306" t="s">
        <v>10</v>
      </c>
      <c r="D306" t="s">
        <v>10</v>
      </c>
      <c r="E306" t="str">
        <f>"$ 360,352"</f>
        <v>$ 360,352</v>
      </c>
      <c r="F306" s="1">
        <v>2545</v>
      </c>
    </row>
    <row r="307" spans="1:6">
      <c r="A307" t="s">
        <v>310</v>
      </c>
      <c r="B307" t="str">
        <f>"0.04641%"</f>
        <v>0.04641%</v>
      </c>
      <c r="C307" t="s">
        <v>10</v>
      </c>
      <c r="D307" t="s">
        <v>10</v>
      </c>
      <c r="E307" t="str">
        <f>"$ 358,401"</f>
        <v>$ 358,401</v>
      </c>
      <c r="F307" s="1">
        <v>4994</v>
      </c>
    </row>
    <row r="308" spans="1:6">
      <c r="A308" t="s">
        <v>311</v>
      </c>
      <c r="B308" t="str">
        <f>"0.04638%"</f>
        <v>0.04638%</v>
      </c>
      <c r="C308" t="s">
        <v>10</v>
      </c>
      <c r="D308" t="s">
        <v>10</v>
      </c>
      <c r="E308" t="str">
        <f>"$ 358,147"</f>
        <v>$ 358,147</v>
      </c>
      <c r="F308" s="1">
        <v>5383</v>
      </c>
    </row>
    <row r="309" spans="1:6">
      <c r="A309" t="s">
        <v>312</v>
      </c>
      <c r="B309" t="str">
        <f>"0.04620%"</f>
        <v>0.04620%</v>
      </c>
      <c r="C309" t="s">
        <v>10</v>
      </c>
      <c r="D309" t="s">
        <v>10</v>
      </c>
      <c r="E309" t="str">
        <f>"$ 356,731"</f>
        <v>$ 356,731</v>
      </c>
      <c r="F309" s="1">
        <v>2291</v>
      </c>
    </row>
    <row r="310" spans="1:6">
      <c r="A310" t="s">
        <v>313</v>
      </c>
      <c r="B310" t="str">
        <f>"0.04618%"</f>
        <v>0.04618%</v>
      </c>
      <c r="C310" t="s">
        <v>10</v>
      </c>
      <c r="D310" t="s">
        <v>10</v>
      </c>
      <c r="E310" t="str">
        <f>"$ 356,589"</f>
        <v>$ 356,589</v>
      </c>
      <c r="F310" s="1">
        <v>15543</v>
      </c>
    </row>
    <row r="311" spans="1:6">
      <c r="A311" t="s">
        <v>314</v>
      </c>
      <c r="B311" t="str">
        <f>"0.04574%"</f>
        <v>0.04574%</v>
      </c>
      <c r="C311" t="s">
        <v>10</v>
      </c>
      <c r="D311" t="s">
        <v>10</v>
      </c>
      <c r="E311" t="str">
        <f>"$ 353,230"</f>
        <v>$ 353,230</v>
      </c>
      <c r="F311" s="1">
        <v>5122</v>
      </c>
    </row>
    <row r="312" spans="1:6">
      <c r="A312" t="s">
        <v>315</v>
      </c>
      <c r="B312" t="str">
        <f>"0.04561%"</f>
        <v>0.04561%</v>
      </c>
      <c r="C312" t="s">
        <v>10</v>
      </c>
      <c r="D312" t="s">
        <v>10</v>
      </c>
      <c r="E312" t="str">
        <f>"$ 352,182"</f>
        <v>$ 352,182</v>
      </c>
      <c r="F312" s="1">
        <v>1581</v>
      </c>
    </row>
    <row r="313" spans="1:6">
      <c r="A313" t="s">
        <v>316</v>
      </c>
      <c r="B313" t="str">
        <f>"0.04557%"</f>
        <v>0.04557%</v>
      </c>
      <c r="C313" t="s">
        <v>10</v>
      </c>
      <c r="D313" t="s">
        <v>10</v>
      </c>
      <c r="E313" t="str">
        <f>"$ 351,862"</f>
        <v>$ 351,862</v>
      </c>
      <c r="F313" s="1">
        <v>4315</v>
      </c>
    </row>
    <row r="314" spans="1:6">
      <c r="A314" t="s">
        <v>317</v>
      </c>
      <c r="B314" t="str">
        <f>"0.04552%"</f>
        <v>0.04552%</v>
      </c>
      <c r="C314" t="s">
        <v>10</v>
      </c>
      <c r="D314" t="s">
        <v>10</v>
      </c>
      <c r="E314" t="str">
        <f>"$ 351,533"</f>
        <v>$ 351,533</v>
      </c>
      <c r="F314" s="1">
        <v>3067</v>
      </c>
    </row>
    <row r="315" spans="1:6">
      <c r="A315" t="s">
        <v>318</v>
      </c>
      <c r="B315" t="str">
        <f>"0.04550%"</f>
        <v>0.04550%</v>
      </c>
      <c r="C315" t="s">
        <v>10</v>
      </c>
      <c r="D315" t="s">
        <v>10</v>
      </c>
      <c r="E315" t="str">
        <f>"$ 351,314"</f>
        <v>$ 351,314</v>
      </c>
      <c r="F315" s="1">
        <v>5950</v>
      </c>
    </row>
    <row r="316" spans="1:6">
      <c r="A316" t="s">
        <v>319</v>
      </c>
      <c r="B316" t="str">
        <f>"0.04532%"</f>
        <v>0.04532%</v>
      </c>
      <c r="C316" t="s">
        <v>10</v>
      </c>
      <c r="D316" t="s">
        <v>10</v>
      </c>
      <c r="E316" t="str">
        <f>"$ 349,990"</f>
        <v>$ 349,990</v>
      </c>
      <c r="F316" s="1">
        <v>3581</v>
      </c>
    </row>
    <row r="317" spans="1:6">
      <c r="A317" t="s">
        <v>320</v>
      </c>
      <c r="B317" t="str">
        <f>"0.04508%"</f>
        <v>0.04508%</v>
      </c>
      <c r="C317" t="s">
        <v>10</v>
      </c>
      <c r="D317" t="s">
        <v>10</v>
      </c>
      <c r="E317" t="str">
        <f>"$ 348,073"</f>
        <v>$ 348,073</v>
      </c>
      <c r="F317" s="1">
        <v>15167</v>
      </c>
    </row>
    <row r="318" spans="1:6">
      <c r="A318" t="s">
        <v>321</v>
      </c>
      <c r="B318" t="str">
        <f>"0.04496%"</f>
        <v>0.04496%</v>
      </c>
      <c r="C318" t="s">
        <v>10</v>
      </c>
      <c r="D318" t="s">
        <v>10</v>
      </c>
      <c r="E318" t="str">
        <f>"$ 347,198"</f>
        <v>$ 347,198</v>
      </c>
      <c r="F318" s="1">
        <v>6490</v>
      </c>
    </row>
    <row r="319" spans="1:6">
      <c r="A319" t="s">
        <v>322</v>
      </c>
      <c r="B319" t="str">
        <f>"0.04476%"</f>
        <v>0.04476%</v>
      </c>
      <c r="C319" t="s">
        <v>10</v>
      </c>
      <c r="D319" t="s">
        <v>10</v>
      </c>
      <c r="E319" t="str">
        <f>"$ 345,661"</f>
        <v>$ 345,661</v>
      </c>
      <c r="F319" s="1">
        <v>5424</v>
      </c>
    </row>
    <row r="320" spans="1:6">
      <c r="A320" t="s">
        <v>323</v>
      </c>
      <c r="B320" t="str">
        <f>"0.04463%"</f>
        <v>0.04463%</v>
      </c>
      <c r="C320" t="s">
        <v>10</v>
      </c>
      <c r="D320" t="s">
        <v>10</v>
      </c>
      <c r="E320" t="str">
        <f>"$ 344,624"</f>
        <v>$ 344,624</v>
      </c>
      <c r="F320" s="1">
        <v>2729</v>
      </c>
    </row>
    <row r="321" spans="1:6">
      <c r="A321" t="s">
        <v>324</v>
      </c>
      <c r="B321" t="str">
        <f>"0.04446%"</f>
        <v>0.04446%</v>
      </c>
      <c r="C321" t="s">
        <v>10</v>
      </c>
      <c r="D321" t="s">
        <v>10</v>
      </c>
      <c r="E321" t="str">
        <f>"$ 343,318"</f>
        <v>$ 343,318</v>
      </c>
      <c r="F321" s="1">
        <v>24523</v>
      </c>
    </row>
    <row r="322" spans="1:6">
      <c r="A322" t="s">
        <v>325</v>
      </c>
      <c r="B322" t="str">
        <f>"0.04443%"</f>
        <v>0.04443%</v>
      </c>
      <c r="C322" t="s">
        <v>10</v>
      </c>
      <c r="D322" t="s">
        <v>10</v>
      </c>
      <c r="E322" t="str">
        <f>"$ 343,054"</f>
        <v>$ 343,054</v>
      </c>
      <c r="F322" s="1">
        <v>4795</v>
      </c>
    </row>
    <row r="323" spans="1:6">
      <c r="A323" t="s">
        <v>326</v>
      </c>
      <c r="B323" t="str">
        <f>"0.04405%"</f>
        <v>0.04405%</v>
      </c>
      <c r="C323" t="s">
        <v>10</v>
      </c>
      <c r="D323" t="s">
        <v>10</v>
      </c>
      <c r="E323" t="str">
        <f>"$ 340,120"</f>
        <v>$ 340,120</v>
      </c>
      <c r="F323" s="1">
        <v>41641</v>
      </c>
    </row>
    <row r="324" spans="1:6">
      <c r="A324" t="s">
        <v>327</v>
      </c>
      <c r="B324" t="str">
        <f>"0.04371%"</f>
        <v>0.04371%</v>
      </c>
      <c r="C324" t="s">
        <v>10</v>
      </c>
      <c r="D324" t="s">
        <v>10</v>
      </c>
      <c r="E324" t="str">
        <f>"$ 337,514"</f>
        <v>$ 337,514</v>
      </c>
      <c r="F324" s="1">
        <v>3254</v>
      </c>
    </row>
    <row r="325" spans="1:6">
      <c r="A325" t="s">
        <v>328</v>
      </c>
      <c r="B325" t="str">
        <f>"0.04335%"</f>
        <v>0.04335%</v>
      </c>
      <c r="C325" t="s">
        <v>10</v>
      </c>
      <c r="D325" t="s">
        <v>10</v>
      </c>
      <c r="E325" t="str">
        <f>"$ 334,777"</f>
        <v>$ 334,777</v>
      </c>
      <c r="F325" s="1">
        <v>13920</v>
      </c>
    </row>
    <row r="326" spans="1:6">
      <c r="A326" t="s">
        <v>329</v>
      </c>
      <c r="B326" t="str">
        <f>"0.04313%"</f>
        <v>0.04313%</v>
      </c>
      <c r="C326" t="s">
        <v>10</v>
      </c>
      <c r="D326" t="s">
        <v>10</v>
      </c>
      <c r="E326" t="str">
        <f>"$ 333,045"</f>
        <v>$ 333,045</v>
      </c>
      <c r="F326" s="1">
        <v>10854</v>
      </c>
    </row>
    <row r="327" spans="1:6">
      <c r="A327" t="s">
        <v>330</v>
      </c>
      <c r="B327" t="str">
        <f>"0.04286%"</f>
        <v>0.04286%</v>
      </c>
      <c r="C327" t="s">
        <v>10</v>
      </c>
      <c r="D327" t="s">
        <v>10</v>
      </c>
      <c r="E327" t="str">
        <f>"$ 330,936"</f>
        <v>$ 330,936</v>
      </c>
      <c r="F327" s="1">
        <v>5782</v>
      </c>
    </row>
    <row r="328" spans="1:6">
      <c r="A328" t="s">
        <v>331</v>
      </c>
      <c r="B328" t="str">
        <f>"0.04280%"</f>
        <v>0.04280%</v>
      </c>
      <c r="C328" t="s">
        <v>10</v>
      </c>
      <c r="D328" t="s">
        <v>10</v>
      </c>
      <c r="E328" t="str">
        <f>"$ 330,474"</f>
        <v>$ 330,474</v>
      </c>
      <c r="F328" s="1">
        <v>93800</v>
      </c>
    </row>
    <row r="329" spans="1:6">
      <c r="A329" t="s">
        <v>332</v>
      </c>
      <c r="B329" t="str">
        <f>"0.04266%"</f>
        <v>0.04266%</v>
      </c>
      <c r="C329" t="s">
        <v>10</v>
      </c>
      <c r="D329" t="s">
        <v>10</v>
      </c>
      <c r="E329" t="str">
        <f>"$ 329,386"</f>
        <v>$ 329,386</v>
      </c>
      <c r="F329" s="1">
        <v>9859</v>
      </c>
    </row>
    <row r="330" spans="1:6">
      <c r="A330" t="s">
        <v>333</v>
      </c>
      <c r="B330" t="str">
        <f>"0.04246%"</f>
        <v>0.04246%</v>
      </c>
      <c r="C330" t="s">
        <v>10</v>
      </c>
      <c r="D330" t="s">
        <v>10</v>
      </c>
      <c r="E330" t="str">
        <f>"$ 327,864"</f>
        <v>$ 327,864</v>
      </c>
      <c r="F330" s="1">
        <v>156457</v>
      </c>
    </row>
    <row r="331" spans="1:6">
      <c r="A331" t="s">
        <v>334</v>
      </c>
      <c r="B331" t="str">
        <f>"0.04230%"</f>
        <v>0.04230%</v>
      </c>
      <c r="C331" t="s">
        <v>10</v>
      </c>
      <c r="D331" t="s">
        <v>10</v>
      </c>
      <c r="E331" t="str">
        <f>"$ 326,607"</f>
        <v>$ 326,607</v>
      </c>
      <c r="F331" s="1">
        <v>4762</v>
      </c>
    </row>
    <row r="332" spans="1:6">
      <c r="A332" t="s">
        <v>335</v>
      </c>
      <c r="B332" t="str">
        <f>"0.04227%"</f>
        <v>0.04227%</v>
      </c>
      <c r="C332" t="s">
        <v>10</v>
      </c>
      <c r="D332" t="s">
        <v>10</v>
      </c>
      <c r="E332" t="str">
        <f>"$ 326,443"</f>
        <v>$ 326,443</v>
      </c>
      <c r="F332" s="1">
        <v>1367</v>
      </c>
    </row>
    <row r="333" spans="1:6">
      <c r="A333" t="s">
        <v>336</v>
      </c>
      <c r="B333" t="str">
        <f>"0.04192%"</f>
        <v>0.04192%</v>
      </c>
      <c r="C333" t="s">
        <v>10</v>
      </c>
      <c r="D333" t="s">
        <v>10</v>
      </c>
      <c r="E333" t="str">
        <f>"$ 323,723"</f>
        <v>$ 323,723</v>
      </c>
      <c r="F333" s="1">
        <v>1122</v>
      </c>
    </row>
    <row r="334" spans="1:6">
      <c r="A334" t="s">
        <v>337</v>
      </c>
      <c r="B334" t="str">
        <f>"0.04168%"</f>
        <v>0.04168%</v>
      </c>
      <c r="C334" t="s">
        <v>10</v>
      </c>
      <c r="D334" t="s">
        <v>10</v>
      </c>
      <c r="E334" t="str">
        <f>"$ 321,882"</f>
        <v>$ 321,882</v>
      </c>
      <c r="F334" s="1">
        <v>2650</v>
      </c>
    </row>
    <row r="335" spans="1:6">
      <c r="A335" t="s">
        <v>338</v>
      </c>
      <c r="B335" t="str">
        <f>"0.04166%"</f>
        <v>0.04166%</v>
      </c>
      <c r="C335" t="s">
        <v>10</v>
      </c>
      <c r="D335" t="s">
        <v>10</v>
      </c>
      <c r="E335" t="str">
        <f>"$ 321,701"</f>
        <v>$ 321,701</v>
      </c>
      <c r="F335" s="1">
        <v>3147</v>
      </c>
    </row>
    <row r="336" spans="1:6">
      <c r="A336" t="s">
        <v>339</v>
      </c>
      <c r="B336" t="str">
        <f>"0.04153%"</f>
        <v>0.04153%</v>
      </c>
      <c r="C336" t="s">
        <v>10</v>
      </c>
      <c r="D336" t="s">
        <v>10</v>
      </c>
      <c r="E336" t="str">
        <f>"$ 320,684"</f>
        <v>$ 320,684</v>
      </c>
      <c r="F336" s="1">
        <v>9558</v>
      </c>
    </row>
    <row r="337" spans="1:6">
      <c r="A337" t="s">
        <v>340</v>
      </c>
      <c r="B337" t="str">
        <f>"0.04140%"</f>
        <v>0.04140%</v>
      </c>
      <c r="C337" t="s">
        <v>10</v>
      </c>
      <c r="D337" t="s">
        <v>10</v>
      </c>
      <c r="E337" t="str">
        <f>"$ 319,684"</f>
        <v>$ 319,684</v>
      </c>
      <c r="F337" s="1">
        <v>12646</v>
      </c>
    </row>
    <row r="338" spans="1:6">
      <c r="A338" t="s">
        <v>341</v>
      </c>
      <c r="B338" t="str">
        <f>"0.04139%"</f>
        <v>0.04139%</v>
      </c>
      <c r="C338" t="s">
        <v>10</v>
      </c>
      <c r="D338" t="s">
        <v>10</v>
      </c>
      <c r="E338" t="str">
        <f>"$ 319,601"</f>
        <v>$ 319,601</v>
      </c>
      <c r="F338">
        <v>525</v>
      </c>
    </row>
    <row r="339" spans="1:6">
      <c r="A339" t="s">
        <v>342</v>
      </c>
      <c r="B339" t="str">
        <f>"0.04130%"</f>
        <v>0.04130%</v>
      </c>
      <c r="C339" t="s">
        <v>10</v>
      </c>
      <c r="D339" t="s">
        <v>10</v>
      </c>
      <c r="E339" t="str">
        <f>"$ 318,892"</f>
        <v>$ 318,892</v>
      </c>
      <c r="F339" s="1">
        <v>11979</v>
      </c>
    </row>
    <row r="340" spans="1:6">
      <c r="A340" t="s">
        <v>343</v>
      </c>
      <c r="B340" t="str">
        <f>"0.04117%"</f>
        <v>0.04117%</v>
      </c>
      <c r="C340" t="s">
        <v>10</v>
      </c>
      <c r="D340" t="s">
        <v>10</v>
      </c>
      <c r="E340" t="str">
        <f>"$ 317,931"</f>
        <v>$ 317,931</v>
      </c>
      <c r="F340" s="1">
        <v>2524</v>
      </c>
    </row>
    <row r="341" spans="1:6">
      <c r="A341" t="s">
        <v>344</v>
      </c>
      <c r="B341" t="str">
        <f>"0.04109%"</f>
        <v>0.04109%</v>
      </c>
      <c r="C341" t="s">
        <v>10</v>
      </c>
      <c r="D341" t="s">
        <v>10</v>
      </c>
      <c r="E341" t="str">
        <f>"$ 317,283"</f>
        <v>$ 317,283</v>
      </c>
      <c r="F341" s="1">
        <v>4701</v>
      </c>
    </row>
    <row r="342" spans="1:6">
      <c r="A342" t="s">
        <v>345</v>
      </c>
      <c r="B342" t="str">
        <f>"0.04101%"</f>
        <v>0.04101%</v>
      </c>
      <c r="C342" t="s">
        <v>10</v>
      </c>
      <c r="D342" t="s">
        <v>10</v>
      </c>
      <c r="E342" t="str">
        <f>"$ 316,657"</f>
        <v>$ 316,657</v>
      </c>
      <c r="F342">
        <v>520</v>
      </c>
    </row>
    <row r="343" spans="1:6">
      <c r="A343" t="s">
        <v>346</v>
      </c>
      <c r="B343" t="str">
        <f>"0.04072%"</f>
        <v>0.04072%</v>
      </c>
      <c r="C343" t="s">
        <v>10</v>
      </c>
      <c r="D343" t="s">
        <v>10</v>
      </c>
      <c r="E343" t="str">
        <f>"$ 314,463"</f>
        <v>$ 314,463</v>
      </c>
      <c r="F343" s="1">
        <v>28066</v>
      </c>
    </row>
    <row r="344" spans="1:6">
      <c r="A344" t="s">
        <v>347</v>
      </c>
      <c r="B344" t="str">
        <f>"0.04055%"</f>
        <v>0.04055%</v>
      </c>
      <c r="C344" t="s">
        <v>10</v>
      </c>
      <c r="D344" t="s">
        <v>10</v>
      </c>
      <c r="E344" t="str">
        <f>"$ 313,130"</f>
        <v>$ 313,130</v>
      </c>
      <c r="F344" s="1">
        <v>1360</v>
      </c>
    </row>
    <row r="345" spans="1:6">
      <c r="A345" t="s">
        <v>348</v>
      </c>
      <c r="B345" t="str">
        <f>"0.04052%"</f>
        <v>0.04052%</v>
      </c>
      <c r="C345" t="s">
        <v>10</v>
      </c>
      <c r="D345" t="s">
        <v>10</v>
      </c>
      <c r="E345" t="str">
        <f>"$ 312,926"</f>
        <v>$ 312,926</v>
      </c>
      <c r="F345" s="1">
        <v>2015</v>
      </c>
    </row>
    <row r="346" spans="1:6">
      <c r="A346" t="s">
        <v>349</v>
      </c>
      <c r="B346" t="str">
        <f>"0.04047%"</f>
        <v>0.04047%</v>
      </c>
      <c r="C346" t="s">
        <v>10</v>
      </c>
      <c r="D346" t="s">
        <v>10</v>
      </c>
      <c r="E346" t="str">
        <f>"$ 312,477"</f>
        <v>$ 312,477</v>
      </c>
      <c r="F346" s="1">
        <v>21655</v>
      </c>
    </row>
    <row r="347" spans="1:6">
      <c r="A347" t="s">
        <v>350</v>
      </c>
      <c r="B347" t="str">
        <f>"0.04041%"</f>
        <v>0.04041%</v>
      </c>
      <c r="C347" t="s">
        <v>10</v>
      </c>
      <c r="D347" t="s">
        <v>10</v>
      </c>
      <c r="E347" t="str">
        <f>"$ 312,014"</f>
        <v>$ 312,014</v>
      </c>
      <c r="F347" s="1">
        <v>3173</v>
      </c>
    </row>
    <row r="348" spans="1:6">
      <c r="A348" t="s">
        <v>351</v>
      </c>
      <c r="B348" t="str">
        <f>"0.04031%"</f>
        <v>0.04031%</v>
      </c>
      <c r="C348" t="s">
        <v>10</v>
      </c>
      <c r="D348" t="s">
        <v>10</v>
      </c>
      <c r="E348" t="str">
        <f>"$ 311,307"</f>
        <v>$ 311,307</v>
      </c>
      <c r="F348" s="1">
        <v>11151</v>
      </c>
    </row>
    <row r="349" spans="1:6">
      <c r="A349" t="s">
        <v>352</v>
      </c>
      <c r="B349" t="str">
        <f>"0.04026%"</f>
        <v>0.04026%</v>
      </c>
      <c r="C349" t="s">
        <v>10</v>
      </c>
      <c r="D349" t="s">
        <v>10</v>
      </c>
      <c r="E349" t="str">
        <f>"$ 310,923"</f>
        <v>$ 310,923</v>
      </c>
      <c r="F349" s="1">
        <v>11232</v>
      </c>
    </row>
    <row r="350" spans="1:6">
      <c r="A350" t="s">
        <v>353</v>
      </c>
      <c r="B350" t="str">
        <f>"0.04024%"</f>
        <v>0.04024%</v>
      </c>
      <c r="C350" t="s">
        <v>10</v>
      </c>
      <c r="D350" t="s">
        <v>10</v>
      </c>
      <c r="E350" t="str">
        <f>"$ 310,723"</f>
        <v>$ 310,723</v>
      </c>
      <c r="F350">
        <v>645</v>
      </c>
    </row>
    <row r="351" spans="1:6">
      <c r="A351" t="s">
        <v>354</v>
      </c>
      <c r="B351" t="str">
        <f>"0.04020%"</f>
        <v>0.04020%</v>
      </c>
      <c r="C351" t="s">
        <v>10</v>
      </c>
      <c r="D351" t="s">
        <v>10</v>
      </c>
      <c r="E351" t="str">
        <f>"$ 310,402"</f>
        <v>$ 310,402</v>
      </c>
      <c r="F351">
        <v>676</v>
      </c>
    </row>
    <row r="352" spans="1:6">
      <c r="A352" t="s">
        <v>355</v>
      </c>
      <c r="B352" t="str">
        <f>"0.04011%"</f>
        <v>0.04011%</v>
      </c>
      <c r="C352" t="s">
        <v>10</v>
      </c>
      <c r="D352" t="s">
        <v>10</v>
      </c>
      <c r="E352" t="str">
        <f>"$ 309,715"</f>
        <v>$ 309,715</v>
      </c>
      <c r="F352">
        <v>921</v>
      </c>
    </row>
    <row r="353" spans="1:6">
      <c r="A353" t="s">
        <v>356</v>
      </c>
      <c r="B353" t="str">
        <f>"0.04006%"</f>
        <v>0.04006%</v>
      </c>
      <c r="C353" t="s">
        <v>10</v>
      </c>
      <c r="D353" t="s">
        <v>10</v>
      </c>
      <c r="E353" t="str">
        <f>"$ 309,326"</f>
        <v>$ 309,326</v>
      </c>
      <c r="F353" s="1">
        <v>1321</v>
      </c>
    </row>
    <row r="354" spans="1:6">
      <c r="A354" t="s">
        <v>357</v>
      </c>
      <c r="B354" t="str">
        <f>"0.03994%"</f>
        <v>0.03994%</v>
      </c>
      <c r="C354" t="s">
        <v>10</v>
      </c>
      <c r="D354" t="s">
        <v>10</v>
      </c>
      <c r="E354" t="str">
        <f>"$ 308,428"</f>
        <v>$ 308,428</v>
      </c>
      <c r="F354" s="1">
        <v>7010</v>
      </c>
    </row>
    <row r="355" spans="1:6">
      <c r="A355" t="s">
        <v>358</v>
      </c>
      <c r="B355" t="str">
        <f>"0.03993%"</f>
        <v>0.03993%</v>
      </c>
      <c r="C355" t="s">
        <v>10</v>
      </c>
      <c r="D355" t="s">
        <v>10</v>
      </c>
      <c r="E355" t="str">
        <f>"$ 308,331"</f>
        <v>$ 308,331</v>
      </c>
      <c r="F355" s="1">
        <v>21029</v>
      </c>
    </row>
    <row r="356" spans="1:6">
      <c r="A356" t="s">
        <v>359</v>
      </c>
      <c r="B356" t="str">
        <f>"0.03986%"</f>
        <v>0.03986%</v>
      </c>
      <c r="C356" t="s">
        <v>10</v>
      </c>
      <c r="D356" t="s">
        <v>10</v>
      </c>
      <c r="E356" t="str">
        <f>"$ 307,765"</f>
        <v>$ 307,765</v>
      </c>
      <c r="F356" s="1">
        <v>4765</v>
      </c>
    </row>
    <row r="357" spans="1:6">
      <c r="A357" t="s">
        <v>360</v>
      </c>
      <c r="B357" t="str">
        <f>"0.03983%"</f>
        <v>0.03983%</v>
      </c>
      <c r="C357" t="s">
        <v>10</v>
      </c>
      <c r="D357" t="s">
        <v>10</v>
      </c>
      <c r="E357" t="str">
        <f>"$ 307,581"</f>
        <v>$ 307,581</v>
      </c>
      <c r="F357" s="1">
        <v>3152</v>
      </c>
    </row>
    <row r="358" spans="1:6">
      <c r="A358" t="s">
        <v>361</v>
      </c>
      <c r="B358" t="str">
        <f>"0.03977%"</f>
        <v>0.03977%</v>
      </c>
      <c r="C358" t="s">
        <v>10</v>
      </c>
      <c r="D358" t="s">
        <v>10</v>
      </c>
      <c r="E358" t="str">
        <f>"$ 307,108"</f>
        <v>$ 307,108</v>
      </c>
      <c r="F358" s="1">
        <v>106600</v>
      </c>
    </row>
    <row r="359" spans="1:6">
      <c r="A359" t="s">
        <v>362</v>
      </c>
      <c r="B359" t="str">
        <f>"0.03954%"</f>
        <v>0.03954%</v>
      </c>
      <c r="C359" t="s">
        <v>10</v>
      </c>
      <c r="D359" t="s">
        <v>10</v>
      </c>
      <c r="E359" t="str">
        <f>"$ 305,289"</f>
        <v>$ 305,289</v>
      </c>
      <c r="F359" s="1">
        <v>1294</v>
      </c>
    </row>
    <row r="360" spans="1:6">
      <c r="A360" t="s">
        <v>363</v>
      </c>
      <c r="B360" t="str">
        <f>"0.03930%"</f>
        <v>0.03930%</v>
      </c>
      <c r="C360" t="s">
        <v>10</v>
      </c>
      <c r="D360" t="s">
        <v>10</v>
      </c>
      <c r="E360" t="str">
        <f>"$ 303,458"</f>
        <v>$ 303,458</v>
      </c>
      <c r="F360" s="1">
        <v>2936</v>
      </c>
    </row>
    <row r="361" spans="1:6">
      <c r="A361" t="s">
        <v>364</v>
      </c>
      <c r="B361" t="str">
        <f>"0.03913%"</f>
        <v>0.03913%</v>
      </c>
      <c r="C361" t="s">
        <v>10</v>
      </c>
      <c r="D361" t="s">
        <v>10</v>
      </c>
      <c r="E361" t="str">
        <f>"$ 302,149"</f>
        <v>$ 302,149</v>
      </c>
      <c r="F361" s="1">
        <v>1204</v>
      </c>
    </row>
    <row r="362" spans="1:6">
      <c r="A362" t="s">
        <v>365</v>
      </c>
      <c r="B362" t="str">
        <f>"0.03913%"</f>
        <v>0.03913%</v>
      </c>
      <c r="C362" t="s">
        <v>10</v>
      </c>
      <c r="D362" t="s">
        <v>10</v>
      </c>
      <c r="E362" t="str">
        <f>"$ 302,127"</f>
        <v>$ 302,127</v>
      </c>
      <c r="F362" s="1">
        <v>2309</v>
      </c>
    </row>
    <row r="363" spans="1:6">
      <c r="A363" t="s">
        <v>366</v>
      </c>
      <c r="B363" t="str">
        <f>"0.03907%"</f>
        <v>0.03907%</v>
      </c>
      <c r="C363" t="s">
        <v>10</v>
      </c>
      <c r="D363" t="s">
        <v>10</v>
      </c>
      <c r="E363" t="str">
        <f>"$ 301,700"</f>
        <v>$ 301,700</v>
      </c>
      <c r="F363" s="1">
        <v>36306</v>
      </c>
    </row>
    <row r="364" spans="1:6">
      <c r="A364" t="s">
        <v>367</v>
      </c>
      <c r="B364" t="str">
        <f>"0.03905%"</f>
        <v>0.03905%</v>
      </c>
      <c r="C364" t="s">
        <v>10</v>
      </c>
      <c r="D364" t="s">
        <v>10</v>
      </c>
      <c r="E364" t="str">
        <f>"$ 301,532"</f>
        <v>$ 301,532</v>
      </c>
      <c r="F364" s="1">
        <v>9865</v>
      </c>
    </row>
    <row r="365" spans="1:6">
      <c r="A365" t="s">
        <v>368</v>
      </c>
      <c r="B365" t="str">
        <f>"0.03905%"</f>
        <v>0.03905%</v>
      </c>
      <c r="C365" t="s">
        <v>10</v>
      </c>
      <c r="D365" t="s">
        <v>10</v>
      </c>
      <c r="E365" t="str">
        <f>"$ 301,530"</f>
        <v>$ 301,530</v>
      </c>
      <c r="F365" s="1">
        <v>2586</v>
      </c>
    </row>
    <row r="366" spans="1:6">
      <c r="A366" t="s">
        <v>369</v>
      </c>
      <c r="B366" t="str">
        <f>"0.03888%"</f>
        <v>0.03888%</v>
      </c>
      <c r="C366" t="s">
        <v>10</v>
      </c>
      <c r="D366" t="s">
        <v>10</v>
      </c>
      <c r="E366" t="str">
        <f>"$ 300,251"</f>
        <v>$ 300,251</v>
      </c>
      <c r="F366" s="1">
        <v>1559</v>
      </c>
    </row>
    <row r="367" spans="1:6">
      <c r="A367" t="s">
        <v>370</v>
      </c>
      <c r="B367" t="str">
        <f>"0.03877%"</f>
        <v>0.03877%</v>
      </c>
      <c r="C367" t="s">
        <v>10</v>
      </c>
      <c r="D367" t="s">
        <v>10</v>
      </c>
      <c r="E367" t="str">
        <f>"$ 299,418"</f>
        <v>$ 299,418</v>
      </c>
      <c r="F367" s="1">
        <v>2699</v>
      </c>
    </row>
    <row r="368" spans="1:6">
      <c r="A368" t="s">
        <v>371</v>
      </c>
      <c r="B368" t="str">
        <f>"0.03851%"</f>
        <v>0.03851%</v>
      </c>
      <c r="C368" t="s">
        <v>10</v>
      </c>
      <c r="D368" t="s">
        <v>10</v>
      </c>
      <c r="E368" t="str">
        <f>"$ 297,407"</f>
        <v>$ 297,407</v>
      </c>
      <c r="F368" s="1">
        <v>81705</v>
      </c>
    </row>
    <row r="369" spans="1:6">
      <c r="A369" t="s">
        <v>372</v>
      </c>
      <c r="B369" t="str">
        <f>"0.03849%"</f>
        <v>0.03849%</v>
      </c>
      <c r="C369" t="s">
        <v>10</v>
      </c>
      <c r="D369" t="s">
        <v>10</v>
      </c>
      <c r="E369" t="str">
        <f>"$ 297,240"</f>
        <v>$ 297,240</v>
      </c>
      <c r="F369" s="1">
        <v>3806</v>
      </c>
    </row>
    <row r="370" spans="1:6">
      <c r="A370" t="s">
        <v>373</v>
      </c>
      <c r="B370" t="str">
        <f>"0.03848%"</f>
        <v>0.03848%</v>
      </c>
      <c r="C370" t="s">
        <v>10</v>
      </c>
      <c r="D370" t="s">
        <v>10</v>
      </c>
      <c r="E370" t="str">
        <f>"$ 297,132"</f>
        <v>$ 297,132</v>
      </c>
      <c r="F370" s="1">
        <v>7390</v>
      </c>
    </row>
    <row r="371" spans="1:6">
      <c r="A371" t="s">
        <v>374</v>
      </c>
      <c r="B371" t="str">
        <f>"0.03840%"</f>
        <v>0.03840%</v>
      </c>
      <c r="C371" t="s">
        <v>10</v>
      </c>
      <c r="D371" t="s">
        <v>10</v>
      </c>
      <c r="E371" t="str">
        <f>"$ 296,510"</f>
        <v>$ 296,510</v>
      </c>
      <c r="F371" s="1">
        <v>8033</v>
      </c>
    </row>
    <row r="372" spans="1:6">
      <c r="A372" t="s">
        <v>375</v>
      </c>
      <c r="B372" t="str">
        <f>"0.03829%"</f>
        <v>0.03829%</v>
      </c>
      <c r="C372" t="s">
        <v>10</v>
      </c>
      <c r="D372" t="s">
        <v>10</v>
      </c>
      <c r="E372" t="str">
        <f>"$ 295,672"</f>
        <v>$ 295,672</v>
      </c>
      <c r="F372" s="1">
        <v>1883</v>
      </c>
    </row>
    <row r="373" spans="1:6">
      <c r="A373" t="s">
        <v>376</v>
      </c>
      <c r="B373" t="str">
        <f>"0.03828%"</f>
        <v>0.03828%</v>
      </c>
      <c r="C373" t="s">
        <v>10</v>
      </c>
      <c r="D373" t="s">
        <v>10</v>
      </c>
      <c r="E373" t="str">
        <f>"$ 295,633"</f>
        <v>$ 295,633</v>
      </c>
      <c r="F373" s="1">
        <v>17329</v>
      </c>
    </row>
    <row r="374" spans="1:6">
      <c r="A374" t="s">
        <v>377</v>
      </c>
      <c r="B374" t="str">
        <f>"0.03790%"</f>
        <v>0.03790%</v>
      </c>
      <c r="C374" t="s">
        <v>10</v>
      </c>
      <c r="D374" t="s">
        <v>10</v>
      </c>
      <c r="E374" t="str">
        <f>"$ 292,667"</f>
        <v>$ 292,667</v>
      </c>
      <c r="F374" s="1">
        <v>1789</v>
      </c>
    </row>
    <row r="375" spans="1:6">
      <c r="A375" t="s">
        <v>378</v>
      </c>
      <c r="B375" t="str">
        <f>"0.03787%"</f>
        <v>0.03787%</v>
      </c>
      <c r="C375" t="s">
        <v>10</v>
      </c>
      <c r="D375" t="s">
        <v>10</v>
      </c>
      <c r="E375" t="str">
        <f>"$ 292,447"</f>
        <v>$ 292,447</v>
      </c>
      <c r="F375" s="1">
        <v>1716</v>
      </c>
    </row>
    <row r="376" spans="1:6">
      <c r="A376" t="s">
        <v>379</v>
      </c>
      <c r="B376" t="str">
        <f>"0.03784%"</f>
        <v>0.03784%</v>
      </c>
      <c r="C376" t="s">
        <v>10</v>
      </c>
      <c r="D376" t="s">
        <v>10</v>
      </c>
      <c r="E376" t="str">
        <f>"$ 292,208"</f>
        <v>$ 292,208</v>
      </c>
      <c r="F376" s="1">
        <v>1705</v>
      </c>
    </row>
    <row r="377" spans="1:6">
      <c r="A377" t="s">
        <v>380</v>
      </c>
      <c r="B377" t="str">
        <f>"0.03774%"</f>
        <v>0.03774%</v>
      </c>
      <c r="C377" t="s">
        <v>10</v>
      </c>
      <c r="D377" t="s">
        <v>10</v>
      </c>
      <c r="E377" t="str">
        <f>"$ 291,427"</f>
        <v>$ 291,427</v>
      </c>
      <c r="F377" s="1">
        <v>1595</v>
      </c>
    </row>
    <row r="378" spans="1:6">
      <c r="A378" t="s">
        <v>381</v>
      </c>
      <c r="B378" t="str">
        <f>"0.03773%"</f>
        <v>0.03773%</v>
      </c>
      <c r="C378" t="s">
        <v>10</v>
      </c>
      <c r="D378" t="s">
        <v>10</v>
      </c>
      <c r="E378" t="str">
        <f>"$ 291,358"</f>
        <v>$ 291,358</v>
      </c>
      <c r="F378">
        <v>851</v>
      </c>
    </row>
    <row r="379" spans="1:6">
      <c r="A379" t="s">
        <v>382</v>
      </c>
      <c r="B379" t="str">
        <f>"0.03768%"</f>
        <v>0.03768%</v>
      </c>
      <c r="C379" t="s">
        <v>10</v>
      </c>
      <c r="D379" t="s">
        <v>10</v>
      </c>
      <c r="E379" t="str">
        <f>"$ 290,943"</f>
        <v>$ 290,943</v>
      </c>
      <c r="F379" s="1">
        <v>6332</v>
      </c>
    </row>
    <row r="380" spans="1:6">
      <c r="A380" t="s">
        <v>383</v>
      </c>
      <c r="B380" t="str">
        <f>"0.03764%"</f>
        <v>0.03764%</v>
      </c>
      <c r="C380" t="s">
        <v>10</v>
      </c>
      <c r="D380" t="s">
        <v>10</v>
      </c>
      <c r="E380" t="str">
        <f>"$ 290,672"</f>
        <v>$ 290,672</v>
      </c>
      <c r="F380" s="1">
        <v>3195</v>
      </c>
    </row>
    <row r="381" spans="1:6">
      <c r="A381" t="s">
        <v>384</v>
      </c>
      <c r="B381" t="str">
        <f>"0.03758%"</f>
        <v>0.03758%</v>
      </c>
      <c r="C381" t="s">
        <v>10</v>
      </c>
      <c r="D381" t="s">
        <v>10</v>
      </c>
      <c r="E381" t="str">
        <f>"$ 290,189"</f>
        <v>$ 290,189</v>
      </c>
      <c r="F381" s="1">
        <v>2483</v>
      </c>
    </row>
    <row r="382" spans="1:6">
      <c r="A382" t="s">
        <v>385</v>
      </c>
      <c r="B382" t="str">
        <f>"0.03753%"</f>
        <v>0.03753%</v>
      </c>
      <c r="C382" t="s">
        <v>10</v>
      </c>
      <c r="D382" t="s">
        <v>10</v>
      </c>
      <c r="E382" t="str">
        <f>"$ 289,809"</f>
        <v>$ 289,809</v>
      </c>
      <c r="F382" s="1">
        <v>2293</v>
      </c>
    </row>
    <row r="383" spans="1:6">
      <c r="A383" t="s">
        <v>386</v>
      </c>
      <c r="B383" t="str">
        <f>"0.03752%"</f>
        <v>0.03752%</v>
      </c>
      <c r="C383" t="s">
        <v>10</v>
      </c>
      <c r="D383" t="s">
        <v>10</v>
      </c>
      <c r="E383" t="str">
        <f>"$ 289,699"</f>
        <v>$ 289,699</v>
      </c>
      <c r="F383" s="1">
        <v>16136</v>
      </c>
    </row>
    <row r="384" spans="1:6">
      <c r="A384" t="s">
        <v>387</v>
      </c>
      <c r="B384" t="str">
        <f>"0.03717%"</f>
        <v>0.03717%</v>
      </c>
      <c r="C384" t="s">
        <v>10</v>
      </c>
      <c r="D384" t="s">
        <v>10</v>
      </c>
      <c r="E384" t="str">
        <f>"$ 287,003"</f>
        <v>$ 287,003</v>
      </c>
      <c r="F384" s="1">
        <v>12577</v>
      </c>
    </row>
    <row r="385" spans="1:6">
      <c r="A385" t="s">
        <v>388</v>
      </c>
      <c r="B385" t="str">
        <f>"0.03712%"</f>
        <v>0.03712%</v>
      </c>
      <c r="C385" t="s">
        <v>10</v>
      </c>
      <c r="D385" t="s">
        <v>10</v>
      </c>
      <c r="E385" t="str">
        <f>"$ 286,608"</f>
        <v>$ 286,608</v>
      </c>
      <c r="F385" s="1">
        <v>7552</v>
      </c>
    </row>
    <row r="386" spans="1:6">
      <c r="A386" t="s">
        <v>389</v>
      </c>
      <c r="B386" t="str">
        <f>"0.03706%"</f>
        <v>0.03706%</v>
      </c>
      <c r="C386" t="s">
        <v>10</v>
      </c>
      <c r="D386" t="s">
        <v>10</v>
      </c>
      <c r="E386" t="str">
        <f>"$ 286,201"</f>
        <v>$ 286,201</v>
      </c>
      <c r="F386" s="1">
        <v>3036</v>
      </c>
    </row>
    <row r="387" spans="1:6">
      <c r="A387" t="s">
        <v>390</v>
      </c>
      <c r="B387" t="str">
        <f>"0.03698%"</f>
        <v>0.03698%</v>
      </c>
      <c r="C387" t="s">
        <v>10</v>
      </c>
      <c r="D387" t="s">
        <v>10</v>
      </c>
      <c r="E387" t="str">
        <f>"$ 285,549"</f>
        <v>$ 285,549</v>
      </c>
      <c r="F387" s="1">
        <v>5684</v>
      </c>
    </row>
    <row r="388" spans="1:6">
      <c r="A388" t="s">
        <v>391</v>
      </c>
      <c r="B388" t="str">
        <f>"0.03674%"</f>
        <v>0.03674%</v>
      </c>
      <c r="C388" t="s">
        <v>10</v>
      </c>
      <c r="D388" t="s">
        <v>10</v>
      </c>
      <c r="E388" t="str">
        <f>"$ 283,725"</f>
        <v>$ 283,725</v>
      </c>
      <c r="F388" s="1">
        <v>1666</v>
      </c>
    </row>
    <row r="389" spans="1:6">
      <c r="A389" t="s">
        <v>392</v>
      </c>
      <c r="B389" t="str">
        <f>"0.03660%"</f>
        <v>0.03660%</v>
      </c>
      <c r="C389" t="s">
        <v>10</v>
      </c>
      <c r="D389" t="s">
        <v>10</v>
      </c>
      <c r="E389" t="str">
        <f>"$ 282,634"</f>
        <v>$ 282,634</v>
      </c>
      <c r="F389" s="1">
        <v>441814</v>
      </c>
    </row>
    <row r="390" spans="1:6">
      <c r="A390" t="s">
        <v>393</v>
      </c>
      <c r="B390" t="str">
        <f>"0.03649%"</f>
        <v>0.03649%</v>
      </c>
      <c r="C390" t="s">
        <v>10</v>
      </c>
      <c r="D390" t="s">
        <v>10</v>
      </c>
      <c r="E390" t="str">
        <f>"$ 281,792"</f>
        <v>$ 281,792</v>
      </c>
      <c r="F390" s="1">
        <v>6049</v>
      </c>
    </row>
    <row r="391" spans="1:6">
      <c r="A391" t="s">
        <v>394</v>
      </c>
      <c r="B391" t="str">
        <f>"0.03640%"</f>
        <v>0.03640%</v>
      </c>
      <c r="C391" t="s">
        <v>10</v>
      </c>
      <c r="D391" t="s">
        <v>10</v>
      </c>
      <c r="E391" t="str">
        <f>"$ 281,041"</f>
        <v>$ 281,041</v>
      </c>
      <c r="F391" s="1">
        <v>5414</v>
      </c>
    </row>
    <row r="392" spans="1:6">
      <c r="A392" t="s">
        <v>395</v>
      </c>
      <c r="B392" t="str">
        <f>"0.03628%"</f>
        <v>0.03628%</v>
      </c>
      <c r="C392" t="s">
        <v>10</v>
      </c>
      <c r="D392" t="s">
        <v>10</v>
      </c>
      <c r="E392" t="str">
        <f>"$ 280,140"</f>
        <v>$ 280,140</v>
      </c>
      <c r="F392" s="1">
        <v>4140</v>
      </c>
    </row>
    <row r="393" spans="1:6">
      <c r="A393" t="s">
        <v>396</v>
      </c>
      <c r="B393" t="str">
        <f>"0.03625%"</f>
        <v>0.03625%</v>
      </c>
      <c r="C393" t="s">
        <v>10</v>
      </c>
      <c r="D393" t="s">
        <v>10</v>
      </c>
      <c r="E393" t="str">
        <f>"$ 279,893"</f>
        <v>$ 279,893</v>
      </c>
      <c r="F393" s="1">
        <v>1468</v>
      </c>
    </row>
    <row r="394" spans="1:6">
      <c r="A394" t="s">
        <v>397</v>
      </c>
      <c r="B394" t="str">
        <f>"0.03622%"</f>
        <v>0.03622%</v>
      </c>
      <c r="C394" t="s">
        <v>10</v>
      </c>
      <c r="D394" t="s">
        <v>10</v>
      </c>
      <c r="E394" t="str">
        <f>"$ 279,717"</f>
        <v>$ 279,717</v>
      </c>
      <c r="F394" s="1">
        <v>13101</v>
      </c>
    </row>
    <row r="395" spans="1:6">
      <c r="A395" t="s">
        <v>398</v>
      </c>
      <c r="B395" t="str">
        <f>"0.03579%"</f>
        <v>0.03579%</v>
      </c>
      <c r="C395" t="s">
        <v>10</v>
      </c>
      <c r="D395" t="s">
        <v>10</v>
      </c>
      <c r="E395" t="str">
        <f>"$ 276,391"</f>
        <v>$ 276,391</v>
      </c>
      <c r="F395" s="1">
        <v>1636</v>
      </c>
    </row>
    <row r="396" spans="1:6">
      <c r="A396" t="s">
        <v>399</v>
      </c>
      <c r="B396" t="str">
        <f>"0.03579%"</f>
        <v>0.03579%</v>
      </c>
      <c r="C396" t="s">
        <v>10</v>
      </c>
      <c r="D396" t="s">
        <v>10</v>
      </c>
      <c r="E396" t="str">
        <f>"$ 276,345"</f>
        <v>$ 276,345</v>
      </c>
      <c r="F396" s="1">
        <v>4472</v>
      </c>
    </row>
    <row r="397" spans="1:6">
      <c r="A397" t="s">
        <v>400</v>
      </c>
      <c r="B397" t="str">
        <f>"0.03570%"</f>
        <v>0.03570%</v>
      </c>
      <c r="C397" t="s">
        <v>10</v>
      </c>
      <c r="D397" t="s">
        <v>10</v>
      </c>
      <c r="E397" t="str">
        <f>"$ 275,653"</f>
        <v>$ 275,653</v>
      </c>
      <c r="F397" s="1">
        <v>2578</v>
      </c>
    </row>
    <row r="398" spans="1:6">
      <c r="A398" t="s">
        <v>401</v>
      </c>
      <c r="B398" t="str">
        <f>"0.03546%"</f>
        <v>0.03546%</v>
      </c>
      <c r="C398" t="s">
        <v>10</v>
      </c>
      <c r="D398" t="s">
        <v>10</v>
      </c>
      <c r="E398" t="str">
        <f>"$ 273,821"</f>
        <v>$ 273,821</v>
      </c>
      <c r="F398" s="1">
        <v>58341</v>
      </c>
    </row>
    <row r="399" spans="1:6">
      <c r="A399" t="s">
        <v>402</v>
      </c>
      <c r="B399" t="str">
        <f>"0.03542%"</f>
        <v>0.03542%</v>
      </c>
      <c r="C399" t="s">
        <v>10</v>
      </c>
      <c r="D399" t="s">
        <v>10</v>
      </c>
      <c r="E399" t="str">
        <f>"$ 273,518"</f>
        <v>$ 273,518</v>
      </c>
      <c r="F399">
        <v>923</v>
      </c>
    </row>
    <row r="400" spans="1:6">
      <c r="A400" t="s">
        <v>403</v>
      </c>
      <c r="B400" t="str">
        <f>"0.03503%"</f>
        <v>0.03503%</v>
      </c>
      <c r="C400" t="s">
        <v>10</v>
      </c>
      <c r="D400" t="s">
        <v>10</v>
      </c>
      <c r="E400" t="str">
        <f>"$ 270,523"</f>
        <v>$ 270,523</v>
      </c>
      <c r="F400" s="1">
        <v>2111</v>
      </c>
    </row>
    <row r="401" spans="1:6">
      <c r="A401" t="s">
        <v>404</v>
      </c>
      <c r="B401" t="str">
        <f>"0.03463%"</f>
        <v>0.03463%</v>
      </c>
      <c r="C401" t="s">
        <v>10</v>
      </c>
      <c r="D401" t="s">
        <v>10</v>
      </c>
      <c r="E401" t="str">
        <f>"$ 267,398"</f>
        <v>$ 267,398</v>
      </c>
      <c r="F401" s="1">
        <v>1912</v>
      </c>
    </row>
    <row r="402" spans="1:6">
      <c r="A402" t="s">
        <v>405</v>
      </c>
      <c r="B402" t="str">
        <f>"0.03456%"</f>
        <v>0.03456%</v>
      </c>
      <c r="C402" t="s">
        <v>10</v>
      </c>
      <c r="D402" t="s">
        <v>10</v>
      </c>
      <c r="E402" t="str">
        <f>"$ 266,849"</f>
        <v>$ 266,849</v>
      </c>
      <c r="F402" s="1">
        <v>1013</v>
      </c>
    </row>
    <row r="403" spans="1:6">
      <c r="A403" t="s">
        <v>406</v>
      </c>
      <c r="B403" t="str">
        <f>"0.03449%"</f>
        <v>0.03449%</v>
      </c>
      <c r="C403" t="s">
        <v>10</v>
      </c>
      <c r="D403" t="s">
        <v>10</v>
      </c>
      <c r="E403" t="str">
        <f>"$ 266,360"</f>
        <v>$ 266,360</v>
      </c>
      <c r="F403" s="1">
        <v>12058</v>
      </c>
    </row>
    <row r="404" spans="1:6">
      <c r="A404" t="s">
        <v>407</v>
      </c>
      <c r="B404" t="str">
        <f>"0.03438%"</f>
        <v>0.03438%</v>
      </c>
      <c r="C404" t="s">
        <v>10</v>
      </c>
      <c r="D404" t="s">
        <v>10</v>
      </c>
      <c r="E404" t="str">
        <f>"$ 265,460"</f>
        <v>$ 265,460</v>
      </c>
      <c r="F404">
        <v>936</v>
      </c>
    </row>
    <row r="405" spans="1:6">
      <c r="A405" t="s">
        <v>408</v>
      </c>
      <c r="B405" t="str">
        <f>"0.03433%"</f>
        <v>0.03433%</v>
      </c>
      <c r="C405" t="s">
        <v>10</v>
      </c>
      <c r="D405" t="s">
        <v>10</v>
      </c>
      <c r="E405" t="str">
        <f>"$ 265,093"</f>
        <v>$ 265,093</v>
      </c>
      <c r="F405" s="1">
        <v>60514</v>
      </c>
    </row>
    <row r="406" spans="1:6">
      <c r="A406" t="s">
        <v>409</v>
      </c>
      <c r="B406" t="str">
        <f>"0.03424%"</f>
        <v>0.03424%</v>
      </c>
      <c r="C406" t="s">
        <v>10</v>
      </c>
      <c r="D406" t="s">
        <v>10</v>
      </c>
      <c r="E406" t="str">
        <f>"$ 264,366"</f>
        <v>$ 264,366</v>
      </c>
      <c r="F406">
        <v>951</v>
      </c>
    </row>
    <row r="407" spans="1:6">
      <c r="A407" t="s">
        <v>410</v>
      </c>
      <c r="B407" t="str">
        <f>"0.03418%"</f>
        <v>0.03418%</v>
      </c>
      <c r="C407" t="s">
        <v>10</v>
      </c>
      <c r="D407" t="s">
        <v>10</v>
      </c>
      <c r="E407" t="str">
        <f>"$ 263,899"</f>
        <v>$ 263,899</v>
      </c>
      <c r="F407" s="1">
        <v>6491</v>
      </c>
    </row>
    <row r="408" spans="1:6">
      <c r="A408" t="s">
        <v>411</v>
      </c>
      <c r="B408" t="str">
        <f>"0.03413%"</f>
        <v>0.03413%</v>
      </c>
      <c r="C408" t="s">
        <v>10</v>
      </c>
      <c r="D408" t="s">
        <v>10</v>
      </c>
      <c r="E408" t="str">
        <f>"$ 263,576"</f>
        <v>$ 263,576</v>
      </c>
      <c r="F408" s="1">
        <v>19324</v>
      </c>
    </row>
    <row r="409" spans="1:6">
      <c r="A409" t="s">
        <v>412</v>
      </c>
      <c r="B409" t="str">
        <f>"0.03392%"</f>
        <v>0.03392%</v>
      </c>
      <c r="C409" t="s">
        <v>10</v>
      </c>
      <c r="D409" t="s">
        <v>10</v>
      </c>
      <c r="E409" t="str">
        <f>"$ 261,939"</f>
        <v>$ 261,939</v>
      </c>
      <c r="F409" s="1">
        <v>17831</v>
      </c>
    </row>
    <row r="410" spans="1:6">
      <c r="A410" t="s">
        <v>413</v>
      </c>
      <c r="B410" t="str">
        <f>"0.03390%"</f>
        <v>0.03390%</v>
      </c>
      <c r="C410" t="s">
        <v>10</v>
      </c>
      <c r="D410" t="s">
        <v>10</v>
      </c>
      <c r="E410" t="str">
        <f>"$ 261,770"</f>
        <v>$ 261,770</v>
      </c>
      <c r="F410" s="1">
        <v>8668</v>
      </c>
    </row>
    <row r="411" spans="1:6">
      <c r="A411" t="s">
        <v>414</v>
      </c>
      <c r="B411" t="str">
        <f>"0.03387%"</f>
        <v>0.03387%</v>
      </c>
      <c r="C411" t="s">
        <v>10</v>
      </c>
      <c r="D411" t="s">
        <v>10</v>
      </c>
      <c r="E411" t="str">
        <f>"$ 261,526"</f>
        <v>$ 261,526</v>
      </c>
      <c r="F411" s="1">
        <v>9785</v>
      </c>
    </row>
    <row r="412" spans="1:6">
      <c r="A412" t="s">
        <v>415</v>
      </c>
      <c r="B412" t="str">
        <f>"0.03381%"</f>
        <v>0.03381%</v>
      </c>
      <c r="C412" t="s">
        <v>10</v>
      </c>
      <c r="D412" t="s">
        <v>10</v>
      </c>
      <c r="E412" t="str">
        <f>"$ 261,055"</f>
        <v>$ 261,055</v>
      </c>
      <c r="F412" s="1">
        <v>1117</v>
      </c>
    </row>
    <row r="413" spans="1:6">
      <c r="A413" t="s">
        <v>416</v>
      </c>
      <c r="B413" t="str">
        <f>"0.03375%"</f>
        <v>0.03375%</v>
      </c>
      <c r="C413" t="s">
        <v>10</v>
      </c>
      <c r="D413" t="s">
        <v>10</v>
      </c>
      <c r="E413" t="str">
        <f>"$ 260,634"</f>
        <v>$ 260,634</v>
      </c>
      <c r="F413" s="1">
        <v>1964</v>
      </c>
    </row>
    <row r="414" spans="1:6">
      <c r="A414" t="s">
        <v>417</v>
      </c>
      <c r="B414" t="str">
        <f>"0.03371%"</f>
        <v>0.03371%</v>
      </c>
      <c r="C414" t="s">
        <v>10</v>
      </c>
      <c r="D414" t="s">
        <v>10</v>
      </c>
      <c r="E414" t="str">
        <f>"$ 260,308"</f>
        <v>$ 260,308</v>
      </c>
      <c r="F414" s="1">
        <v>7035</v>
      </c>
    </row>
    <row r="415" spans="1:6">
      <c r="A415" t="s">
        <v>418</v>
      </c>
      <c r="B415" t="str">
        <f>"0.03362%"</f>
        <v>0.03362%</v>
      </c>
      <c r="C415" t="s">
        <v>10</v>
      </c>
      <c r="D415" t="s">
        <v>10</v>
      </c>
      <c r="E415" t="str">
        <f>"$ 259,644"</f>
        <v>$ 259,644</v>
      </c>
      <c r="F415">
        <v>943</v>
      </c>
    </row>
    <row r="416" spans="1:6">
      <c r="A416" t="s">
        <v>419</v>
      </c>
      <c r="B416" t="str">
        <f>"0.03351%"</f>
        <v>0.03351%</v>
      </c>
      <c r="C416" t="s">
        <v>10</v>
      </c>
      <c r="D416" t="s">
        <v>10</v>
      </c>
      <c r="E416" t="str">
        <f>"$ 258,801"</f>
        <v>$ 258,801</v>
      </c>
      <c r="F416" s="1">
        <v>3909</v>
      </c>
    </row>
    <row r="417" spans="1:6">
      <c r="A417" t="s">
        <v>420</v>
      </c>
      <c r="B417" t="str">
        <f>"0.03343%"</f>
        <v>0.03343%</v>
      </c>
      <c r="C417" t="s">
        <v>10</v>
      </c>
      <c r="D417" t="s">
        <v>10</v>
      </c>
      <c r="E417" t="str">
        <f>"$ 258,120"</f>
        <v>$ 258,120</v>
      </c>
      <c r="F417">
        <v>807</v>
      </c>
    </row>
    <row r="418" spans="1:6">
      <c r="A418" t="s">
        <v>421</v>
      </c>
      <c r="B418" t="str">
        <f>"0.03341%"</f>
        <v>0.03341%</v>
      </c>
      <c r="C418" t="s">
        <v>10</v>
      </c>
      <c r="D418" t="s">
        <v>10</v>
      </c>
      <c r="E418" t="str">
        <f>"$ 258,007"</f>
        <v>$ 258,007</v>
      </c>
      <c r="F418" s="1">
        <v>13880</v>
      </c>
    </row>
    <row r="419" spans="1:6">
      <c r="A419" t="s">
        <v>422</v>
      </c>
      <c r="B419" t="str">
        <f>"0.03337%"</f>
        <v>0.03337%</v>
      </c>
      <c r="C419" t="s">
        <v>10</v>
      </c>
      <c r="D419" t="s">
        <v>10</v>
      </c>
      <c r="E419" t="str">
        <f>"$ 257,670"</f>
        <v>$ 257,670</v>
      </c>
      <c r="F419" s="1">
        <v>3579</v>
      </c>
    </row>
    <row r="420" spans="1:6">
      <c r="A420" t="s">
        <v>423</v>
      </c>
      <c r="B420" t="str">
        <f>"0.03328%"</f>
        <v>0.03328%</v>
      </c>
      <c r="C420" t="s">
        <v>10</v>
      </c>
      <c r="D420" t="s">
        <v>10</v>
      </c>
      <c r="E420" t="str">
        <f>"$ 257,020"</f>
        <v>$ 257,020</v>
      </c>
      <c r="F420" s="1">
        <v>68145</v>
      </c>
    </row>
    <row r="421" spans="1:6">
      <c r="A421" t="s">
        <v>424</v>
      </c>
      <c r="B421" t="str">
        <f>"0.03317%"</f>
        <v>0.03317%</v>
      </c>
      <c r="C421" t="s">
        <v>10</v>
      </c>
      <c r="D421" t="s">
        <v>10</v>
      </c>
      <c r="E421" t="str">
        <f>"$ 256,105"</f>
        <v>$ 256,105</v>
      </c>
      <c r="F421" s="1">
        <v>3714</v>
      </c>
    </row>
    <row r="422" spans="1:6">
      <c r="A422" t="s">
        <v>425</v>
      </c>
      <c r="B422" t="str">
        <f>"0.03312%"</f>
        <v>0.03312%</v>
      </c>
      <c r="C422" t="s">
        <v>10</v>
      </c>
      <c r="D422" t="s">
        <v>10</v>
      </c>
      <c r="E422" t="str">
        <f>"$ 255,768"</f>
        <v>$ 255,768</v>
      </c>
      <c r="F422" s="1">
        <v>5740</v>
      </c>
    </row>
    <row r="423" spans="1:6">
      <c r="A423" t="s">
        <v>426</v>
      </c>
      <c r="B423" t="str">
        <f>"0.03308%"</f>
        <v>0.03308%</v>
      </c>
      <c r="C423" t="s">
        <v>10</v>
      </c>
      <c r="D423" t="s">
        <v>10</v>
      </c>
      <c r="E423" t="str">
        <f>"$ 255,410"</f>
        <v>$ 255,410</v>
      </c>
      <c r="F423" s="1">
        <v>1044</v>
      </c>
    </row>
    <row r="424" spans="1:6">
      <c r="A424" t="s">
        <v>427</v>
      </c>
      <c r="B424" t="str">
        <f>"0.03284%"</f>
        <v>0.03284%</v>
      </c>
      <c r="C424" t="s">
        <v>10</v>
      </c>
      <c r="D424" t="s">
        <v>10</v>
      </c>
      <c r="E424" t="str">
        <f>"$ 253,587"</f>
        <v>$ 253,587</v>
      </c>
      <c r="F424" s="1">
        <v>2408</v>
      </c>
    </row>
    <row r="425" spans="1:6">
      <c r="A425" t="s">
        <v>428</v>
      </c>
      <c r="B425" t="str">
        <f>"0.03284%"</f>
        <v>0.03284%</v>
      </c>
      <c r="C425" t="s">
        <v>10</v>
      </c>
      <c r="D425" t="s">
        <v>10</v>
      </c>
      <c r="E425" t="str">
        <f>"$ 253,571"</f>
        <v>$ 253,571</v>
      </c>
      <c r="F425" s="1">
        <v>1575</v>
      </c>
    </row>
    <row r="426" spans="1:6">
      <c r="A426" t="s">
        <v>429</v>
      </c>
      <c r="B426" t="str">
        <f>"0.03283%"</f>
        <v>0.03283%</v>
      </c>
      <c r="C426" t="s">
        <v>10</v>
      </c>
      <c r="D426" t="s">
        <v>10</v>
      </c>
      <c r="E426" t="str">
        <f>"$ 253,481"</f>
        <v>$ 253,481</v>
      </c>
      <c r="F426" s="1">
        <v>29786</v>
      </c>
    </row>
    <row r="427" spans="1:6">
      <c r="A427" t="s">
        <v>430</v>
      </c>
      <c r="B427" t="str">
        <f>"0.03267%"</f>
        <v>0.03267%</v>
      </c>
      <c r="C427" t="s">
        <v>10</v>
      </c>
      <c r="D427" t="s">
        <v>10</v>
      </c>
      <c r="E427" t="str">
        <f>"$ 252,306"</f>
        <v>$ 252,306</v>
      </c>
      <c r="F427" s="1">
        <v>5906</v>
      </c>
    </row>
    <row r="428" spans="1:6">
      <c r="A428" t="s">
        <v>431</v>
      </c>
      <c r="B428" t="str">
        <f>"0.03255%"</f>
        <v>0.03255%</v>
      </c>
      <c r="C428" t="s">
        <v>10</v>
      </c>
      <c r="D428" t="s">
        <v>10</v>
      </c>
      <c r="E428" t="str">
        <f>"$ 251,352"</f>
        <v>$ 251,352</v>
      </c>
      <c r="F428" s="1">
        <v>3145</v>
      </c>
    </row>
    <row r="429" spans="1:6">
      <c r="A429" t="s">
        <v>432</v>
      </c>
      <c r="B429" t="str">
        <f>"0.03244%"</f>
        <v>0.03244%</v>
      </c>
      <c r="C429" t="s">
        <v>10</v>
      </c>
      <c r="D429" t="s">
        <v>10</v>
      </c>
      <c r="E429" t="str">
        <f>"$ 250,511"</f>
        <v>$ 250,511</v>
      </c>
      <c r="F429" s="1">
        <v>2910</v>
      </c>
    </row>
    <row r="430" spans="1:6">
      <c r="A430" t="s">
        <v>433</v>
      </c>
      <c r="B430" t="str">
        <f>"0.03232%"</f>
        <v>0.03232%</v>
      </c>
      <c r="C430" t="s">
        <v>10</v>
      </c>
      <c r="D430" t="s">
        <v>10</v>
      </c>
      <c r="E430" t="str">
        <f>"$ 249,575"</f>
        <v>$ 249,575</v>
      </c>
      <c r="F430">
        <v>492</v>
      </c>
    </row>
    <row r="431" spans="1:6">
      <c r="A431" t="s">
        <v>434</v>
      </c>
      <c r="B431" t="str">
        <f>"0.03229%"</f>
        <v>0.03229%</v>
      </c>
      <c r="C431" t="s">
        <v>10</v>
      </c>
      <c r="D431" t="s">
        <v>10</v>
      </c>
      <c r="E431" t="str">
        <f>"$ 249,318"</f>
        <v>$ 249,318</v>
      </c>
      <c r="F431" s="1">
        <v>1971</v>
      </c>
    </row>
    <row r="432" spans="1:6">
      <c r="A432" t="s">
        <v>435</v>
      </c>
      <c r="B432" t="str">
        <f>"0.03219%"</f>
        <v>0.03219%</v>
      </c>
      <c r="C432" t="s">
        <v>10</v>
      </c>
      <c r="D432" t="s">
        <v>10</v>
      </c>
      <c r="E432" t="str">
        <f>"$ 248,560"</f>
        <v>$ 248,560</v>
      </c>
      <c r="F432" s="1">
        <v>11806</v>
      </c>
    </row>
    <row r="433" spans="1:6">
      <c r="A433" t="s">
        <v>436</v>
      </c>
      <c r="B433" t="str">
        <f>"0.03216%"</f>
        <v>0.03216%</v>
      </c>
      <c r="C433" t="s">
        <v>10</v>
      </c>
      <c r="D433" t="s">
        <v>10</v>
      </c>
      <c r="E433" t="str">
        <f>"$ 248,314"</f>
        <v>$ 248,314</v>
      </c>
      <c r="F433" s="1">
        <v>20254</v>
      </c>
    </row>
    <row r="434" spans="1:6">
      <c r="A434" t="s">
        <v>437</v>
      </c>
      <c r="B434" t="str">
        <f>"0.03215%"</f>
        <v>0.03215%</v>
      </c>
      <c r="C434" t="s">
        <v>10</v>
      </c>
      <c r="D434" t="s">
        <v>10</v>
      </c>
      <c r="E434" t="str">
        <f>"$ 248,298"</f>
        <v>$ 248,298</v>
      </c>
      <c r="F434" s="1">
        <v>4935</v>
      </c>
    </row>
    <row r="435" spans="1:6">
      <c r="A435" t="s">
        <v>438</v>
      </c>
      <c r="B435" t="str">
        <f>"0.03212%"</f>
        <v>0.03212%</v>
      </c>
      <c r="C435" t="s">
        <v>10</v>
      </c>
      <c r="D435" t="s">
        <v>10</v>
      </c>
      <c r="E435" t="str">
        <f>"$ 248,010"</f>
        <v>$ 248,010</v>
      </c>
      <c r="F435" s="1">
        <v>2484</v>
      </c>
    </row>
    <row r="436" spans="1:6">
      <c r="A436" t="s">
        <v>439</v>
      </c>
      <c r="B436" t="str">
        <f>"0.03205%"</f>
        <v>0.03205%</v>
      </c>
      <c r="C436" t="s">
        <v>10</v>
      </c>
      <c r="D436" t="s">
        <v>10</v>
      </c>
      <c r="E436" t="str">
        <f>"$ 247,488"</f>
        <v>$ 247,488</v>
      </c>
      <c r="F436" s="1">
        <v>1856</v>
      </c>
    </row>
    <row r="437" spans="1:6">
      <c r="A437" t="s">
        <v>440</v>
      </c>
      <c r="B437" t="str">
        <f>"0.03205%"</f>
        <v>0.03205%</v>
      </c>
      <c r="C437" t="s">
        <v>10</v>
      </c>
      <c r="D437" t="s">
        <v>10</v>
      </c>
      <c r="E437" t="str">
        <f>"$ 247,454"</f>
        <v>$ 247,454</v>
      </c>
      <c r="F437" s="1">
        <v>1506</v>
      </c>
    </row>
    <row r="438" spans="1:6">
      <c r="A438" t="s">
        <v>441</v>
      </c>
      <c r="B438" t="str">
        <f>"0.03201%"</f>
        <v>0.03201%</v>
      </c>
      <c r="C438" t="s">
        <v>10</v>
      </c>
      <c r="D438" t="s">
        <v>10</v>
      </c>
      <c r="E438" t="str">
        <f>"$ 247,204"</f>
        <v>$ 247,204</v>
      </c>
      <c r="F438" s="1">
        <v>8197</v>
      </c>
    </row>
    <row r="439" spans="1:6">
      <c r="A439" t="s">
        <v>442</v>
      </c>
      <c r="B439" t="str">
        <f>"0.03187%"</f>
        <v>0.03187%</v>
      </c>
      <c r="C439" t="s">
        <v>10</v>
      </c>
      <c r="D439" t="s">
        <v>10</v>
      </c>
      <c r="E439" t="str">
        <f>"$ 246,095"</f>
        <v>$ 246,095</v>
      </c>
      <c r="F439" s="1">
        <v>3251</v>
      </c>
    </row>
    <row r="440" spans="1:6">
      <c r="A440" t="s">
        <v>443</v>
      </c>
      <c r="B440" t="str">
        <f>"0.03172%"</f>
        <v>0.03172%</v>
      </c>
      <c r="C440" t="s">
        <v>10</v>
      </c>
      <c r="D440" t="s">
        <v>10</v>
      </c>
      <c r="E440" t="str">
        <f>"$ 244,918"</f>
        <v>$ 244,918</v>
      </c>
      <c r="F440" s="1">
        <v>1920</v>
      </c>
    </row>
    <row r="441" spans="1:6">
      <c r="A441" t="s">
        <v>444</v>
      </c>
      <c r="B441" t="str">
        <f>"0.03157%"</f>
        <v>0.03157%</v>
      </c>
      <c r="C441" t="s">
        <v>10</v>
      </c>
      <c r="D441" t="s">
        <v>10</v>
      </c>
      <c r="E441" t="str">
        <f>"$ 243,793"</f>
        <v>$ 243,793</v>
      </c>
      <c r="F441" s="1">
        <v>1656</v>
      </c>
    </row>
    <row r="442" spans="1:6">
      <c r="A442" t="s">
        <v>445</v>
      </c>
      <c r="B442" t="str">
        <f>"0.03151%"</f>
        <v>0.03151%</v>
      </c>
      <c r="C442" t="s">
        <v>10</v>
      </c>
      <c r="D442" t="s">
        <v>10</v>
      </c>
      <c r="E442" t="str">
        <f>"$ 243,311"</f>
        <v>$ 243,311</v>
      </c>
      <c r="F442" s="1">
        <v>4551</v>
      </c>
    </row>
    <row r="443" spans="1:6">
      <c r="A443" t="s">
        <v>446</v>
      </c>
      <c r="B443" t="str">
        <f>"0.03150%"</f>
        <v>0.03150%</v>
      </c>
      <c r="C443" t="s">
        <v>10</v>
      </c>
      <c r="D443" t="s">
        <v>10</v>
      </c>
      <c r="E443" t="str">
        <f>"$ 243,249"</f>
        <v>$ 243,249</v>
      </c>
      <c r="F443">
        <v>313</v>
      </c>
    </row>
    <row r="444" spans="1:6">
      <c r="A444" t="s">
        <v>447</v>
      </c>
      <c r="B444" t="str">
        <f>"0.03150%"</f>
        <v>0.03150%</v>
      </c>
      <c r="C444" t="s">
        <v>10</v>
      </c>
      <c r="D444" t="s">
        <v>10</v>
      </c>
      <c r="E444" t="str">
        <f>"$ 243,205"</f>
        <v>$ 243,205</v>
      </c>
      <c r="F444" s="1">
        <v>20339</v>
      </c>
    </row>
    <row r="445" spans="1:6">
      <c r="A445" t="s">
        <v>448</v>
      </c>
      <c r="B445" t="str">
        <f>"0.03143%"</f>
        <v>0.03143%</v>
      </c>
      <c r="C445" t="s">
        <v>10</v>
      </c>
      <c r="D445" t="s">
        <v>10</v>
      </c>
      <c r="E445" t="str">
        <f>"$ 242,679"</f>
        <v>$ 242,679</v>
      </c>
      <c r="F445" s="1">
        <v>34403</v>
      </c>
    </row>
    <row r="446" spans="1:6">
      <c r="A446" t="s">
        <v>449</v>
      </c>
      <c r="B446" t="str">
        <f>"0.03137%"</f>
        <v>0.03137%</v>
      </c>
      <c r="C446" t="s">
        <v>10</v>
      </c>
      <c r="D446" t="s">
        <v>10</v>
      </c>
      <c r="E446" t="str">
        <f>"$ 242,209"</f>
        <v>$ 242,209</v>
      </c>
      <c r="F446" s="1">
        <v>1871</v>
      </c>
    </row>
    <row r="447" spans="1:6">
      <c r="A447" t="s">
        <v>450</v>
      </c>
      <c r="B447" t="str">
        <f>"0.03134%"</f>
        <v>0.03134%</v>
      </c>
      <c r="C447" t="s">
        <v>10</v>
      </c>
      <c r="D447" t="s">
        <v>10</v>
      </c>
      <c r="E447" t="str">
        <f>"$ 242,000"</f>
        <v>$ 242,000</v>
      </c>
      <c r="F447" s="1">
        <v>2759</v>
      </c>
    </row>
    <row r="448" spans="1:6">
      <c r="A448" t="s">
        <v>451</v>
      </c>
      <c r="B448" t="str">
        <f>"0.03125%"</f>
        <v>0.03125%</v>
      </c>
      <c r="C448" t="s">
        <v>10</v>
      </c>
      <c r="D448" t="s">
        <v>10</v>
      </c>
      <c r="E448" t="str">
        <f>"$ 241,276"</f>
        <v>$ 241,276</v>
      </c>
      <c r="F448" s="1">
        <v>22979</v>
      </c>
    </row>
    <row r="449" spans="1:6">
      <c r="A449" t="s">
        <v>452</v>
      </c>
      <c r="B449" t="str">
        <f>"0.03125%"</f>
        <v>0.03125%</v>
      </c>
      <c r="C449" t="s">
        <v>10</v>
      </c>
      <c r="D449" t="s">
        <v>10</v>
      </c>
      <c r="E449" t="str">
        <f>"$ 241,336"</f>
        <v>$ 241,336</v>
      </c>
      <c r="F449" s="1">
        <v>1323</v>
      </c>
    </row>
    <row r="450" spans="1:6">
      <c r="A450" t="s">
        <v>453</v>
      </c>
      <c r="B450" t="str">
        <f>"0.03123%"</f>
        <v>0.03123%</v>
      </c>
      <c r="C450" t="s">
        <v>10</v>
      </c>
      <c r="D450" t="s">
        <v>10</v>
      </c>
      <c r="E450" t="str">
        <f>"$ 241,193"</f>
        <v>$ 241,193</v>
      </c>
      <c r="F450" s="1">
        <v>7074</v>
      </c>
    </row>
    <row r="451" spans="1:6">
      <c r="A451" t="s">
        <v>454</v>
      </c>
      <c r="B451" t="str">
        <f>"0.03118%"</f>
        <v>0.03118%</v>
      </c>
      <c r="C451" t="s">
        <v>10</v>
      </c>
      <c r="D451" t="s">
        <v>10</v>
      </c>
      <c r="E451" t="str">
        <f>"$ 240,743"</f>
        <v>$ 240,743</v>
      </c>
      <c r="F451" s="1">
        <v>4676</v>
      </c>
    </row>
    <row r="452" spans="1:6">
      <c r="A452" t="s">
        <v>455</v>
      </c>
      <c r="B452" t="str">
        <f>"0.03095%"</f>
        <v>0.03095%</v>
      </c>
      <c r="C452" t="s">
        <v>10</v>
      </c>
      <c r="D452" t="s">
        <v>10</v>
      </c>
      <c r="E452" t="str">
        <f>"$ 238,978"</f>
        <v>$ 238,978</v>
      </c>
      <c r="F452" s="1">
        <v>46314</v>
      </c>
    </row>
    <row r="453" spans="1:6">
      <c r="A453" t="s">
        <v>456</v>
      </c>
      <c r="B453" t="str">
        <f>"0.03087%"</f>
        <v>0.03087%</v>
      </c>
      <c r="C453" t="s">
        <v>10</v>
      </c>
      <c r="D453" t="s">
        <v>10</v>
      </c>
      <c r="E453" t="str">
        <f>"$ 238,389"</f>
        <v>$ 238,389</v>
      </c>
      <c r="F453" s="1">
        <v>11483</v>
      </c>
    </row>
    <row r="454" spans="1:6">
      <c r="A454" t="s">
        <v>457</v>
      </c>
      <c r="B454" t="str">
        <f>"0.03079%"</f>
        <v>0.03079%</v>
      </c>
      <c r="C454" t="s">
        <v>10</v>
      </c>
      <c r="D454" t="s">
        <v>10</v>
      </c>
      <c r="E454" t="str">
        <f>"$ 237,763"</f>
        <v>$ 237,763</v>
      </c>
      <c r="F454" s="1">
        <v>1066</v>
      </c>
    </row>
    <row r="455" spans="1:6">
      <c r="A455" t="s">
        <v>458</v>
      </c>
      <c r="B455" t="str">
        <f>"0.03076%"</f>
        <v>0.03076%</v>
      </c>
      <c r="C455" t="s">
        <v>10</v>
      </c>
      <c r="D455" t="s">
        <v>10</v>
      </c>
      <c r="E455" t="str">
        <f>"$ 237,527"</f>
        <v>$ 237,527</v>
      </c>
      <c r="F455" s="1">
        <v>1873</v>
      </c>
    </row>
    <row r="456" spans="1:6">
      <c r="A456" t="s">
        <v>459</v>
      </c>
      <c r="B456" t="str">
        <f>"0.03073%"</f>
        <v>0.03073%</v>
      </c>
      <c r="C456" t="s">
        <v>10</v>
      </c>
      <c r="D456" t="s">
        <v>10</v>
      </c>
      <c r="E456" t="str">
        <f>"$ 237,333"</f>
        <v>$ 237,333</v>
      </c>
      <c r="F456" s="1">
        <v>12421</v>
      </c>
    </row>
    <row r="457" spans="1:6">
      <c r="A457" t="s">
        <v>460</v>
      </c>
      <c r="B457" t="str">
        <f>"0.03069%"</f>
        <v>0.03069%</v>
      </c>
      <c r="C457" t="s">
        <v>10</v>
      </c>
      <c r="D457" t="s">
        <v>10</v>
      </c>
      <c r="E457" t="str">
        <f>"$ 237,003"</f>
        <v>$ 237,003</v>
      </c>
      <c r="F457" s="1">
        <v>3886</v>
      </c>
    </row>
    <row r="458" spans="1:6">
      <c r="A458" t="s">
        <v>461</v>
      </c>
      <c r="B458" t="str">
        <f>"0.03063%"</f>
        <v>0.03063%</v>
      </c>
      <c r="C458" t="s">
        <v>10</v>
      </c>
      <c r="D458" t="s">
        <v>10</v>
      </c>
      <c r="E458" t="str">
        <f>"$ 236,550"</f>
        <v>$ 236,550</v>
      </c>
      <c r="F458" s="1">
        <v>16743</v>
      </c>
    </row>
    <row r="459" spans="1:6">
      <c r="A459" t="s">
        <v>462</v>
      </c>
      <c r="B459" t="str">
        <f>"0.03053%"</f>
        <v>0.03053%</v>
      </c>
      <c r="C459" t="s">
        <v>10</v>
      </c>
      <c r="D459" t="s">
        <v>10</v>
      </c>
      <c r="E459" t="str">
        <f>"$ 235,789"</f>
        <v>$ 235,789</v>
      </c>
      <c r="F459" s="1">
        <v>2303</v>
      </c>
    </row>
    <row r="460" spans="1:6">
      <c r="A460" t="s">
        <v>463</v>
      </c>
      <c r="B460" t="str">
        <f>"0.03052%"</f>
        <v>0.03052%</v>
      </c>
      <c r="C460" t="s">
        <v>10</v>
      </c>
      <c r="D460" t="s">
        <v>10</v>
      </c>
      <c r="E460" t="str">
        <f>"$ 235,708"</f>
        <v>$ 235,708</v>
      </c>
      <c r="F460" s="1">
        <v>6318</v>
      </c>
    </row>
    <row r="461" spans="1:6">
      <c r="A461" t="s">
        <v>464</v>
      </c>
      <c r="B461" t="str">
        <f>"0.03047%"</f>
        <v>0.03047%</v>
      </c>
      <c r="C461" t="s">
        <v>10</v>
      </c>
      <c r="D461" t="s">
        <v>10</v>
      </c>
      <c r="E461" t="str">
        <f>"$ 235,254"</f>
        <v>$ 235,254</v>
      </c>
      <c r="F461" s="1">
        <v>80018</v>
      </c>
    </row>
    <row r="462" spans="1:6">
      <c r="A462" t="s">
        <v>465</v>
      </c>
      <c r="B462" t="str">
        <f>"0.03040%"</f>
        <v>0.03040%</v>
      </c>
      <c r="C462" t="s">
        <v>10</v>
      </c>
      <c r="D462" t="s">
        <v>10</v>
      </c>
      <c r="E462" t="str">
        <f>"$ 234,751"</f>
        <v>$ 234,751</v>
      </c>
      <c r="F462" s="1">
        <v>13714</v>
      </c>
    </row>
    <row r="463" spans="1:6">
      <c r="A463" t="s">
        <v>466</v>
      </c>
      <c r="B463" t="str">
        <f>"0.03036%"</f>
        <v>0.03036%</v>
      </c>
      <c r="C463" t="s">
        <v>10</v>
      </c>
      <c r="D463" t="s">
        <v>10</v>
      </c>
      <c r="E463" t="str">
        <f>"$ 234,430"</f>
        <v>$ 234,430</v>
      </c>
      <c r="F463" s="1">
        <v>17625</v>
      </c>
    </row>
    <row r="464" spans="1:6">
      <c r="A464" t="s">
        <v>467</v>
      </c>
      <c r="B464" t="str">
        <f>"0.03033%"</f>
        <v>0.03033%</v>
      </c>
      <c r="C464" t="s">
        <v>10</v>
      </c>
      <c r="D464" t="s">
        <v>10</v>
      </c>
      <c r="E464" t="str">
        <f>"$ 234,188"</f>
        <v>$ 234,188</v>
      </c>
      <c r="F464" s="1">
        <v>9832</v>
      </c>
    </row>
    <row r="465" spans="1:6">
      <c r="A465" t="s">
        <v>468</v>
      </c>
      <c r="B465" t="str">
        <f>"0.03030%"</f>
        <v>0.03030%</v>
      </c>
      <c r="C465" t="s">
        <v>10</v>
      </c>
      <c r="D465" t="s">
        <v>10</v>
      </c>
      <c r="E465" t="str">
        <f>"$ 233,956"</f>
        <v>$ 233,956</v>
      </c>
      <c r="F465" s="1">
        <v>2027</v>
      </c>
    </row>
    <row r="466" spans="1:6">
      <c r="A466" t="s">
        <v>469</v>
      </c>
      <c r="B466" t="str">
        <f>"0.03021%"</f>
        <v>0.03021%</v>
      </c>
      <c r="C466" t="s">
        <v>10</v>
      </c>
      <c r="D466" t="s">
        <v>10</v>
      </c>
      <c r="E466" t="str">
        <f>"$ 233,257"</f>
        <v>$ 233,257</v>
      </c>
      <c r="F466" s="1">
        <v>2563</v>
      </c>
    </row>
    <row r="467" spans="1:6">
      <c r="A467" t="s">
        <v>470</v>
      </c>
      <c r="B467" t="str">
        <f>"0.03013%"</f>
        <v>0.03013%</v>
      </c>
      <c r="C467" t="s">
        <v>10</v>
      </c>
      <c r="D467" t="s">
        <v>10</v>
      </c>
      <c r="E467" t="str">
        <f>"$ 232,627"</f>
        <v>$ 232,627</v>
      </c>
      <c r="F467" s="1">
        <v>5965</v>
      </c>
    </row>
    <row r="468" spans="1:6">
      <c r="A468" t="s">
        <v>471</v>
      </c>
      <c r="B468" t="str">
        <f>"0.03000%"</f>
        <v>0.03000%</v>
      </c>
      <c r="C468" t="s">
        <v>10</v>
      </c>
      <c r="D468" t="s">
        <v>10</v>
      </c>
      <c r="E468" t="str">
        <f>"$ 231,654"</f>
        <v>$ 231,654</v>
      </c>
      <c r="F468">
        <v>861</v>
      </c>
    </row>
    <row r="469" spans="1:6">
      <c r="A469" t="s">
        <v>472</v>
      </c>
      <c r="B469" t="str">
        <f>"0.02997%"</f>
        <v>0.02997%</v>
      </c>
      <c r="C469" t="s">
        <v>10</v>
      </c>
      <c r="D469" t="s">
        <v>10</v>
      </c>
      <c r="E469" t="str">
        <f>"$ 231,462"</f>
        <v>$ 231,462</v>
      </c>
      <c r="F469" s="1">
        <v>7439</v>
      </c>
    </row>
    <row r="470" spans="1:6">
      <c r="A470" t="s">
        <v>473</v>
      </c>
      <c r="B470" t="str">
        <f>"0.02995%"</f>
        <v>0.02995%</v>
      </c>
      <c r="C470" t="s">
        <v>10</v>
      </c>
      <c r="D470" t="s">
        <v>10</v>
      </c>
      <c r="E470" t="str">
        <f>"$ 231,297"</f>
        <v>$ 231,297</v>
      </c>
      <c r="F470" s="1">
        <v>1469</v>
      </c>
    </row>
    <row r="471" spans="1:6">
      <c r="A471" t="s">
        <v>474</v>
      </c>
      <c r="B471" t="str">
        <f>"0.02987%"</f>
        <v>0.02987%</v>
      </c>
      <c r="C471" t="s">
        <v>10</v>
      </c>
      <c r="D471" t="s">
        <v>10</v>
      </c>
      <c r="E471" t="str">
        <f>"$ 230,658"</f>
        <v>$ 230,658</v>
      </c>
      <c r="F471">
        <v>502</v>
      </c>
    </row>
    <row r="472" spans="1:6">
      <c r="A472" t="s">
        <v>475</v>
      </c>
      <c r="B472" t="str">
        <f>"0.02950%"</f>
        <v>0.02950%</v>
      </c>
      <c r="C472" t="s">
        <v>10</v>
      </c>
      <c r="D472" t="s">
        <v>10</v>
      </c>
      <c r="E472" t="str">
        <f>"$ 227,788"</f>
        <v>$ 227,788</v>
      </c>
      <c r="F472" s="1">
        <v>7384</v>
      </c>
    </row>
    <row r="473" spans="1:6">
      <c r="A473" t="s">
        <v>476</v>
      </c>
      <c r="B473" t="str">
        <f>"0.02940%"</f>
        <v>0.02940%</v>
      </c>
      <c r="C473" t="s">
        <v>10</v>
      </c>
      <c r="D473" t="s">
        <v>10</v>
      </c>
      <c r="E473" t="str">
        <f>"$ 227,046"</f>
        <v>$ 227,046</v>
      </c>
      <c r="F473" s="1">
        <v>2010</v>
      </c>
    </row>
    <row r="474" spans="1:6">
      <c r="A474" t="s">
        <v>477</v>
      </c>
      <c r="B474" t="str">
        <f>"0.02928%"</f>
        <v>0.02928%</v>
      </c>
      <c r="C474" t="s">
        <v>10</v>
      </c>
      <c r="D474" t="s">
        <v>10</v>
      </c>
      <c r="E474" t="str">
        <f>"$ 226,066"</f>
        <v>$ 226,066</v>
      </c>
      <c r="F474">
        <v>612</v>
      </c>
    </row>
    <row r="475" spans="1:6">
      <c r="A475" t="s">
        <v>478</v>
      </c>
      <c r="B475" t="str">
        <f>"0.02914%"</f>
        <v>0.02914%</v>
      </c>
      <c r="C475" t="s">
        <v>10</v>
      </c>
      <c r="D475" t="s">
        <v>10</v>
      </c>
      <c r="E475" t="str">
        <f>"$ 224,994"</f>
        <v>$ 224,994</v>
      </c>
      <c r="F475" s="1">
        <v>3097</v>
      </c>
    </row>
    <row r="476" spans="1:6">
      <c r="A476" t="s">
        <v>479</v>
      </c>
      <c r="B476" t="str">
        <f>"0.02911%"</f>
        <v>0.02911%</v>
      </c>
      <c r="C476" t="s">
        <v>10</v>
      </c>
      <c r="D476" t="s">
        <v>10</v>
      </c>
      <c r="E476" t="str">
        <f>"$ 224,818"</f>
        <v>$ 224,818</v>
      </c>
      <c r="F476" s="1">
        <v>10376</v>
      </c>
    </row>
    <row r="477" spans="1:6">
      <c r="A477" t="s">
        <v>480</v>
      </c>
      <c r="B477" t="str">
        <f>"0.02905%"</f>
        <v>0.02905%</v>
      </c>
      <c r="C477" t="s">
        <v>10</v>
      </c>
      <c r="D477" t="s">
        <v>10</v>
      </c>
      <c r="E477" t="str">
        <f>"$ 224,339"</f>
        <v>$ 224,339</v>
      </c>
      <c r="F477" s="1">
        <v>5152</v>
      </c>
    </row>
    <row r="478" spans="1:6">
      <c r="A478" t="s">
        <v>481</v>
      </c>
      <c r="B478" t="str">
        <f>"0.02897%"</f>
        <v>0.02897%</v>
      </c>
      <c r="C478" t="s">
        <v>10</v>
      </c>
      <c r="D478" t="s">
        <v>10</v>
      </c>
      <c r="E478" t="str">
        <f>"$ 223,731"</f>
        <v>$ 223,731</v>
      </c>
      <c r="F478" s="1">
        <v>4800</v>
      </c>
    </row>
    <row r="479" spans="1:6">
      <c r="A479" t="s">
        <v>482</v>
      </c>
      <c r="B479" t="str">
        <f>"0.02895%"</f>
        <v>0.02895%</v>
      </c>
      <c r="C479" t="s">
        <v>10</v>
      </c>
      <c r="D479" t="s">
        <v>10</v>
      </c>
      <c r="E479" t="str">
        <f>"$ 223,578"</f>
        <v>$ 223,578</v>
      </c>
      <c r="F479" s="1">
        <v>7054</v>
      </c>
    </row>
    <row r="480" spans="1:6">
      <c r="A480" t="s">
        <v>483</v>
      </c>
      <c r="B480" t="str">
        <f>"0.02887%"</f>
        <v>0.02887%</v>
      </c>
      <c r="C480" t="s">
        <v>10</v>
      </c>
      <c r="D480" t="s">
        <v>10</v>
      </c>
      <c r="E480" t="str">
        <f>"$ 222,916"</f>
        <v>$ 222,916</v>
      </c>
      <c r="F480" s="1">
        <v>2042</v>
      </c>
    </row>
    <row r="481" spans="1:6">
      <c r="A481" t="s">
        <v>484</v>
      </c>
      <c r="B481" t="str">
        <f>"0.02881%"</f>
        <v>0.02881%</v>
      </c>
      <c r="C481" t="s">
        <v>10</v>
      </c>
      <c r="D481" t="s">
        <v>10</v>
      </c>
      <c r="E481" t="str">
        <f>"$ 222,493"</f>
        <v>$ 222,493</v>
      </c>
      <c r="F481" s="1">
        <v>1944</v>
      </c>
    </row>
    <row r="482" spans="1:6">
      <c r="A482" t="s">
        <v>485</v>
      </c>
      <c r="B482" t="str">
        <f>"0.02881%"</f>
        <v>0.02881%</v>
      </c>
      <c r="C482" t="s">
        <v>10</v>
      </c>
      <c r="D482" t="s">
        <v>10</v>
      </c>
      <c r="E482" t="str">
        <f>"$ 222,439"</f>
        <v>$ 222,439</v>
      </c>
      <c r="F482" s="1">
        <v>7405</v>
      </c>
    </row>
    <row r="483" spans="1:6">
      <c r="A483" t="s">
        <v>486</v>
      </c>
      <c r="B483" t="str">
        <f>"0.02880%"</f>
        <v>0.02880%</v>
      </c>
      <c r="C483" t="s">
        <v>10</v>
      </c>
      <c r="D483" t="s">
        <v>10</v>
      </c>
      <c r="E483" t="str">
        <f>"$ 222,400"</f>
        <v>$ 222,400</v>
      </c>
      <c r="F483" s="1">
        <v>5700</v>
      </c>
    </row>
    <row r="484" spans="1:6">
      <c r="A484" t="s">
        <v>487</v>
      </c>
      <c r="B484" t="str">
        <f>"0.02870%"</f>
        <v>0.02870%</v>
      </c>
      <c r="C484" t="s">
        <v>10</v>
      </c>
      <c r="D484" t="s">
        <v>10</v>
      </c>
      <c r="E484" t="str">
        <f>"$ 221,636"</f>
        <v>$ 221,636</v>
      </c>
      <c r="F484" s="1">
        <v>3975</v>
      </c>
    </row>
    <row r="485" spans="1:6">
      <c r="A485" t="s">
        <v>488</v>
      </c>
      <c r="B485" t="str">
        <f>"0.02856%"</f>
        <v>0.02856%</v>
      </c>
      <c r="C485" t="s">
        <v>10</v>
      </c>
      <c r="D485" t="s">
        <v>10</v>
      </c>
      <c r="E485" t="str">
        <f>"$ 220,520"</f>
        <v>$ 220,520</v>
      </c>
      <c r="F485" s="1">
        <v>90624</v>
      </c>
    </row>
    <row r="486" spans="1:6">
      <c r="A486" t="s">
        <v>489</v>
      </c>
      <c r="B486" t="str">
        <f>"0.02849%"</f>
        <v>0.02849%</v>
      </c>
      <c r="C486" t="s">
        <v>10</v>
      </c>
      <c r="D486" t="s">
        <v>10</v>
      </c>
      <c r="E486" t="str">
        <f>"$ 219,990"</f>
        <v>$ 219,990</v>
      </c>
      <c r="F486" s="1">
        <v>24335</v>
      </c>
    </row>
    <row r="487" spans="1:6">
      <c r="A487" t="s">
        <v>490</v>
      </c>
      <c r="B487" t="str">
        <f>"0.02843%"</f>
        <v>0.02843%</v>
      </c>
      <c r="C487" t="s">
        <v>10</v>
      </c>
      <c r="D487" t="s">
        <v>10</v>
      </c>
      <c r="E487" t="str">
        <f>"$ 219,521"</f>
        <v>$ 219,521</v>
      </c>
      <c r="F487" s="1">
        <v>2444</v>
      </c>
    </row>
    <row r="488" spans="1:6">
      <c r="A488" t="s">
        <v>491</v>
      </c>
      <c r="B488" t="str">
        <f>"0.02838%"</f>
        <v>0.02838%</v>
      </c>
      <c r="C488" t="s">
        <v>10</v>
      </c>
      <c r="D488" t="s">
        <v>10</v>
      </c>
      <c r="E488" t="str">
        <f>"$ 219,167"</f>
        <v>$ 219,167</v>
      </c>
      <c r="F488" s="1">
        <v>12025</v>
      </c>
    </row>
    <row r="489" spans="1:6">
      <c r="A489" t="s">
        <v>492</v>
      </c>
      <c r="B489" t="str">
        <f>"0.02830%"</f>
        <v>0.02830%</v>
      </c>
      <c r="C489" t="s">
        <v>10</v>
      </c>
      <c r="D489" t="s">
        <v>10</v>
      </c>
      <c r="E489" t="str">
        <f>"$ 218,495"</f>
        <v>$ 218,495</v>
      </c>
      <c r="F489" s="1">
        <v>1848</v>
      </c>
    </row>
    <row r="490" spans="1:6">
      <c r="A490" t="s">
        <v>493</v>
      </c>
      <c r="B490" t="str">
        <f>"0.02820%"</f>
        <v>0.02820%</v>
      </c>
      <c r="C490" t="s">
        <v>10</v>
      </c>
      <c r="D490" t="s">
        <v>10</v>
      </c>
      <c r="E490" t="str">
        <f>"$ 217,760"</f>
        <v>$ 217,760</v>
      </c>
      <c r="F490" s="1">
        <v>7918</v>
      </c>
    </row>
    <row r="491" spans="1:6">
      <c r="A491" t="s">
        <v>494</v>
      </c>
      <c r="B491" t="str">
        <f>"0.02818%"</f>
        <v>0.02818%</v>
      </c>
      <c r="C491" t="s">
        <v>10</v>
      </c>
      <c r="D491" t="s">
        <v>10</v>
      </c>
      <c r="E491" t="str">
        <f>"$ 217,634"</f>
        <v>$ 217,634</v>
      </c>
      <c r="F491" s="1">
        <v>3246</v>
      </c>
    </row>
    <row r="492" spans="1:6">
      <c r="A492" t="s">
        <v>495</v>
      </c>
      <c r="B492" t="str">
        <f>"0.02811%"</f>
        <v>0.02811%</v>
      </c>
      <c r="C492" t="s">
        <v>10</v>
      </c>
      <c r="D492" t="s">
        <v>10</v>
      </c>
      <c r="E492" t="str">
        <f>"$ 217,066"</f>
        <v>$ 217,066</v>
      </c>
      <c r="F492" s="1">
        <v>4835</v>
      </c>
    </row>
    <row r="493" spans="1:6">
      <c r="A493" t="s">
        <v>496</v>
      </c>
      <c r="B493" t="str">
        <f>"0.02810%"</f>
        <v>0.02810%</v>
      </c>
      <c r="C493" t="s">
        <v>10</v>
      </c>
      <c r="D493" t="s">
        <v>10</v>
      </c>
      <c r="E493" t="str">
        <f>"$ 216,987"</f>
        <v>$ 216,987</v>
      </c>
      <c r="F493" s="1">
        <v>1876</v>
      </c>
    </row>
    <row r="494" spans="1:6">
      <c r="A494" t="s">
        <v>497</v>
      </c>
      <c r="B494" t="str">
        <f>"0.02807%"</f>
        <v>0.02807%</v>
      </c>
      <c r="C494" t="s">
        <v>10</v>
      </c>
      <c r="D494" t="s">
        <v>10</v>
      </c>
      <c r="E494" t="str">
        <f>"$ 216,757"</f>
        <v>$ 216,757</v>
      </c>
      <c r="F494" s="1">
        <v>6700</v>
      </c>
    </row>
    <row r="495" spans="1:6">
      <c r="A495" t="s">
        <v>498</v>
      </c>
      <c r="B495" t="str">
        <f>"0.02805%"</f>
        <v>0.02805%</v>
      </c>
      <c r="C495" t="s">
        <v>10</v>
      </c>
      <c r="D495" t="s">
        <v>10</v>
      </c>
      <c r="E495" t="str">
        <f>"$ 216,574"</f>
        <v>$ 216,574</v>
      </c>
      <c r="F495" s="1">
        <v>4734</v>
      </c>
    </row>
    <row r="496" spans="1:6">
      <c r="A496" t="s">
        <v>499</v>
      </c>
      <c r="B496" t="str">
        <f>"0.02800%"</f>
        <v>0.02800%</v>
      </c>
      <c r="C496" t="s">
        <v>10</v>
      </c>
      <c r="D496" t="s">
        <v>10</v>
      </c>
      <c r="E496" t="str">
        <f>"$ 216,185"</f>
        <v>$ 216,185</v>
      </c>
      <c r="F496">
        <v>157</v>
      </c>
    </row>
    <row r="497" spans="1:6">
      <c r="A497" t="s">
        <v>500</v>
      </c>
      <c r="B497" t="str">
        <f>"0.02790%"</f>
        <v>0.02790%</v>
      </c>
      <c r="C497" t="s">
        <v>10</v>
      </c>
      <c r="D497" t="s">
        <v>10</v>
      </c>
      <c r="E497" t="str">
        <f>"$ 215,423"</f>
        <v>$ 215,423</v>
      </c>
      <c r="F497" s="1">
        <v>2781</v>
      </c>
    </row>
    <row r="498" spans="1:6">
      <c r="A498" t="s">
        <v>501</v>
      </c>
      <c r="B498" t="str">
        <f>"0.02783%"</f>
        <v>0.02783%</v>
      </c>
      <c r="C498" t="s">
        <v>10</v>
      </c>
      <c r="D498" t="s">
        <v>10</v>
      </c>
      <c r="E498" t="str">
        <f>"$ 214,865"</f>
        <v>$ 214,865</v>
      </c>
      <c r="F498" s="1">
        <v>2276</v>
      </c>
    </row>
    <row r="499" spans="1:6">
      <c r="A499" t="s">
        <v>502</v>
      </c>
      <c r="B499" t="str">
        <f>"0.02755%"</f>
        <v>0.02755%</v>
      </c>
      <c r="C499" t="s">
        <v>10</v>
      </c>
      <c r="D499" t="s">
        <v>10</v>
      </c>
      <c r="E499" t="str">
        <f>"$ 212,760"</f>
        <v>$ 212,760</v>
      </c>
      <c r="F499" s="1">
        <v>19579</v>
      </c>
    </row>
    <row r="500" spans="1:6">
      <c r="A500" t="s">
        <v>503</v>
      </c>
      <c r="B500" t="str">
        <f>"0.02753%"</f>
        <v>0.02753%</v>
      </c>
      <c r="C500" t="s">
        <v>10</v>
      </c>
      <c r="D500" t="s">
        <v>10</v>
      </c>
      <c r="E500" t="str">
        <f>"$ 212,618"</f>
        <v>$ 212,618</v>
      </c>
      <c r="F500" s="1">
        <v>1824</v>
      </c>
    </row>
    <row r="501" spans="1:6">
      <c r="A501" t="s">
        <v>504</v>
      </c>
      <c r="B501" t="str">
        <f>"0.02746%"</f>
        <v>0.02746%</v>
      </c>
      <c r="C501" t="s">
        <v>10</v>
      </c>
      <c r="D501" t="s">
        <v>10</v>
      </c>
      <c r="E501" t="str">
        <f>"$ 212,070"</f>
        <v>$ 212,070</v>
      </c>
      <c r="F501" s="1">
        <v>6103</v>
      </c>
    </row>
    <row r="502" spans="1:6">
      <c r="A502" t="s">
        <v>505</v>
      </c>
      <c r="B502" t="str">
        <f>"0.02745%"</f>
        <v>0.02745%</v>
      </c>
      <c r="C502" t="s">
        <v>10</v>
      </c>
      <c r="D502" t="s">
        <v>10</v>
      </c>
      <c r="E502" t="str">
        <f>"$ 211,982"</f>
        <v>$ 211,982</v>
      </c>
      <c r="F502" s="1">
        <v>8775</v>
      </c>
    </row>
    <row r="503" spans="1:6">
      <c r="A503" t="s">
        <v>506</v>
      </c>
      <c r="B503" t="str">
        <f>"0.02739%"</f>
        <v>0.02739%</v>
      </c>
      <c r="C503" t="s">
        <v>10</v>
      </c>
      <c r="D503" t="s">
        <v>10</v>
      </c>
      <c r="E503" t="str">
        <f>"$ 211,469"</f>
        <v>$ 211,469</v>
      </c>
      <c r="F503" s="1">
        <v>1458</v>
      </c>
    </row>
    <row r="504" spans="1:6">
      <c r="A504" t="s">
        <v>507</v>
      </c>
      <c r="B504" t="str">
        <f>"0.02731%"</f>
        <v>0.02731%</v>
      </c>
      <c r="C504" t="s">
        <v>10</v>
      </c>
      <c r="D504" t="s">
        <v>10</v>
      </c>
      <c r="E504" t="str">
        <f>"$ 210,906"</f>
        <v>$ 210,906</v>
      </c>
      <c r="F504" s="1">
        <v>8087</v>
      </c>
    </row>
    <row r="505" spans="1:6">
      <c r="A505" t="s">
        <v>508</v>
      </c>
      <c r="B505" t="str">
        <f>"0.02730%"</f>
        <v>0.02730%</v>
      </c>
      <c r="C505" t="s">
        <v>10</v>
      </c>
      <c r="D505" t="s">
        <v>10</v>
      </c>
      <c r="E505" t="str">
        <f>"$ 210,828"</f>
        <v>$ 210,828</v>
      </c>
      <c r="F505" s="1">
        <v>7241</v>
      </c>
    </row>
    <row r="506" spans="1:6">
      <c r="A506" t="s">
        <v>509</v>
      </c>
      <c r="B506" t="str">
        <f>"0.02722%"</f>
        <v>0.02722%</v>
      </c>
      <c r="C506" t="s">
        <v>10</v>
      </c>
      <c r="D506" t="s">
        <v>10</v>
      </c>
      <c r="E506" t="str">
        <f>"$ 210,179"</f>
        <v>$ 210,179</v>
      </c>
      <c r="F506" s="1">
        <v>16517</v>
      </c>
    </row>
    <row r="507" spans="1:6">
      <c r="A507" t="s">
        <v>510</v>
      </c>
      <c r="B507" t="str">
        <f>"0.02722%"</f>
        <v>0.02722%</v>
      </c>
      <c r="C507" t="s">
        <v>10</v>
      </c>
      <c r="D507" t="s">
        <v>10</v>
      </c>
      <c r="E507" t="str">
        <f>"$ 210,208"</f>
        <v>$ 210,208</v>
      </c>
      <c r="F507" s="1">
        <v>3518</v>
      </c>
    </row>
    <row r="508" spans="1:6">
      <c r="A508" t="s">
        <v>511</v>
      </c>
      <c r="B508" t="str">
        <f>"0.02719%"</f>
        <v>0.02719%</v>
      </c>
      <c r="C508" t="s">
        <v>10</v>
      </c>
      <c r="D508" t="s">
        <v>10</v>
      </c>
      <c r="E508" t="str">
        <f>"$ 209,944"</f>
        <v>$ 209,944</v>
      </c>
      <c r="F508" s="1">
        <v>1408</v>
      </c>
    </row>
    <row r="509" spans="1:6">
      <c r="A509" t="s">
        <v>512</v>
      </c>
      <c r="B509" t="str">
        <f>"0.02718%"</f>
        <v>0.02718%</v>
      </c>
      <c r="C509" t="s">
        <v>10</v>
      </c>
      <c r="D509" t="s">
        <v>10</v>
      </c>
      <c r="E509" t="str">
        <f>"$ 209,869"</f>
        <v>$ 209,869</v>
      </c>
      <c r="F509" s="1">
        <v>2324</v>
      </c>
    </row>
    <row r="510" spans="1:6">
      <c r="A510" t="s">
        <v>513</v>
      </c>
      <c r="B510" t="str">
        <f>"0.02711%"</f>
        <v>0.02711%</v>
      </c>
      <c r="C510" t="s">
        <v>10</v>
      </c>
      <c r="D510" t="s">
        <v>10</v>
      </c>
      <c r="E510" t="str">
        <f>"$ 209,369"</f>
        <v>$ 209,369</v>
      </c>
      <c r="F510" s="1">
        <v>1269</v>
      </c>
    </row>
    <row r="511" spans="1:6">
      <c r="A511" t="s">
        <v>514</v>
      </c>
      <c r="B511" t="str">
        <f>"0.02707%"</f>
        <v>0.02707%</v>
      </c>
      <c r="C511" t="s">
        <v>10</v>
      </c>
      <c r="D511" t="s">
        <v>10</v>
      </c>
      <c r="E511" t="str">
        <f>"$ 209,029"</f>
        <v>$ 209,029</v>
      </c>
      <c r="F511" s="1">
        <v>4899</v>
      </c>
    </row>
    <row r="512" spans="1:6">
      <c r="A512" t="s">
        <v>515</v>
      </c>
      <c r="B512" t="str">
        <f>"0.02705%"</f>
        <v>0.02705%</v>
      </c>
      <c r="C512" t="s">
        <v>10</v>
      </c>
      <c r="D512" t="s">
        <v>10</v>
      </c>
      <c r="E512" t="str">
        <f>"$ 208,867"</f>
        <v>$ 208,867</v>
      </c>
      <c r="F512" s="1">
        <v>5643</v>
      </c>
    </row>
    <row r="513" spans="1:6">
      <c r="A513" t="s">
        <v>516</v>
      </c>
      <c r="B513" t="str">
        <f>"0.02703%"</f>
        <v>0.02703%</v>
      </c>
      <c r="C513" t="s">
        <v>10</v>
      </c>
      <c r="D513" t="s">
        <v>10</v>
      </c>
      <c r="E513" t="str">
        <f>"$ 208,717"</f>
        <v>$ 208,717</v>
      </c>
      <c r="F513" s="1">
        <v>15135</v>
      </c>
    </row>
    <row r="514" spans="1:6">
      <c r="A514" t="s">
        <v>517</v>
      </c>
      <c r="B514" t="str">
        <f>"0.02702%"</f>
        <v>0.02702%</v>
      </c>
      <c r="C514" t="s">
        <v>10</v>
      </c>
      <c r="D514" t="s">
        <v>10</v>
      </c>
      <c r="E514" t="str">
        <f>"$ 208,635"</f>
        <v>$ 208,635</v>
      </c>
      <c r="F514" s="1">
        <v>51941</v>
      </c>
    </row>
    <row r="515" spans="1:6">
      <c r="A515" t="s">
        <v>518</v>
      </c>
      <c r="B515" t="str">
        <f>"0.02693%"</f>
        <v>0.02693%</v>
      </c>
      <c r="C515" t="s">
        <v>10</v>
      </c>
      <c r="D515" t="s">
        <v>10</v>
      </c>
      <c r="E515" t="str">
        <f>"$ 207,986"</f>
        <v>$ 207,986</v>
      </c>
      <c r="F515" s="1">
        <v>1978</v>
      </c>
    </row>
    <row r="516" spans="1:6">
      <c r="A516" t="s">
        <v>519</v>
      </c>
      <c r="B516" t="str">
        <f>"0.02686%"</f>
        <v>0.02686%</v>
      </c>
      <c r="C516" t="s">
        <v>10</v>
      </c>
      <c r="D516" t="s">
        <v>10</v>
      </c>
      <c r="E516" t="str">
        <f>"$ 207,411"</f>
        <v>$ 207,411</v>
      </c>
      <c r="F516">
        <v>973</v>
      </c>
    </row>
    <row r="517" spans="1:6">
      <c r="A517" t="s">
        <v>520</v>
      </c>
      <c r="B517" t="str">
        <f>"0.02682%"</f>
        <v>0.02682%</v>
      </c>
      <c r="C517" t="s">
        <v>10</v>
      </c>
      <c r="D517" t="s">
        <v>10</v>
      </c>
      <c r="E517" t="str">
        <f>"$ 207,078"</f>
        <v>$ 207,078</v>
      </c>
      <c r="F517" s="1">
        <v>2157</v>
      </c>
    </row>
    <row r="518" spans="1:6">
      <c r="A518" t="s">
        <v>521</v>
      </c>
      <c r="B518" t="str">
        <f>"0.02680%"</f>
        <v>0.02680%</v>
      </c>
      <c r="C518" t="s">
        <v>10</v>
      </c>
      <c r="D518" t="s">
        <v>10</v>
      </c>
      <c r="E518" t="str">
        <f>"$ 206,952"</f>
        <v>$ 206,952</v>
      </c>
      <c r="F518">
        <v>929</v>
      </c>
    </row>
    <row r="519" spans="1:6">
      <c r="A519" t="s">
        <v>522</v>
      </c>
      <c r="B519" t="str">
        <f>"0.02677%"</f>
        <v>0.02677%</v>
      </c>
      <c r="C519" t="s">
        <v>10</v>
      </c>
      <c r="D519" t="s">
        <v>10</v>
      </c>
      <c r="E519" t="str">
        <f>"$ 206,702"</f>
        <v>$ 206,702</v>
      </c>
      <c r="F519" s="1">
        <v>1967</v>
      </c>
    </row>
    <row r="520" spans="1:6">
      <c r="A520" t="s">
        <v>523</v>
      </c>
      <c r="B520" t="str">
        <f>"0.02671%"</f>
        <v>0.02671%</v>
      </c>
      <c r="C520" t="s">
        <v>10</v>
      </c>
      <c r="D520" t="s">
        <v>10</v>
      </c>
      <c r="E520" t="str">
        <f>"$ 206,226"</f>
        <v>$ 206,226</v>
      </c>
      <c r="F520" s="1">
        <v>2583</v>
      </c>
    </row>
    <row r="521" spans="1:6">
      <c r="A521" t="s">
        <v>524</v>
      </c>
      <c r="B521" t="str">
        <f>"0.02666%"</f>
        <v>0.02666%</v>
      </c>
      <c r="C521" t="s">
        <v>10</v>
      </c>
      <c r="D521" t="s">
        <v>10</v>
      </c>
      <c r="E521" t="str">
        <f>"$ 205,861"</f>
        <v>$ 205,861</v>
      </c>
      <c r="F521">
        <v>473</v>
      </c>
    </row>
    <row r="522" spans="1:6">
      <c r="A522" t="s">
        <v>525</v>
      </c>
      <c r="B522" t="str">
        <f>"0.02665%"</f>
        <v>0.02665%</v>
      </c>
      <c r="C522" t="s">
        <v>10</v>
      </c>
      <c r="D522" t="s">
        <v>10</v>
      </c>
      <c r="E522" t="str">
        <f>"$ 205,783"</f>
        <v>$ 205,783</v>
      </c>
      <c r="F522" s="1">
        <v>6583</v>
      </c>
    </row>
    <row r="523" spans="1:6">
      <c r="A523" t="s">
        <v>526</v>
      </c>
      <c r="B523" t="str">
        <f>"0.02653%"</f>
        <v>0.02653%</v>
      </c>
      <c r="C523" t="s">
        <v>10</v>
      </c>
      <c r="D523" t="s">
        <v>10</v>
      </c>
      <c r="E523" t="str">
        <f>"$ 204,881"</f>
        <v>$ 204,881</v>
      </c>
      <c r="F523" s="1">
        <v>8825</v>
      </c>
    </row>
    <row r="524" spans="1:6">
      <c r="A524" t="s">
        <v>527</v>
      </c>
      <c r="B524" t="str">
        <f>"0.02652%"</f>
        <v>0.02652%</v>
      </c>
      <c r="C524" t="s">
        <v>10</v>
      </c>
      <c r="D524" t="s">
        <v>10</v>
      </c>
      <c r="E524" t="str">
        <f>"$ 204,794"</f>
        <v>$ 204,794</v>
      </c>
      <c r="F524">
        <v>554</v>
      </c>
    </row>
    <row r="525" spans="1:6">
      <c r="A525" t="s">
        <v>528</v>
      </c>
      <c r="B525" t="str">
        <f>"0.02649%"</f>
        <v>0.02649%</v>
      </c>
      <c r="C525" t="s">
        <v>10</v>
      </c>
      <c r="D525" t="s">
        <v>10</v>
      </c>
      <c r="E525" t="str">
        <f>"$ 204,530"</f>
        <v>$ 204,530</v>
      </c>
      <c r="F525" s="1">
        <v>3843</v>
      </c>
    </row>
    <row r="526" spans="1:6">
      <c r="A526" t="s">
        <v>529</v>
      </c>
      <c r="B526" t="str">
        <f>"0.02648%"</f>
        <v>0.02648%</v>
      </c>
      <c r="C526" t="s">
        <v>10</v>
      </c>
      <c r="D526" t="s">
        <v>10</v>
      </c>
      <c r="E526" t="str">
        <f>"$ 204,485"</f>
        <v>$ 204,485</v>
      </c>
      <c r="F526" s="1">
        <v>32875</v>
      </c>
    </row>
    <row r="527" spans="1:6">
      <c r="A527" t="s">
        <v>530</v>
      </c>
      <c r="B527" t="str">
        <f>"0.02646%"</f>
        <v>0.02646%</v>
      </c>
      <c r="C527" t="s">
        <v>10</v>
      </c>
      <c r="D527" t="s">
        <v>10</v>
      </c>
      <c r="E527" t="str">
        <f>"$ 204,309"</f>
        <v>$ 204,309</v>
      </c>
      <c r="F527" s="1">
        <v>16643</v>
      </c>
    </row>
    <row r="528" spans="1:6">
      <c r="A528" t="s">
        <v>36</v>
      </c>
      <c r="B528" t="str">
        <f>"0.02644%"</f>
        <v>0.02644%</v>
      </c>
      <c r="C528" t="s">
        <v>10</v>
      </c>
      <c r="D528" t="s">
        <v>10</v>
      </c>
      <c r="E528" t="str">
        <f>"$ 204,196"</f>
        <v>$ 204,196</v>
      </c>
      <c r="F528" s="1">
        <v>1643</v>
      </c>
    </row>
    <row r="529" spans="1:6">
      <c r="A529" t="s">
        <v>531</v>
      </c>
      <c r="B529" t="str">
        <f>"0.02637%"</f>
        <v>0.02637%</v>
      </c>
      <c r="C529" t="s">
        <v>10</v>
      </c>
      <c r="D529" t="s">
        <v>10</v>
      </c>
      <c r="E529" t="str">
        <f>"$ 203,620"</f>
        <v>$ 203,620</v>
      </c>
      <c r="F529" s="1">
        <v>2246</v>
      </c>
    </row>
    <row r="530" spans="1:6">
      <c r="A530" t="s">
        <v>532</v>
      </c>
      <c r="B530" t="str">
        <f>"0.02632%"</f>
        <v>0.02632%</v>
      </c>
      <c r="C530" t="s">
        <v>10</v>
      </c>
      <c r="D530" t="s">
        <v>10</v>
      </c>
      <c r="E530" t="str">
        <f>"$ 203,220"</f>
        <v>$ 203,220</v>
      </c>
      <c r="F530" s="1">
        <v>1289</v>
      </c>
    </row>
    <row r="531" spans="1:6">
      <c r="A531" t="s">
        <v>533</v>
      </c>
      <c r="B531" t="str">
        <f>"0.02631%"</f>
        <v>0.02631%</v>
      </c>
      <c r="C531" t="s">
        <v>10</v>
      </c>
      <c r="D531" t="s">
        <v>10</v>
      </c>
      <c r="E531" t="str">
        <f>"$ 203,152"</f>
        <v>$ 203,152</v>
      </c>
      <c r="F531" s="1">
        <v>12949</v>
      </c>
    </row>
    <row r="532" spans="1:6">
      <c r="A532" t="s">
        <v>534</v>
      </c>
      <c r="B532" t="str">
        <f>"0.02619%"</f>
        <v>0.02619%</v>
      </c>
      <c r="C532" t="s">
        <v>10</v>
      </c>
      <c r="D532" t="s">
        <v>10</v>
      </c>
      <c r="E532" t="str">
        <f>"$ 202,243"</f>
        <v>$ 202,243</v>
      </c>
      <c r="F532" s="1">
        <v>1128</v>
      </c>
    </row>
    <row r="533" spans="1:6">
      <c r="A533" t="s">
        <v>535</v>
      </c>
      <c r="B533" t="str">
        <f>"0.02614%"</f>
        <v>0.02614%</v>
      </c>
      <c r="C533" t="s">
        <v>10</v>
      </c>
      <c r="D533" t="s">
        <v>10</v>
      </c>
      <c r="E533" t="str">
        <f>"$ 201,885"</f>
        <v>$ 201,885</v>
      </c>
      <c r="F533">
        <v>363</v>
      </c>
    </row>
    <row r="534" spans="1:6">
      <c r="A534" t="s">
        <v>536</v>
      </c>
      <c r="B534" t="str">
        <f>"0.02605%"</f>
        <v>0.02605%</v>
      </c>
      <c r="C534" t="s">
        <v>10</v>
      </c>
      <c r="D534" t="s">
        <v>10</v>
      </c>
      <c r="E534" t="str">
        <f>"$ 201,119"</f>
        <v>$ 201,119</v>
      </c>
      <c r="F534" s="1">
        <v>1396</v>
      </c>
    </row>
    <row r="535" spans="1:6">
      <c r="A535" t="s">
        <v>537</v>
      </c>
      <c r="B535" t="str">
        <f>"0.02601%"</f>
        <v>0.02601%</v>
      </c>
      <c r="C535" t="s">
        <v>10</v>
      </c>
      <c r="D535" t="s">
        <v>10</v>
      </c>
      <c r="E535" t="str">
        <f>"$ 200,873"</f>
        <v>$ 200,873</v>
      </c>
      <c r="F535" s="1">
        <v>2905</v>
      </c>
    </row>
    <row r="536" spans="1:6">
      <c r="A536" t="s">
        <v>538</v>
      </c>
      <c r="B536" t="str">
        <f>"0.02599%"</f>
        <v>0.02599%</v>
      </c>
      <c r="C536" t="s">
        <v>10</v>
      </c>
      <c r="D536" t="s">
        <v>10</v>
      </c>
      <c r="E536" t="str">
        <f>"$ 200,699"</f>
        <v>$ 200,699</v>
      </c>
      <c r="F536" s="1">
        <v>5990</v>
      </c>
    </row>
    <row r="537" spans="1:6">
      <c r="A537" t="s">
        <v>539</v>
      </c>
      <c r="B537" t="str">
        <f>"0.02588%"</f>
        <v>0.02588%</v>
      </c>
      <c r="C537" t="s">
        <v>10</v>
      </c>
      <c r="D537" t="s">
        <v>10</v>
      </c>
      <c r="E537" t="str">
        <f>"$ 199,877"</f>
        <v>$ 199,877</v>
      </c>
      <c r="F537" s="1">
        <v>9293</v>
      </c>
    </row>
    <row r="538" spans="1:6">
      <c r="A538" t="s">
        <v>540</v>
      </c>
      <c r="B538" t="str">
        <f>"0.02584%"</f>
        <v>0.02584%</v>
      </c>
      <c r="C538" t="s">
        <v>10</v>
      </c>
      <c r="D538" t="s">
        <v>10</v>
      </c>
      <c r="E538" t="str">
        <f>"$ 199,557"</f>
        <v>$ 199,557</v>
      </c>
      <c r="F538">
        <v>808</v>
      </c>
    </row>
    <row r="539" spans="1:6">
      <c r="A539" t="s">
        <v>541</v>
      </c>
      <c r="B539" t="str">
        <f>"0.02583%"</f>
        <v>0.02583%</v>
      </c>
      <c r="C539" t="s">
        <v>10</v>
      </c>
      <c r="D539" t="s">
        <v>10</v>
      </c>
      <c r="E539" t="str">
        <f>"$ 199,487"</f>
        <v>$ 199,487</v>
      </c>
      <c r="F539" s="1">
        <v>2477</v>
      </c>
    </row>
    <row r="540" spans="1:6">
      <c r="A540" t="s">
        <v>542</v>
      </c>
      <c r="B540" t="str">
        <f>"0.02582%"</f>
        <v>0.02582%</v>
      </c>
      <c r="C540" t="s">
        <v>10</v>
      </c>
      <c r="D540" t="s">
        <v>10</v>
      </c>
      <c r="E540" t="str">
        <f>"$ 199,397"</f>
        <v>$ 199,397</v>
      </c>
      <c r="F540" s="1">
        <v>5254</v>
      </c>
    </row>
    <row r="541" spans="1:6">
      <c r="A541" t="s">
        <v>543</v>
      </c>
      <c r="B541" t="str">
        <f>"0.02571%"</f>
        <v>0.02571%</v>
      </c>
      <c r="C541" t="s">
        <v>10</v>
      </c>
      <c r="D541" t="s">
        <v>10</v>
      </c>
      <c r="E541" t="str">
        <f>"$ 198,497"</f>
        <v>$ 198,497</v>
      </c>
      <c r="F541" s="1">
        <v>1483</v>
      </c>
    </row>
    <row r="542" spans="1:6">
      <c r="A542" t="s">
        <v>544</v>
      </c>
      <c r="B542" t="str">
        <f>"0.02570%"</f>
        <v>0.02570%</v>
      </c>
      <c r="C542" t="s">
        <v>10</v>
      </c>
      <c r="D542" t="s">
        <v>10</v>
      </c>
      <c r="E542" t="str">
        <f>"$ 198,438"</f>
        <v>$ 198,438</v>
      </c>
      <c r="F542" s="1">
        <v>13107</v>
      </c>
    </row>
    <row r="543" spans="1:6">
      <c r="A543" t="s">
        <v>545</v>
      </c>
      <c r="B543" t="str">
        <f>"0.02565%"</f>
        <v>0.02565%</v>
      </c>
      <c r="C543" t="s">
        <v>10</v>
      </c>
      <c r="D543" t="s">
        <v>10</v>
      </c>
      <c r="E543" t="str">
        <f>"$ 198,093"</f>
        <v>$ 198,093</v>
      </c>
      <c r="F543" s="1">
        <v>3898</v>
      </c>
    </row>
    <row r="544" spans="1:6">
      <c r="A544" t="s">
        <v>546</v>
      </c>
      <c r="B544" t="str">
        <f>"0.02564%"</f>
        <v>0.02564%</v>
      </c>
      <c r="C544" t="s">
        <v>10</v>
      </c>
      <c r="D544" t="s">
        <v>10</v>
      </c>
      <c r="E544" t="str">
        <f>"$ 198,002"</f>
        <v>$ 198,002</v>
      </c>
      <c r="F544" s="1">
        <v>1020</v>
      </c>
    </row>
    <row r="545" spans="1:6">
      <c r="A545" t="s">
        <v>547</v>
      </c>
      <c r="B545" t="str">
        <f>"0.02545%"</f>
        <v>0.02545%</v>
      </c>
      <c r="C545" t="s">
        <v>10</v>
      </c>
      <c r="D545" t="s">
        <v>10</v>
      </c>
      <c r="E545" t="str">
        <f>"$ 196,534"</f>
        <v>$ 196,534</v>
      </c>
      <c r="F545">
        <v>56</v>
      </c>
    </row>
    <row r="546" spans="1:6">
      <c r="A546" t="s">
        <v>548</v>
      </c>
      <c r="B546" t="str">
        <f>"0.02538%"</f>
        <v>0.02538%</v>
      </c>
      <c r="C546" t="s">
        <v>10</v>
      </c>
      <c r="D546" t="s">
        <v>10</v>
      </c>
      <c r="E546" t="str">
        <f>"$ 195,993"</f>
        <v>$ 195,993</v>
      </c>
      <c r="F546" s="1">
        <v>13588</v>
      </c>
    </row>
    <row r="547" spans="1:6">
      <c r="A547" t="s">
        <v>549</v>
      </c>
      <c r="B547" t="str">
        <f>"0.02532%"</f>
        <v>0.02532%</v>
      </c>
      <c r="C547" t="s">
        <v>10</v>
      </c>
      <c r="D547" t="s">
        <v>10</v>
      </c>
      <c r="E547" t="str">
        <f>"$ 195,483"</f>
        <v>$ 195,483</v>
      </c>
      <c r="F547" s="1">
        <v>4209</v>
      </c>
    </row>
    <row r="548" spans="1:6">
      <c r="A548" t="s">
        <v>550</v>
      </c>
      <c r="B548" t="str">
        <f>"0.02527%"</f>
        <v>0.02527%</v>
      </c>
      <c r="C548" t="s">
        <v>10</v>
      </c>
      <c r="D548" t="s">
        <v>10</v>
      </c>
      <c r="E548" t="str">
        <f>"$ 195,114"</f>
        <v>$ 195,114</v>
      </c>
      <c r="F548">
        <v>804</v>
      </c>
    </row>
    <row r="549" spans="1:6">
      <c r="A549" t="s">
        <v>551</v>
      </c>
      <c r="B549" t="str">
        <f>"0.02524%"</f>
        <v>0.02524%</v>
      </c>
      <c r="C549" t="s">
        <v>10</v>
      </c>
      <c r="D549" t="s">
        <v>10</v>
      </c>
      <c r="E549" t="str">
        <f>"$ 194,895"</f>
        <v>$ 194,895</v>
      </c>
      <c r="F549" s="1">
        <v>5658</v>
      </c>
    </row>
    <row r="550" spans="1:6">
      <c r="A550" t="s">
        <v>552</v>
      </c>
      <c r="B550" t="str">
        <f>"0.02521%"</f>
        <v>0.02521%</v>
      </c>
      <c r="C550" t="s">
        <v>10</v>
      </c>
      <c r="D550" t="s">
        <v>10</v>
      </c>
      <c r="E550" t="str">
        <f>"$ 194,687"</f>
        <v>$ 194,687</v>
      </c>
      <c r="F550" s="1">
        <v>51779</v>
      </c>
    </row>
    <row r="551" spans="1:6">
      <c r="A551" t="s">
        <v>553</v>
      </c>
      <c r="B551" t="str">
        <f>"0.02518%"</f>
        <v>0.02518%</v>
      </c>
      <c r="C551" t="s">
        <v>10</v>
      </c>
      <c r="D551" t="s">
        <v>10</v>
      </c>
      <c r="E551" t="str">
        <f>"$ 194,461"</f>
        <v>$ 194,461</v>
      </c>
      <c r="F551" s="1">
        <v>1045</v>
      </c>
    </row>
    <row r="552" spans="1:6">
      <c r="A552" t="s">
        <v>554</v>
      </c>
      <c r="B552" t="str">
        <f>"0.02502%"</f>
        <v>0.02502%</v>
      </c>
      <c r="C552" t="s">
        <v>10</v>
      </c>
      <c r="D552" t="s">
        <v>10</v>
      </c>
      <c r="E552" t="str">
        <f>"$ 193,231"</f>
        <v>$ 193,231</v>
      </c>
      <c r="F552" s="1">
        <v>1250</v>
      </c>
    </row>
    <row r="553" spans="1:6">
      <c r="A553" t="s">
        <v>555</v>
      </c>
      <c r="B553" t="str">
        <f>"0.02499%"</f>
        <v>0.02499%</v>
      </c>
      <c r="C553" t="s">
        <v>10</v>
      </c>
      <c r="D553" t="s">
        <v>10</v>
      </c>
      <c r="E553" t="str">
        <f>"$ 192,972"</f>
        <v>$ 192,972</v>
      </c>
      <c r="F553">
        <v>707</v>
      </c>
    </row>
    <row r="554" spans="1:6">
      <c r="A554" t="s">
        <v>556</v>
      </c>
      <c r="B554" t="str">
        <f>"0.02496%"</f>
        <v>0.02496%</v>
      </c>
      <c r="C554" t="s">
        <v>10</v>
      </c>
      <c r="D554" t="s">
        <v>10</v>
      </c>
      <c r="E554" t="str">
        <f>"$ 192,765"</f>
        <v>$ 192,765</v>
      </c>
      <c r="F554">
        <v>298</v>
      </c>
    </row>
    <row r="555" spans="1:6">
      <c r="A555" t="s">
        <v>557</v>
      </c>
      <c r="B555" t="str">
        <f>"0.02495%"</f>
        <v>0.02495%</v>
      </c>
      <c r="C555" t="s">
        <v>10</v>
      </c>
      <c r="D555" t="s">
        <v>10</v>
      </c>
      <c r="E555" t="str">
        <f>"$ 192,658"</f>
        <v>$ 192,658</v>
      </c>
      <c r="F555" s="1">
        <v>8446</v>
      </c>
    </row>
    <row r="556" spans="1:6">
      <c r="A556" t="s">
        <v>558</v>
      </c>
      <c r="B556" t="str">
        <f>"0.02494%"</f>
        <v>0.02494%</v>
      </c>
      <c r="C556" t="s">
        <v>10</v>
      </c>
      <c r="D556" t="s">
        <v>10</v>
      </c>
      <c r="E556" t="str">
        <f>"$ 192,559"</f>
        <v>$ 192,559</v>
      </c>
      <c r="F556" s="1">
        <v>1205</v>
      </c>
    </row>
    <row r="557" spans="1:6">
      <c r="A557" t="s">
        <v>559</v>
      </c>
      <c r="B557" t="str">
        <f>"0.02487%"</f>
        <v>0.02487%</v>
      </c>
      <c r="C557" t="s">
        <v>10</v>
      </c>
      <c r="D557" t="s">
        <v>10</v>
      </c>
      <c r="E557" t="str">
        <f>"$ 192,069"</f>
        <v>$ 192,069</v>
      </c>
      <c r="F557">
        <v>981</v>
      </c>
    </row>
    <row r="558" spans="1:6">
      <c r="A558" t="s">
        <v>560</v>
      </c>
      <c r="B558" t="str">
        <f>"0.02474%"</f>
        <v>0.02474%</v>
      </c>
      <c r="C558" t="s">
        <v>10</v>
      </c>
      <c r="D558" t="s">
        <v>10</v>
      </c>
      <c r="E558" t="str">
        <f>"$ 191,056"</f>
        <v>$ 191,056</v>
      </c>
      <c r="F558">
        <v>460</v>
      </c>
    </row>
    <row r="559" spans="1:6">
      <c r="A559" t="s">
        <v>561</v>
      </c>
      <c r="B559" t="str">
        <f>"0.02471%"</f>
        <v>0.02471%</v>
      </c>
      <c r="C559" t="s">
        <v>10</v>
      </c>
      <c r="D559" t="s">
        <v>10</v>
      </c>
      <c r="E559" t="str">
        <f>"$ 190,822"</f>
        <v>$ 190,822</v>
      </c>
      <c r="F559" s="1">
        <v>2502</v>
      </c>
    </row>
    <row r="560" spans="1:6">
      <c r="A560" t="s">
        <v>562</v>
      </c>
      <c r="B560" t="str">
        <f>"0.02468%"</f>
        <v>0.02468%</v>
      </c>
      <c r="C560" t="s">
        <v>10</v>
      </c>
      <c r="D560" t="s">
        <v>10</v>
      </c>
      <c r="E560" t="str">
        <f>"$ 190,549"</f>
        <v>$ 190,549</v>
      </c>
      <c r="F560" s="1">
        <v>1131</v>
      </c>
    </row>
    <row r="561" spans="1:6">
      <c r="A561" t="s">
        <v>563</v>
      </c>
      <c r="B561" t="str">
        <f>"0.02462%"</f>
        <v>0.02462%</v>
      </c>
      <c r="C561" t="s">
        <v>10</v>
      </c>
      <c r="D561" t="s">
        <v>10</v>
      </c>
      <c r="E561" t="str">
        <f>"$ 190,080"</f>
        <v>$ 190,080</v>
      </c>
      <c r="F561" s="1">
        <v>1095</v>
      </c>
    </row>
    <row r="562" spans="1:6">
      <c r="A562" t="s">
        <v>564</v>
      </c>
      <c r="B562" t="str">
        <f>"0.02449%"</f>
        <v>0.02449%</v>
      </c>
      <c r="C562" t="s">
        <v>10</v>
      </c>
      <c r="D562" t="s">
        <v>10</v>
      </c>
      <c r="E562" t="str">
        <f>"$ 189,148"</f>
        <v>$ 189,148</v>
      </c>
      <c r="F562" s="1">
        <v>1058</v>
      </c>
    </row>
    <row r="563" spans="1:6">
      <c r="A563" t="s">
        <v>565</v>
      </c>
      <c r="B563" t="str">
        <f>"0.02446%"</f>
        <v>0.02446%</v>
      </c>
      <c r="C563" t="s">
        <v>10</v>
      </c>
      <c r="D563" t="s">
        <v>10</v>
      </c>
      <c r="E563" t="str">
        <f>"$ 188,850"</f>
        <v>$ 188,850</v>
      </c>
      <c r="F563" s="1">
        <v>1967</v>
      </c>
    </row>
    <row r="564" spans="1:6">
      <c r="A564" t="s">
        <v>566</v>
      </c>
      <c r="B564" t="str">
        <f>"0.02444%"</f>
        <v>0.02444%</v>
      </c>
      <c r="C564" t="s">
        <v>10</v>
      </c>
      <c r="D564" t="s">
        <v>10</v>
      </c>
      <c r="E564" t="str">
        <f>"$ 188,740"</f>
        <v>$ 188,740</v>
      </c>
      <c r="F564" s="1">
        <v>4436</v>
      </c>
    </row>
    <row r="565" spans="1:6">
      <c r="A565" t="s">
        <v>567</v>
      </c>
      <c r="B565" t="str">
        <f>"0.02441%"</f>
        <v>0.02441%</v>
      </c>
      <c r="C565" t="s">
        <v>10</v>
      </c>
      <c r="D565" t="s">
        <v>10</v>
      </c>
      <c r="E565" t="str">
        <f>"$ 188,523"</f>
        <v>$ 188,523</v>
      </c>
      <c r="F565" s="1">
        <v>1932</v>
      </c>
    </row>
    <row r="566" spans="1:6">
      <c r="A566" t="s">
        <v>568</v>
      </c>
      <c r="B566" t="str">
        <f>"0.02434%"</f>
        <v>0.02434%</v>
      </c>
      <c r="C566" t="s">
        <v>10</v>
      </c>
      <c r="D566" t="s">
        <v>10</v>
      </c>
      <c r="E566" t="str">
        <f>"$ 187,919"</f>
        <v>$ 187,919</v>
      </c>
      <c r="F566" s="1">
        <v>1870</v>
      </c>
    </row>
    <row r="567" spans="1:6">
      <c r="A567" t="s">
        <v>569</v>
      </c>
      <c r="B567" t="str">
        <f>"0.02430%"</f>
        <v>0.02430%</v>
      </c>
      <c r="C567" t="s">
        <v>10</v>
      </c>
      <c r="D567" t="s">
        <v>10</v>
      </c>
      <c r="E567" t="str">
        <f>"$ 187,622"</f>
        <v>$ 187,622</v>
      </c>
      <c r="F567" s="1">
        <v>34809</v>
      </c>
    </row>
    <row r="568" spans="1:6">
      <c r="A568" t="s">
        <v>570</v>
      </c>
      <c r="B568" t="str">
        <f>"0.02428%"</f>
        <v>0.02428%</v>
      </c>
      <c r="C568" t="s">
        <v>10</v>
      </c>
      <c r="D568" t="s">
        <v>10</v>
      </c>
      <c r="E568" t="str">
        <f>"$ 187,477"</f>
        <v>$ 187,477</v>
      </c>
      <c r="F568" s="1">
        <v>4484</v>
      </c>
    </row>
    <row r="569" spans="1:6">
      <c r="A569" t="s">
        <v>571</v>
      </c>
      <c r="B569" t="str">
        <f>"0.02426%"</f>
        <v>0.02426%</v>
      </c>
      <c r="C569" t="s">
        <v>10</v>
      </c>
      <c r="D569" t="s">
        <v>10</v>
      </c>
      <c r="E569" t="str">
        <f>"$ 187,360"</f>
        <v>$ 187,360</v>
      </c>
      <c r="F569">
        <v>562</v>
      </c>
    </row>
    <row r="570" spans="1:6">
      <c r="A570" t="s">
        <v>572</v>
      </c>
      <c r="B570" t="str">
        <f>"0.02422%"</f>
        <v>0.02422%</v>
      </c>
      <c r="C570" t="s">
        <v>10</v>
      </c>
      <c r="D570" t="s">
        <v>10</v>
      </c>
      <c r="E570" t="str">
        <f>"$ 186,994"</f>
        <v>$ 186,994</v>
      </c>
      <c r="F570">
        <v>821</v>
      </c>
    </row>
    <row r="571" spans="1:6">
      <c r="A571" t="s">
        <v>573</v>
      </c>
      <c r="B571" t="str">
        <f>"0.02421%"</f>
        <v>0.02421%</v>
      </c>
      <c r="C571" t="s">
        <v>10</v>
      </c>
      <c r="D571" t="s">
        <v>10</v>
      </c>
      <c r="E571" t="str">
        <f>"$ 186,952"</f>
        <v>$ 186,952</v>
      </c>
      <c r="F571" s="1">
        <v>6245</v>
      </c>
    </row>
    <row r="572" spans="1:6">
      <c r="A572" t="s">
        <v>574</v>
      </c>
      <c r="B572" t="str">
        <f>"0.02419%"</f>
        <v>0.02419%</v>
      </c>
      <c r="C572" t="s">
        <v>10</v>
      </c>
      <c r="D572" t="s">
        <v>10</v>
      </c>
      <c r="E572" t="str">
        <f>"$ 186,776"</f>
        <v>$ 186,776</v>
      </c>
      <c r="F572" s="1">
        <v>24798</v>
      </c>
    </row>
    <row r="573" spans="1:6">
      <c r="A573" t="s">
        <v>575</v>
      </c>
      <c r="B573" t="str">
        <f>"0.02417%"</f>
        <v>0.02417%</v>
      </c>
      <c r="C573" t="s">
        <v>10</v>
      </c>
      <c r="D573" t="s">
        <v>10</v>
      </c>
      <c r="E573" t="str">
        <f>"$ 186,663"</f>
        <v>$ 186,663</v>
      </c>
      <c r="F573">
        <v>534</v>
      </c>
    </row>
    <row r="574" spans="1:6">
      <c r="A574" t="s">
        <v>576</v>
      </c>
      <c r="B574" t="str">
        <f>"0.02409%"</f>
        <v>0.02409%</v>
      </c>
      <c r="C574" t="s">
        <v>10</v>
      </c>
      <c r="D574" t="s">
        <v>10</v>
      </c>
      <c r="E574" t="str">
        <f>"$ 186,006"</f>
        <v>$ 186,006</v>
      </c>
      <c r="F574" s="1">
        <v>1620</v>
      </c>
    </row>
    <row r="575" spans="1:6">
      <c r="A575" t="s">
        <v>577</v>
      </c>
      <c r="B575" t="str">
        <f>"0.02407%"</f>
        <v>0.02407%</v>
      </c>
      <c r="C575" t="s">
        <v>10</v>
      </c>
      <c r="D575" t="s">
        <v>10</v>
      </c>
      <c r="E575" t="str">
        <f>"$ 185,905"</f>
        <v>$ 185,905</v>
      </c>
      <c r="F575" s="1">
        <v>18161</v>
      </c>
    </row>
    <row r="576" spans="1:6">
      <c r="A576" t="s">
        <v>578</v>
      </c>
      <c r="B576" t="str">
        <f>"0.02405%"</f>
        <v>0.02405%</v>
      </c>
      <c r="C576" t="s">
        <v>10</v>
      </c>
      <c r="D576" t="s">
        <v>10</v>
      </c>
      <c r="E576" t="str">
        <f>"$ 185,730"</f>
        <v>$ 185,730</v>
      </c>
      <c r="F576" s="1">
        <v>3298</v>
      </c>
    </row>
    <row r="577" spans="1:6">
      <c r="A577" t="s">
        <v>579</v>
      </c>
      <c r="B577" t="str">
        <f>"0.02404%"</f>
        <v>0.02404%</v>
      </c>
      <c r="C577" t="s">
        <v>10</v>
      </c>
      <c r="D577" t="s">
        <v>10</v>
      </c>
      <c r="E577" t="str">
        <f>"$ 185,608"</f>
        <v>$ 185,608</v>
      </c>
      <c r="F577" s="1">
        <v>4807</v>
      </c>
    </row>
    <row r="578" spans="1:6">
      <c r="A578" t="s">
        <v>580</v>
      </c>
      <c r="B578" t="str">
        <f>"0.02400%"</f>
        <v>0.02400%</v>
      </c>
      <c r="C578" t="s">
        <v>10</v>
      </c>
      <c r="D578" t="s">
        <v>10</v>
      </c>
      <c r="E578" t="str">
        <f>"$ 185,297"</f>
        <v>$ 185,297</v>
      </c>
      <c r="F578" s="1">
        <v>3015</v>
      </c>
    </row>
    <row r="579" spans="1:6">
      <c r="A579" t="s">
        <v>581</v>
      </c>
      <c r="B579" t="str">
        <f>"0.02398%"</f>
        <v>0.02398%</v>
      </c>
      <c r="C579" t="s">
        <v>10</v>
      </c>
      <c r="D579" t="s">
        <v>10</v>
      </c>
      <c r="E579" t="str">
        <f>"$ 185,187"</f>
        <v>$ 185,187</v>
      </c>
      <c r="F579">
        <v>943</v>
      </c>
    </row>
    <row r="580" spans="1:6">
      <c r="A580" t="s">
        <v>582</v>
      </c>
      <c r="B580" t="str">
        <f>"0.02393%"</f>
        <v>0.02393%</v>
      </c>
      <c r="C580" t="s">
        <v>10</v>
      </c>
      <c r="D580" t="s">
        <v>10</v>
      </c>
      <c r="E580" t="str">
        <f>"$ 184,825"</f>
        <v>$ 184,825</v>
      </c>
      <c r="F580" s="1">
        <v>4558</v>
      </c>
    </row>
    <row r="581" spans="1:6">
      <c r="A581" t="s">
        <v>583</v>
      </c>
      <c r="B581" t="str">
        <f>"0.02380%"</f>
        <v>0.02380%</v>
      </c>
      <c r="C581" t="s">
        <v>10</v>
      </c>
      <c r="D581" t="s">
        <v>10</v>
      </c>
      <c r="E581" t="str">
        <f>"$ 183,790"</f>
        <v>$ 183,790</v>
      </c>
      <c r="F581" s="1">
        <v>2550</v>
      </c>
    </row>
    <row r="582" spans="1:6">
      <c r="A582" t="s">
        <v>584</v>
      </c>
      <c r="B582" t="str">
        <f>"0.02374%"</f>
        <v>0.02374%</v>
      </c>
      <c r="C582" t="s">
        <v>10</v>
      </c>
      <c r="D582" t="s">
        <v>10</v>
      </c>
      <c r="E582" t="str">
        <f>"$ 183,282"</f>
        <v>$ 183,282</v>
      </c>
      <c r="F582" s="1">
        <v>8653</v>
      </c>
    </row>
    <row r="583" spans="1:6">
      <c r="A583" t="s">
        <v>585</v>
      </c>
      <c r="B583" t="str">
        <f>"0.02365%"</f>
        <v>0.02365%</v>
      </c>
      <c r="C583" t="s">
        <v>10</v>
      </c>
      <c r="D583" t="s">
        <v>10</v>
      </c>
      <c r="E583" t="str">
        <f>"$ 182,653"</f>
        <v>$ 182,653</v>
      </c>
      <c r="F583">
        <v>966</v>
      </c>
    </row>
    <row r="584" spans="1:6">
      <c r="A584" t="s">
        <v>586</v>
      </c>
      <c r="B584" t="str">
        <f>"0.02364%"</f>
        <v>0.02364%</v>
      </c>
      <c r="C584" t="s">
        <v>10</v>
      </c>
      <c r="D584" t="s">
        <v>10</v>
      </c>
      <c r="E584" t="str">
        <f>"$ 182,579"</f>
        <v>$ 182,579</v>
      </c>
      <c r="F584" s="1">
        <v>5889</v>
      </c>
    </row>
    <row r="585" spans="1:6">
      <c r="A585" t="s">
        <v>587</v>
      </c>
      <c r="B585" t="str">
        <f>"0.02356%"</f>
        <v>0.02356%</v>
      </c>
      <c r="C585" t="s">
        <v>10</v>
      </c>
      <c r="D585" t="s">
        <v>10</v>
      </c>
      <c r="E585" t="str">
        <f>"$ 181,960"</f>
        <v>$ 181,960</v>
      </c>
      <c r="F585" s="1">
        <v>2223</v>
      </c>
    </row>
    <row r="586" spans="1:6">
      <c r="A586" t="s">
        <v>588</v>
      </c>
      <c r="B586" t="str">
        <f>"0.02342%"</f>
        <v>0.02342%</v>
      </c>
      <c r="C586" t="s">
        <v>10</v>
      </c>
      <c r="D586" t="s">
        <v>10</v>
      </c>
      <c r="E586" t="str">
        <f>"$ 180,858"</f>
        <v>$ 180,858</v>
      </c>
      <c r="F586" s="1">
        <v>16743</v>
      </c>
    </row>
    <row r="587" spans="1:6">
      <c r="A587" t="s">
        <v>589</v>
      </c>
      <c r="B587" t="str">
        <f>"0.02341%"</f>
        <v>0.02341%</v>
      </c>
      <c r="C587" t="s">
        <v>10</v>
      </c>
      <c r="D587" t="s">
        <v>10</v>
      </c>
      <c r="E587" t="str">
        <f>"$ 180,761"</f>
        <v>$ 180,761</v>
      </c>
      <c r="F587" s="1">
        <v>1589</v>
      </c>
    </row>
    <row r="588" spans="1:6">
      <c r="A588" t="s">
        <v>590</v>
      </c>
      <c r="B588" t="str">
        <f>"0.02341%"</f>
        <v>0.02341%</v>
      </c>
      <c r="C588" t="s">
        <v>10</v>
      </c>
      <c r="D588" t="s">
        <v>10</v>
      </c>
      <c r="E588" t="str">
        <f>"$ 180,742"</f>
        <v>$ 180,742</v>
      </c>
      <c r="F588" s="1">
        <v>1848</v>
      </c>
    </row>
    <row r="589" spans="1:6">
      <c r="A589" t="s">
        <v>591</v>
      </c>
      <c r="B589" t="str">
        <f>"0.02340%"</f>
        <v>0.02340%</v>
      </c>
      <c r="C589" t="s">
        <v>10</v>
      </c>
      <c r="D589" t="s">
        <v>10</v>
      </c>
      <c r="E589" t="str">
        <f>"$ 180,666"</f>
        <v>$ 180,666</v>
      </c>
      <c r="F589" s="1">
        <v>2458</v>
      </c>
    </row>
    <row r="590" spans="1:6">
      <c r="A590" t="s">
        <v>592</v>
      </c>
      <c r="B590" t="str">
        <f>"0.02332%"</f>
        <v>0.02332%</v>
      </c>
      <c r="C590" t="s">
        <v>10</v>
      </c>
      <c r="D590" t="s">
        <v>10</v>
      </c>
      <c r="E590" t="str">
        <f>"$ 180,052"</f>
        <v>$ 180,052</v>
      </c>
      <c r="F590">
        <v>744</v>
      </c>
    </row>
    <row r="591" spans="1:6">
      <c r="A591" t="s">
        <v>593</v>
      </c>
      <c r="B591" t="str">
        <f>"0.02331%"</f>
        <v>0.02331%</v>
      </c>
      <c r="C591" t="s">
        <v>10</v>
      </c>
      <c r="D591" t="s">
        <v>10</v>
      </c>
      <c r="E591" t="str">
        <f>"$ 179,989"</f>
        <v>$ 179,989</v>
      </c>
      <c r="F591">
        <v>190</v>
      </c>
    </row>
    <row r="592" spans="1:6">
      <c r="A592" t="s">
        <v>594</v>
      </c>
      <c r="B592" t="str">
        <f>"0.02329%"</f>
        <v>0.02329%</v>
      </c>
      <c r="C592" t="s">
        <v>10</v>
      </c>
      <c r="D592" t="s">
        <v>10</v>
      </c>
      <c r="E592" t="str">
        <f>"$ 179,857"</f>
        <v>$ 179,857</v>
      </c>
      <c r="F592" s="1">
        <v>2345</v>
      </c>
    </row>
    <row r="593" spans="1:6">
      <c r="A593" t="s">
        <v>595</v>
      </c>
      <c r="B593" t="str">
        <f>"0.02328%"</f>
        <v>0.02328%</v>
      </c>
      <c r="C593" t="s">
        <v>10</v>
      </c>
      <c r="D593" t="s">
        <v>10</v>
      </c>
      <c r="E593" t="str">
        <f>"$ 179,740"</f>
        <v>$ 179,740</v>
      </c>
      <c r="F593" s="1">
        <v>36842</v>
      </c>
    </row>
    <row r="594" spans="1:6">
      <c r="A594" t="s">
        <v>596</v>
      </c>
      <c r="B594" t="str">
        <f>"0.02318%"</f>
        <v>0.02318%</v>
      </c>
      <c r="C594" t="s">
        <v>10</v>
      </c>
      <c r="D594" t="s">
        <v>10</v>
      </c>
      <c r="E594" t="str">
        <f>"$ 178,988"</f>
        <v>$ 178,988</v>
      </c>
      <c r="F594">
        <v>869</v>
      </c>
    </row>
    <row r="595" spans="1:6">
      <c r="A595" t="s">
        <v>597</v>
      </c>
      <c r="B595" t="str">
        <f>"0.02308%"</f>
        <v>0.02308%</v>
      </c>
      <c r="C595" t="s">
        <v>10</v>
      </c>
      <c r="D595" t="s">
        <v>10</v>
      </c>
      <c r="E595" t="str">
        <f>"$ 178,261"</f>
        <v>$ 178,261</v>
      </c>
      <c r="F595" s="1">
        <v>19984</v>
      </c>
    </row>
    <row r="596" spans="1:6">
      <c r="A596" t="s">
        <v>598</v>
      </c>
      <c r="B596" t="str">
        <f>"0.02304%"</f>
        <v>0.02304%</v>
      </c>
      <c r="C596" t="s">
        <v>10</v>
      </c>
      <c r="D596" t="s">
        <v>10</v>
      </c>
      <c r="E596" t="str">
        <f>"$ 177,928"</f>
        <v>$ 177,928</v>
      </c>
      <c r="F596">
        <v>673</v>
      </c>
    </row>
    <row r="597" spans="1:6">
      <c r="A597" t="s">
        <v>599</v>
      </c>
      <c r="B597" t="str">
        <f>"0.02295%"</f>
        <v>0.02295%</v>
      </c>
      <c r="C597" t="s">
        <v>10</v>
      </c>
      <c r="D597" t="s">
        <v>10</v>
      </c>
      <c r="E597" t="str">
        <f>"$ 177,225"</f>
        <v>$ 177,225</v>
      </c>
      <c r="F597" s="1">
        <v>2406</v>
      </c>
    </row>
    <row r="598" spans="1:6">
      <c r="A598" t="s">
        <v>600</v>
      </c>
      <c r="B598" t="str">
        <f>"0.02292%"</f>
        <v>0.02292%</v>
      </c>
      <c r="C598" t="s">
        <v>10</v>
      </c>
      <c r="D598" t="s">
        <v>10</v>
      </c>
      <c r="E598" t="str">
        <f>"$ 176,974"</f>
        <v>$ 176,974</v>
      </c>
      <c r="F598">
        <v>960</v>
      </c>
    </row>
    <row r="599" spans="1:6">
      <c r="A599" t="s">
        <v>601</v>
      </c>
      <c r="B599" t="str">
        <f>"0.02290%"</f>
        <v>0.02290%</v>
      </c>
      <c r="C599" t="s">
        <v>10</v>
      </c>
      <c r="D599" t="s">
        <v>10</v>
      </c>
      <c r="E599" t="str">
        <f>"$ 176,818"</f>
        <v>$ 176,818</v>
      </c>
      <c r="F599" s="1">
        <v>1885</v>
      </c>
    </row>
    <row r="600" spans="1:6">
      <c r="A600" t="s">
        <v>602</v>
      </c>
      <c r="B600" t="str">
        <f>"0.02286%"</f>
        <v>0.02286%</v>
      </c>
      <c r="C600" t="s">
        <v>10</v>
      </c>
      <c r="D600" t="s">
        <v>10</v>
      </c>
      <c r="E600" t="str">
        <f>"$ 176,546"</f>
        <v>$ 176,546</v>
      </c>
      <c r="F600" s="1">
        <v>55002</v>
      </c>
    </row>
    <row r="601" spans="1:6">
      <c r="A601" t="s">
        <v>603</v>
      </c>
      <c r="B601" t="str">
        <f>"0.02281%"</f>
        <v>0.02281%</v>
      </c>
      <c r="C601" t="s">
        <v>10</v>
      </c>
      <c r="D601" t="s">
        <v>10</v>
      </c>
      <c r="E601" t="str">
        <f>"$ 176,116"</f>
        <v>$ 176,116</v>
      </c>
      <c r="F601">
        <v>828</v>
      </c>
    </row>
    <row r="602" spans="1:6">
      <c r="A602" t="s">
        <v>604</v>
      </c>
      <c r="B602" t="str">
        <f>"0.02273%"</f>
        <v>0.02273%</v>
      </c>
      <c r="C602" t="s">
        <v>10</v>
      </c>
      <c r="D602" t="s">
        <v>10</v>
      </c>
      <c r="E602" t="str">
        <f>"$ 175,527"</f>
        <v>$ 175,527</v>
      </c>
      <c r="F602" s="1">
        <v>14750</v>
      </c>
    </row>
    <row r="603" spans="1:6">
      <c r="A603" t="s">
        <v>605</v>
      </c>
      <c r="B603" t="str">
        <f>"0.02272%"</f>
        <v>0.02272%</v>
      </c>
      <c r="C603" t="s">
        <v>10</v>
      </c>
      <c r="D603" t="s">
        <v>10</v>
      </c>
      <c r="E603" t="str">
        <f>"$ 175,428"</f>
        <v>$ 175,428</v>
      </c>
      <c r="F603" s="1">
        <v>2053</v>
      </c>
    </row>
    <row r="604" spans="1:6">
      <c r="A604" t="s">
        <v>606</v>
      </c>
      <c r="B604" t="str">
        <f>"0.02248%"</f>
        <v>0.02248%</v>
      </c>
      <c r="C604" t="s">
        <v>10</v>
      </c>
      <c r="D604" t="s">
        <v>10</v>
      </c>
      <c r="E604" t="str">
        <f>"$ 173,571"</f>
        <v>$ 173,571</v>
      </c>
      <c r="F604" s="1">
        <v>1016</v>
      </c>
    </row>
    <row r="605" spans="1:6">
      <c r="A605" t="s">
        <v>607</v>
      </c>
      <c r="B605" t="str">
        <f>"0.02245%"</f>
        <v>0.02245%</v>
      </c>
      <c r="C605" t="s">
        <v>10</v>
      </c>
      <c r="D605" t="s">
        <v>10</v>
      </c>
      <c r="E605" t="str">
        <f>"$ 173,324"</f>
        <v>$ 173,324</v>
      </c>
      <c r="F605" s="1">
        <v>16959</v>
      </c>
    </row>
    <row r="606" spans="1:6">
      <c r="A606" t="s">
        <v>608</v>
      </c>
      <c r="B606" t="str">
        <f>"0.02244%"</f>
        <v>0.02244%</v>
      </c>
      <c r="C606" t="s">
        <v>10</v>
      </c>
      <c r="D606" t="s">
        <v>10</v>
      </c>
      <c r="E606" t="str">
        <f>"$ 173,287"</f>
        <v>$ 173,287</v>
      </c>
      <c r="F606" s="1">
        <v>2705</v>
      </c>
    </row>
    <row r="607" spans="1:6">
      <c r="A607" t="s">
        <v>609</v>
      </c>
      <c r="B607" t="str">
        <f>"0.02239%"</f>
        <v>0.02239%</v>
      </c>
      <c r="C607" t="s">
        <v>10</v>
      </c>
      <c r="D607" t="s">
        <v>10</v>
      </c>
      <c r="E607" t="str">
        <f>"$ 172,911"</f>
        <v>$ 172,911</v>
      </c>
      <c r="F607" s="1">
        <v>14224</v>
      </c>
    </row>
    <row r="608" spans="1:6">
      <c r="A608" t="s">
        <v>610</v>
      </c>
      <c r="B608" t="str">
        <f>"0.02236%"</f>
        <v>0.02236%</v>
      </c>
      <c r="C608" t="s">
        <v>10</v>
      </c>
      <c r="D608" t="s">
        <v>10</v>
      </c>
      <c r="E608" t="str">
        <f>"$ 172,686"</f>
        <v>$ 172,686</v>
      </c>
      <c r="F608" s="1">
        <v>1308</v>
      </c>
    </row>
    <row r="609" spans="1:6">
      <c r="A609" t="s">
        <v>611</v>
      </c>
      <c r="B609" t="str">
        <f>"0.02234%"</f>
        <v>0.02234%</v>
      </c>
      <c r="C609" t="s">
        <v>10</v>
      </c>
      <c r="D609" t="s">
        <v>10</v>
      </c>
      <c r="E609" t="str">
        <f>"$ 172,479"</f>
        <v>$ 172,479</v>
      </c>
      <c r="F609" s="1">
        <v>15345</v>
      </c>
    </row>
    <row r="610" spans="1:6">
      <c r="A610" t="s">
        <v>612</v>
      </c>
      <c r="B610" t="str">
        <f>"0.02233%"</f>
        <v>0.02233%</v>
      </c>
      <c r="C610" t="s">
        <v>10</v>
      </c>
      <c r="D610" t="s">
        <v>10</v>
      </c>
      <c r="E610" t="str">
        <f>"$ 172,448"</f>
        <v>$ 172,448</v>
      </c>
      <c r="F610" s="1">
        <v>19906</v>
      </c>
    </row>
    <row r="611" spans="1:6">
      <c r="A611" t="s">
        <v>613</v>
      </c>
      <c r="B611" t="str">
        <f>"0.02222%"</f>
        <v>0.02222%</v>
      </c>
      <c r="C611" t="s">
        <v>10</v>
      </c>
      <c r="D611" t="s">
        <v>10</v>
      </c>
      <c r="E611" t="str">
        <f>"$ 171,607"</f>
        <v>$ 171,607</v>
      </c>
      <c r="F611">
        <v>960</v>
      </c>
    </row>
    <row r="612" spans="1:6">
      <c r="A612" t="s">
        <v>614</v>
      </c>
      <c r="B612" t="str">
        <f>"0.02222%"</f>
        <v>0.02222%</v>
      </c>
      <c r="C612" t="s">
        <v>10</v>
      </c>
      <c r="D612" t="s">
        <v>10</v>
      </c>
      <c r="E612" t="str">
        <f>"$ 171,578"</f>
        <v>$ 171,578</v>
      </c>
      <c r="F612" s="1">
        <v>4968</v>
      </c>
    </row>
    <row r="613" spans="1:6">
      <c r="A613" t="s">
        <v>615</v>
      </c>
      <c r="B613" t="str">
        <f>"0.02222%"</f>
        <v>0.02222%</v>
      </c>
      <c r="C613" t="s">
        <v>10</v>
      </c>
      <c r="D613" t="s">
        <v>10</v>
      </c>
      <c r="E613" t="str">
        <f>"$ 171,561"</f>
        <v>$ 171,561</v>
      </c>
      <c r="F613" s="1">
        <v>1441</v>
      </c>
    </row>
    <row r="614" spans="1:6">
      <c r="A614" t="s">
        <v>616</v>
      </c>
      <c r="B614" t="str">
        <f>"0.02218%"</f>
        <v>0.02218%</v>
      </c>
      <c r="C614" t="s">
        <v>10</v>
      </c>
      <c r="D614" t="s">
        <v>10</v>
      </c>
      <c r="E614" t="str">
        <f>"$ 171,236"</f>
        <v>$ 171,236</v>
      </c>
      <c r="F614">
        <v>926</v>
      </c>
    </row>
    <row r="615" spans="1:6">
      <c r="A615" t="s">
        <v>617</v>
      </c>
      <c r="B615" t="str">
        <f>"0.02217%"</f>
        <v>0.02217%</v>
      </c>
      <c r="C615" t="s">
        <v>10</v>
      </c>
      <c r="D615" t="s">
        <v>10</v>
      </c>
      <c r="E615" t="str">
        <f>"$ 171,170"</f>
        <v>$ 171,170</v>
      </c>
      <c r="F615" s="1">
        <v>1720</v>
      </c>
    </row>
    <row r="616" spans="1:6">
      <c r="A616" t="s">
        <v>618</v>
      </c>
      <c r="B616" t="str">
        <f>"0.02216%"</f>
        <v>0.02216%</v>
      </c>
      <c r="C616" t="s">
        <v>10</v>
      </c>
      <c r="D616" t="s">
        <v>10</v>
      </c>
      <c r="E616" t="str">
        <f>"$ 171,120"</f>
        <v>$ 171,120</v>
      </c>
      <c r="F616" s="1">
        <v>1155</v>
      </c>
    </row>
    <row r="617" spans="1:6">
      <c r="A617" t="s">
        <v>619</v>
      </c>
      <c r="B617" t="str">
        <f>"0.02211%"</f>
        <v>0.02211%</v>
      </c>
      <c r="C617" t="s">
        <v>10</v>
      </c>
      <c r="D617" t="s">
        <v>10</v>
      </c>
      <c r="E617" t="str">
        <f>"$ 170,754"</f>
        <v>$ 170,754</v>
      </c>
      <c r="F617" s="1">
        <v>1918</v>
      </c>
    </row>
    <row r="618" spans="1:6">
      <c r="A618" t="s">
        <v>620</v>
      </c>
      <c r="B618" t="str">
        <f>"0.02208%"</f>
        <v>0.02208%</v>
      </c>
      <c r="C618" t="s">
        <v>10</v>
      </c>
      <c r="D618" t="s">
        <v>10</v>
      </c>
      <c r="E618" t="str">
        <f>"$ 170,504"</f>
        <v>$ 170,504</v>
      </c>
      <c r="F618">
        <v>797</v>
      </c>
    </row>
    <row r="619" spans="1:6">
      <c r="A619" t="s">
        <v>621</v>
      </c>
      <c r="B619" t="str">
        <f>"0.02204%"</f>
        <v>0.02204%</v>
      </c>
      <c r="C619" t="s">
        <v>10</v>
      </c>
      <c r="D619" t="s">
        <v>10</v>
      </c>
      <c r="E619" t="str">
        <f>"$ 170,187"</f>
        <v>$ 170,187</v>
      </c>
      <c r="F619" s="1">
        <v>2464</v>
      </c>
    </row>
    <row r="620" spans="1:6">
      <c r="A620" t="s">
        <v>622</v>
      </c>
      <c r="B620" t="str">
        <f>"0.02200%"</f>
        <v>0.02200%</v>
      </c>
      <c r="C620" t="s">
        <v>10</v>
      </c>
      <c r="D620" t="s">
        <v>10</v>
      </c>
      <c r="E620" t="str">
        <f>"$ 169,886"</f>
        <v>$ 169,886</v>
      </c>
      <c r="F620" s="1">
        <v>1932</v>
      </c>
    </row>
    <row r="621" spans="1:6">
      <c r="A621" t="s">
        <v>623</v>
      </c>
      <c r="B621" t="str">
        <f>"0.02198%"</f>
        <v>0.02198%</v>
      </c>
      <c r="C621" t="s">
        <v>10</v>
      </c>
      <c r="D621" t="s">
        <v>10</v>
      </c>
      <c r="E621" t="str">
        <f>"$ 169,754"</f>
        <v>$ 169,754</v>
      </c>
      <c r="F621" s="1">
        <v>3090</v>
      </c>
    </row>
    <row r="622" spans="1:6">
      <c r="A622" t="s">
        <v>624</v>
      </c>
      <c r="B622" t="str">
        <f>"0.02196%"</f>
        <v>0.02196%</v>
      </c>
      <c r="C622" t="s">
        <v>10</v>
      </c>
      <c r="D622" t="s">
        <v>10</v>
      </c>
      <c r="E622" t="str">
        <f>"$ 169,561"</f>
        <v>$ 169,561</v>
      </c>
      <c r="F622" s="1">
        <v>52012</v>
      </c>
    </row>
    <row r="623" spans="1:6">
      <c r="A623" t="s">
        <v>625</v>
      </c>
      <c r="B623" t="str">
        <f>"0.02193%"</f>
        <v>0.02193%</v>
      </c>
      <c r="C623" t="s">
        <v>10</v>
      </c>
      <c r="D623" t="s">
        <v>10</v>
      </c>
      <c r="E623" t="str">
        <f>"$ 169,347"</f>
        <v>$ 169,347</v>
      </c>
      <c r="F623" s="1">
        <v>4717</v>
      </c>
    </row>
    <row r="624" spans="1:6">
      <c r="A624" t="s">
        <v>626</v>
      </c>
      <c r="B624" t="str">
        <f>"0.02191%"</f>
        <v>0.02191%</v>
      </c>
      <c r="C624" t="s">
        <v>10</v>
      </c>
      <c r="D624" t="s">
        <v>10</v>
      </c>
      <c r="E624" t="str">
        <f>"$ 169,226"</f>
        <v>$ 169,226</v>
      </c>
      <c r="F624" s="1">
        <v>2107</v>
      </c>
    </row>
    <row r="625" spans="1:6">
      <c r="A625" t="s">
        <v>627</v>
      </c>
      <c r="B625" t="str">
        <f>"0.02191%"</f>
        <v>0.02191%</v>
      </c>
      <c r="C625" t="s">
        <v>10</v>
      </c>
      <c r="D625" t="s">
        <v>10</v>
      </c>
      <c r="E625" t="str">
        <f>"$ 169,202"</f>
        <v>$ 169,202</v>
      </c>
      <c r="F625" s="1">
        <v>2887</v>
      </c>
    </row>
    <row r="626" spans="1:6">
      <c r="A626" t="s">
        <v>628</v>
      </c>
      <c r="B626" t="str">
        <f>"0.02189%"</f>
        <v>0.02189%</v>
      </c>
      <c r="C626" t="s">
        <v>10</v>
      </c>
      <c r="D626" t="s">
        <v>10</v>
      </c>
      <c r="E626" t="str">
        <f>"$ 169,032"</f>
        <v>$ 169,032</v>
      </c>
      <c r="F626" s="1">
        <v>1946</v>
      </c>
    </row>
    <row r="627" spans="1:6">
      <c r="A627" t="s">
        <v>629</v>
      </c>
      <c r="B627" t="str">
        <f>"0.02185%"</f>
        <v>0.02185%</v>
      </c>
      <c r="C627" t="s">
        <v>10</v>
      </c>
      <c r="D627" t="s">
        <v>10</v>
      </c>
      <c r="E627" t="str">
        <f>"$ 168,733"</f>
        <v>$ 168,733</v>
      </c>
      <c r="F627" s="1">
        <v>1708</v>
      </c>
    </row>
    <row r="628" spans="1:6">
      <c r="A628" t="s">
        <v>630</v>
      </c>
      <c r="B628" t="str">
        <f>"0.02185%"</f>
        <v>0.02185%</v>
      </c>
      <c r="C628" t="s">
        <v>10</v>
      </c>
      <c r="D628" t="s">
        <v>10</v>
      </c>
      <c r="E628" t="str">
        <f>"$ 168,722"</f>
        <v>$ 168,722</v>
      </c>
      <c r="F628" s="1">
        <v>6788</v>
      </c>
    </row>
    <row r="629" spans="1:6">
      <c r="A629" t="s">
        <v>631</v>
      </c>
      <c r="B629" t="str">
        <f>"0.02185%"</f>
        <v>0.02185%</v>
      </c>
      <c r="C629" t="s">
        <v>10</v>
      </c>
      <c r="D629" t="s">
        <v>10</v>
      </c>
      <c r="E629" t="str">
        <f>"$ 168,692"</f>
        <v>$ 168,692</v>
      </c>
      <c r="F629" s="1">
        <v>1041</v>
      </c>
    </row>
    <row r="630" spans="1:6">
      <c r="A630" t="s">
        <v>632</v>
      </c>
      <c r="B630" t="str">
        <f>"0.02184%"</f>
        <v>0.02184%</v>
      </c>
      <c r="C630" t="s">
        <v>10</v>
      </c>
      <c r="D630" t="s">
        <v>10</v>
      </c>
      <c r="E630" t="str">
        <f>"$ 168,632"</f>
        <v>$ 168,632</v>
      </c>
      <c r="F630" s="1">
        <v>6544</v>
      </c>
    </row>
    <row r="631" spans="1:6">
      <c r="A631" t="s">
        <v>633</v>
      </c>
      <c r="B631" t="str">
        <f>"0.02182%"</f>
        <v>0.02182%</v>
      </c>
      <c r="C631" t="s">
        <v>10</v>
      </c>
      <c r="D631" t="s">
        <v>10</v>
      </c>
      <c r="E631" t="str">
        <f>"$ 168,505"</f>
        <v>$ 168,505</v>
      </c>
      <c r="F631" s="1">
        <v>1097</v>
      </c>
    </row>
    <row r="632" spans="1:6">
      <c r="A632" t="s">
        <v>634</v>
      </c>
      <c r="B632" t="str">
        <f>"0.02181%"</f>
        <v>0.02181%</v>
      </c>
      <c r="C632" t="s">
        <v>10</v>
      </c>
      <c r="D632" t="s">
        <v>10</v>
      </c>
      <c r="E632" t="str">
        <f>"$ 168,437"</f>
        <v>$ 168,437</v>
      </c>
      <c r="F632" s="1">
        <v>10502</v>
      </c>
    </row>
    <row r="633" spans="1:6">
      <c r="A633" t="s">
        <v>635</v>
      </c>
      <c r="B633" t="str">
        <f>"0.02179%"</f>
        <v>0.02179%</v>
      </c>
      <c r="C633" t="s">
        <v>10</v>
      </c>
      <c r="D633" t="s">
        <v>10</v>
      </c>
      <c r="E633" t="str">
        <f>"$ 168,224"</f>
        <v>$ 168,224</v>
      </c>
      <c r="F633" s="1">
        <v>13642</v>
      </c>
    </row>
    <row r="634" spans="1:6">
      <c r="A634" t="s">
        <v>636</v>
      </c>
      <c r="B634" t="str">
        <f>"0.02173%"</f>
        <v>0.02173%</v>
      </c>
      <c r="C634" t="s">
        <v>10</v>
      </c>
      <c r="D634" t="s">
        <v>10</v>
      </c>
      <c r="E634" t="str">
        <f>"$ 167,833"</f>
        <v>$ 167,833</v>
      </c>
      <c r="F634" s="1">
        <v>83917</v>
      </c>
    </row>
    <row r="635" spans="1:6">
      <c r="A635" t="s">
        <v>637</v>
      </c>
      <c r="B635" t="str">
        <f>"0.02173%"</f>
        <v>0.02173%</v>
      </c>
      <c r="C635" t="s">
        <v>10</v>
      </c>
      <c r="D635" t="s">
        <v>10</v>
      </c>
      <c r="E635" t="str">
        <f>"$ 167,832"</f>
        <v>$ 167,832</v>
      </c>
      <c r="F635" s="1">
        <v>1776</v>
      </c>
    </row>
    <row r="636" spans="1:6">
      <c r="A636" t="s">
        <v>638</v>
      </c>
      <c r="B636" t="str">
        <f>"0.02169%"</f>
        <v>0.02169%</v>
      </c>
      <c r="C636" t="s">
        <v>10</v>
      </c>
      <c r="D636" t="s">
        <v>10</v>
      </c>
      <c r="E636" t="str">
        <f>"$ 167,463"</f>
        <v>$ 167,463</v>
      </c>
      <c r="F636" s="1">
        <v>1418</v>
      </c>
    </row>
    <row r="637" spans="1:6">
      <c r="A637" t="s">
        <v>639</v>
      </c>
      <c r="B637" t="str">
        <f>"0.02166%"</f>
        <v>0.02166%</v>
      </c>
      <c r="C637" t="s">
        <v>10</v>
      </c>
      <c r="D637" t="s">
        <v>10</v>
      </c>
      <c r="E637" t="str">
        <f>"$ 167,237"</f>
        <v>$ 167,237</v>
      </c>
      <c r="F637" s="1">
        <v>3904</v>
      </c>
    </row>
    <row r="638" spans="1:6">
      <c r="A638" t="s">
        <v>640</v>
      </c>
      <c r="B638" t="str">
        <f>"0.02165%"</f>
        <v>0.02165%</v>
      </c>
      <c r="C638" t="s">
        <v>10</v>
      </c>
      <c r="D638" t="s">
        <v>10</v>
      </c>
      <c r="E638" t="str">
        <f>"$ 167,148"</f>
        <v>$ 167,148</v>
      </c>
      <c r="F638" s="1">
        <v>14461</v>
      </c>
    </row>
    <row r="639" spans="1:6">
      <c r="A639" t="s">
        <v>641</v>
      </c>
      <c r="B639" t="str">
        <f>"0.02163%"</f>
        <v>0.02163%</v>
      </c>
      <c r="C639" t="s">
        <v>10</v>
      </c>
      <c r="D639" t="s">
        <v>10</v>
      </c>
      <c r="E639" t="str">
        <f>"$ 167,025"</f>
        <v>$ 167,025</v>
      </c>
      <c r="F639" s="1">
        <v>7373</v>
      </c>
    </row>
    <row r="640" spans="1:6">
      <c r="A640" t="s">
        <v>642</v>
      </c>
      <c r="B640" t="str">
        <f>"0.02162%"</f>
        <v>0.02162%</v>
      </c>
      <c r="C640" t="s">
        <v>10</v>
      </c>
      <c r="D640" t="s">
        <v>10</v>
      </c>
      <c r="E640" t="str">
        <f>"$ 166,985"</f>
        <v>$ 166,985</v>
      </c>
      <c r="F640">
        <v>849</v>
      </c>
    </row>
    <row r="641" spans="1:6">
      <c r="A641" t="s">
        <v>643</v>
      </c>
      <c r="B641" t="str">
        <f>"0.02159%"</f>
        <v>0.02159%</v>
      </c>
      <c r="C641" t="s">
        <v>10</v>
      </c>
      <c r="D641" t="s">
        <v>10</v>
      </c>
      <c r="E641" t="str">
        <f>"$ 166,683"</f>
        <v>$ 166,683</v>
      </c>
      <c r="F641">
        <v>536</v>
      </c>
    </row>
    <row r="642" spans="1:6">
      <c r="A642" t="s">
        <v>644</v>
      </c>
      <c r="B642" t="str">
        <f>"0.02150%"</f>
        <v>0.02150%</v>
      </c>
      <c r="C642" t="s">
        <v>10</v>
      </c>
      <c r="D642" t="s">
        <v>10</v>
      </c>
      <c r="E642" t="str">
        <f>"$ 166,024"</f>
        <v>$ 166,024</v>
      </c>
      <c r="F642" s="1">
        <v>81178</v>
      </c>
    </row>
    <row r="643" spans="1:6">
      <c r="A643" t="s">
        <v>645</v>
      </c>
      <c r="B643" t="str">
        <f>"0.02143%"</f>
        <v>0.02143%</v>
      </c>
      <c r="C643" t="s">
        <v>10</v>
      </c>
      <c r="D643" t="s">
        <v>10</v>
      </c>
      <c r="E643" t="str">
        <f>"$ 165,461"</f>
        <v>$ 165,461</v>
      </c>
      <c r="F643">
        <v>733</v>
      </c>
    </row>
    <row r="644" spans="1:6">
      <c r="A644" t="s">
        <v>646</v>
      </c>
      <c r="B644" t="str">
        <f>"0.02130%"</f>
        <v>0.02130%</v>
      </c>
      <c r="C644" t="s">
        <v>10</v>
      </c>
      <c r="D644" t="s">
        <v>10</v>
      </c>
      <c r="E644" t="str">
        <f>"$ 164,484"</f>
        <v>$ 164,484</v>
      </c>
      <c r="F644" s="1">
        <v>2689</v>
      </c>
    </row>
    <row r="645" spans="1:6">
      <c r="A645" t="s">
        <v>647</v>
      </c>
      <c r="B645" t="str">
        <f>"0.02129%"</f>
        <v>0.02129%</v>
      </c>
      <c r="C645" t="s">
        <v>10</v>
      </c>
      <c r="D645" t="s">
        <v>10</v>
      </c>
      <c r="E645" t="str">
        <f>"$ 164,397"</f>
        <v>$ 164,397</v>
      </c>
      <c r="F645" s="1">
        <v>1441</v>
      </c>
    </row>
    <row r="646" spans="1:6">
      <c r="A646" t="s">
        <v>648</v>
      </c>
      <c r="B646" t="str">
        <f>"0.02125%"</f>
        <v>0.02125%</v>
      </c>
      <c r="C646" t="s">
        <v>10</v>
      </c>
      <c r="D646" t="s">
        <v>10</v>
      </c>
      <c r="E646" t="str">
        <f>"$ 164,095"</f>
        <v>$ 164,095</v>
      </c>
      <c r="F646">
        <v>351</v>
      </c>
    </row>
    <row r="647" spans="1:6">
      <c r="A647" t="s">
        <v>649</v>
      </c>
      <c r="B647" t="str">
        <f>"0.02116%"</f>
        <v>0.02116%</v>
      </c>
      <c r="C647" t="s">
        <v>10</v>
      </c>
      <c r="D647" t="s">
        <v>10</v>
      </c>
      <c r="E647" t="str">
        <f>"$ 163,417"</f>
        <v>$ 163,417</v>
      </c>
      <c r="F647" s="1">
        <v>42926</v>
      </c>
    </row>
    <row r="648" spans="1:6">
      <c r="A648" t="s">
        <v>650</v>
      </c>
      <c r="B648" t="str">
        <f>"0.02116%"</f>
        <v>0.02116%</v>
      </c>
      <c r="C648" t="s">
        <v>10</v>
      </c>
      <c r="D648" t="s">
        <v>10</v>
      </c>
      <c r="E648" t="str">
        <f>"$ 163,369"</f>
        <v>$ 163,369</v>
      </c>
      <c r="F648" s="1">
        <v>1758</v>
      </c>
    </row>
    <row r="649" spans="1:6">
      <c r="A649" t="s">
        <v>651</v>
      </c>
      <c r="B649" t="str">
        <f>"0.02113%"</f>
        <v>0.02113%</v>
      </c>
      <c r="C649" t="s">
        <v>10</v>
      </c>
      <c r="D649" t="s">
        <v>10</v>
      </c>
      <c r="E649" t="str">
        <f>"$ 163,191"</f>
        <v>$ 163,191</v>
      </c>
      <c r="F649" s="1">
        <v>5693</v>
      </c>
    </row>
    <row r="650" spans="1:6">
      <c r="A650" t="s">
        <v>652</v>
      </c>
      <c r="B650" t="str">
        <f>"0.02107%"</f>
        <v>0.02107%</v>
      </c>
      <c r="C650" t="s">
        <v>10</v>
      </c>
      <c r="D650" t="s">
        <v>10</v>
      </c>
      <c r="E650" t="str">
        <f>"$ 162,706"</f>
        <v>$ 162,706</v>
      </c>
      <c r="F650" s="1">
        <v>4025</v>
      </c>
    </row>
    <row r="651" spans="1:6">
      <c r="A651" t="s">
        <v>653</v>
      </c>
      <c r="B651" t="str">
        <f>"0.02105%"</f>
        <v>0.02105%</v>
      </c>
      <c r="C651" t="s">
        <v>10</v>
      </c>
      <c r="D651" t="s">
        <v>10</v>
      </c>
      <c r="E651" t="str">
        <f>"$ 162,528"</f>
        <v>$ 162,528</v>
      </c>
      <c r="F651" s="1">
        <v>1121</v>
      </c>
    </row>
    <row r="652" spans="1:6">
      <c r="A652" t="s">
        <v>654</v>
      </c>
      <c r="B652" t="str">
        <f>"0.02085%"</f>
        <v>0.02085%</v>
      </c>
      <c r="C652" t="s">
        <v>10</v>
      </c>
      <c r="D652" t="s">
        <v>10</v>
      </c>
      <c r="E652" t="str">
        <f>"$ 161,033"</f>
        <v>$ 161,033</v>
      </c>
      <c r="F652" s="1">
        <v>24288</v>
      </c>
    </row>
    <row r="653" spans="1:6">
      <c r="A653" t="s">
        <v>655</v>
      </c>
      <c r="B653" t="str">
        <f>"0.02078%"</f>
        <v>0.02078%</v>
      </c>
      <c r="C653" t="s">
        <v>10</v>
      </c>
      <c r="D653" t="s">
        <v>10</v>
      </c>
      <c r="E653" t="str">
        <f>"$ 160,499"</f>
        <v>$ 160,499</v>
      </c>
      <c r="F653" s="1">
        <v>3842</v>
      </c>
    </row>
    <row r="654" spans="1:6">
      <c r="A654" t="s">
        <v>656</v>
      </c>
      <c r="B654" t="str">
        <f>"0.02055%"</f>
        <v>0.02055%</v>
      </c>
      <c r="C654" t="s">
        <v>10</v>
      </c>
      <c r="D654" t="s">
        <v>10</v>
      </c>
      <c r="E654" t="str">
        <f>"$ 158,665"</f>
        <v>$ 158,665</v>
      </c>
      <c r="F654">
        <v>172</v>
      </c>
    </row>
    <row r="655" spans="1:6">
      <c r="A655" t="s">
        <v>657</v>
      </c>
      <c r="B655" t="str">
        <f>"0.02051%"</f>
        <v>0.02051%</v>
      </c>
      <c r="C655" t="s">
        <v>10</v>
      </c>
      <c r="D655" t="s">
        <v>10</v>
      </c>
      <c r="E655" t="str">
        <f>"$ 158,346"</f>
        <v>$ 158,346</v>
      </c>
      <c r="F655">
        <v>685</v>
      </c>
    </row>
    <row r="656" spans="1:6">
      <c r="A656" t="s">
        <v>658</v>
      </c>
      <c r="B656" t="str">
        <f>"0.02046%"</f>
        <v>0.02046%</v>
      </c>
      <c r="C656" t="s">
        <v>10</v>
      </c>
      <c r="D656" t="s">
        <v>10</v>
      </c>
      <c r="E656" t="str">
        <f>"$ 157,990"</f>
        <v>$ 157,990</v>
      </c>
      <c r="F656" s="1">
        <v>9970</v>
      </c>
    </row>
    <row r="657" spans="1:6">
      <c r="A657" t="s">
        <v>659</v>
      </c>
      <c r="B657" t="str">
        <f>"0.02044%"</f>
        <v>0.02044%</v>
      </c>
      <c r="C657" t="s">
        <v>10</v>
      </c>
      <c r="D657" t="s">
        <v>10</v>
      </c>
      <c r="E657" t="str">
        <f>"$ 157,858"</f>
        <v>$ 157,858</v>
      </c>
      <c r="F657" s="1">
        <v>39171</v>
      </c>
    </row>
    <row r="658" spans="1:6">
      <c r="A658" t="s">
        <v>660</v>
      </c>
      <c r="B658" t="str">
        <f>"0.02040%"</f>
        <v>0.02040%</v>
      </c>
      <c r="C658" t="s">
        <v>10</v>
      </c>
      <c r="D658" t="s">
        <v>10</v>
      </c>
      <c r="E658" t="str">
        <f>"$ 157,554"</f>
        <v>$ 157,554</v>
      </c>
      <c r="F658" s="1">
        <v>10217</v>
      </c>
    </row>
    <row r="659" spans="1:6">
      <c r="A659" t="s">
        <v>661</v>
      </c>
      <c r="B659" t="str">
        <f>"0.02037%"</f>
        <v>0.02037%</v>
      </c>
      <c r="C659" t="s">
        <v>10</v>
      </c>
      <c r="D659" t="s">
        <v>10</v>
      </c>
      <c r="E659" t="str">
        <f>"$ 157,312"</f>
        <v>$ 157,312</v>
      </c>
      <c r="F659" s="1">
        <v>4454</v>
      </c>
    </row>
    <row r="660" spans="1:6">
      <c r="A660" t="s">
        <v>662</v>
      </c>
      <c r="B660" t="str">
        <f>"0.02036%"</f>
        <v>0.02036%</v>
      </c>
      <c r="C660" t="s">
        <v>10</v>
      </c>
      <c r="D660" t="s">
        <v>10</v>
      </c>
      <c r="E660" t="str">
        <f>"$ 157,238"</f>
        <v>$ 157,238</v>
      </c>
      <c r="F660" s="1">
        <v>12032</v>
      </c>
    </row>
    <row r="661" spans="1:6">
      <c r="A661" t="s">
        <v>663</v>
      </c>
      <c r="B661" t="str">
        <f>"0.02033%"</f>
        <v>0.02033%</v>
      </c>
      <c r="C661" t="s">
        <v>10</v>
      </c>
      <c r="D661" t="s">
        <v>10</v>
      </c>
      <c r="E661" t="str">
        <f>"$ 156,960"</f>
        <v>$ 156,960</v>
      </c>
      <c r="F661">
        <v>761</v>
      </c>
    </row>
    <row r="662" spans="1:6">
      <c r="A662" t="s">
        <v>664</v>
      </c>
      <c r="B662" t="str">
        <f>"0.02033%"</f>
        <v>0.02033%</v>
      </c>
      <c r="C662" t="s">
        <v>10</v>
      </c>
      <c r="D662" t="s">
        <v>10</v>
      </c>
      <c r="E662" t="str">
        <f>"$ 156,991"</f>
        <v>$ 156,991</v>
      </c>
      <c r="F662">
        <v>963</v>
      </c>
    </row>
    <row r="663" spans="1:6">
      <c r="A663" t="s">
        <v>665</v>
      </c>
      <c r="B663" t="str">
        <f>"0.02032%"</f>
        <v>0.02032%</v>
      </c>
      <c r="C663" t="s">
        <v>10</v>
      </c>
      <c r="D663" t="s">
        <v>10</v>
      </c>
      <c r="E663" t="str">
        <f>"$ 156,918"</f>
        <v>$ 156,918</v>
      </c>
      <c r="F663" s="1">
        <v>4632</v>
      </c>
    </row>
    <row r="664" spans="1:6">
      <c r="A664" t="s">
        <v>666</v>
      </c>
      <c r="B664" t="str">
        <f>"0.02027%"</f>
        <v>0.02027%</v>
      </c>
      <c r="C664" t="s">
        <v>10</v>
      </c>
      <c r="D664" t="s">
        <v>10</v>
      </c>
      <c r="E664" t="str">
        <f>"$ 156,496"</f>
        <v>$ 156,496</v>
      </c>
      <c r="F664" s="1">
        <v>2495</v>
      </c>
    </row>
    <row r="665" spans="1:6">
      <c r="A665" t="s">
        <v>667</v>
      </c>
      <c r="B665" t="str">
        <f>"0.02027%"</f>
        <v>0.02027%</v>
      </c>
      <c r="C665" t="s">
        <v>10</v>
      </c>
      <c r="D665" t="s">
        <v>10</v>
      </c>
      <c r="E665" t="str">
        <f>"$ 156,506"</f>
        <v>$ 156,506</v>
      </c>
      <c r="F665" s="1">
        <v>2233</v>
      </c>
    </row>
    <row r="666" spans="1:6">
      <c r="A666" t="s">
        <v>668</v>
      </c>
      <c r="B666" t="str">
        <f>"0.02024%"</f>
        <v>0.02024%</v>
      </c>
      <c r="C666" t="s">
        <v>10</v>
      </c>
      <c r="D666" t="s">
        <v>10</v>
      </c>
      <c r="E666" t="str">
        <f>"$ 156,257"</f>
        <v>$ 156,257</v>
      </c>
      <c r="F666" s="1">
        <v>156598</v>
      </c>
    </row>
    <row r="667" spans="1:6">
      <c r="A667" t="s">
        <v>669</v>
      </c>
      <c r="B667" t="str">
        <f>"0.02019%"</f>
        <v>0.02019%</v>
      </c>
      <c r="C667" t="s">
        <v>10</v>
      </c>
      <c r="D667" t="s">
        <v>10</v>
      </c>
      <c r="E667" t="str">
        <f>"$ 155,939"</f>
        <v>$ 155,939</v>
      </c>
      <c r="F667" s="1">
        <v>2130</v>
      </c>
    </row>
    <row r="668" spans="1:6">
      <c r="A668" t="s">
        <v>670</v>
      </c>
      <c r="B668" t="str">
        <f>"0.02018%"</f>
        <v>0.02018%</v>
      </c>
      <c r="C668" t="s">
        <v>10</v>
      </c>
      <c r="D668" t="s">
        <v>10</v>
      </c>
      <c r="E668" t="str">
        <f>"$ 155,818"</f>
        <v>$ 155,818</v>
      </c>
      <c r="F668" s="1">
        <v>1662</v>
      </c>
    </row>
    <row r="669" spans="1:6">
      <c r="A669" t="s">
        <v>671</v>
      </c>
      <c r="B669" t="str">
        <f>"0.02014%"</f>
        <v>0.02014%</v>
      </c>
      <c r="C669" t="s">
        <v>10</v>
      </c>
      <c r="D669" t="s">
        <v>10</v>
      </c>
      <c r="E669" t="str">
        <f>"$ 155,551"</f>
        <v>$ 155,551</v>
      </c>
      <c r="F669">
        <v>408</v>
      </c>
    </row>
    <row r="670" spans="1:6">
      <c r="A670" t="s">
        <v>672</v>
      </c>
      <c r="B670" t="str">
        <f>"0.02006%"</f>
        <v>0.02006%</v>
      </c>
      <c r="C670" t="s">
        <v>10</v>
      </c>
      <c r="D670" t="s">
        <v>10</v>
      </c>
      <c r="E670" t="str">
        <f>"$ 154,892"</f>
        <v>$ 154,892</v>
      </c>
      <c r="F670">
        <v>409</v>
      </c>
    </row>
    <row r="671" spans="1:6">
      <c r="A671" t="s">
        <v>673</v>
      </c>
      <c r="B671" t="str">
        <f>"0.02004%"</f>
        <v>0.02004%</v>
      </c>
      <c r="C671" t="s">
        <v>10</v>
      </c>
      <c r="D671" t="s">
        <v>10</v>
      </c>
      <c r="E671" t="str">
        <f>"$ 154,722"</f>
        <v>$ 154,722</v>
      </c>
      <c r="F671" s="1">
        <v>10145</v>
      </c>
    </row>
    <row r="672" spans="1:6">
      <c r="A672" t="s">
        <v>674</v>
      </c>
      <c r="B672" t="str">
        <f>"0.02001%"</f>
        <v>0.02001%</v>
      </c>
      <c r="C672" t="s">
        <v>10</v>
      </c>
      <c r="D672" t="s">
        <v>10</v>
      </c>
      <c r="E672" t="str">
        <f>"$ 154,504"</f>
        <v>$ 154,504</v>
      </c>
      <c r="F672">
        <v>155</v>
      </c>
    </row>
    <row r="673" spans="1:6">
      <c r="A673" t="s">
        <v>675</v>
      </c>
      <c r="B673" t="str">
        <f>"0.01991%"</f>
        <v>0.01991%</v>
      </c>
      <c r="C673" t="s">
        <v>10</v>
      </c>
      <c r="D673" t="s">
        <v>10</v>
      </c>
      <c r="E673" t="str">
        <f>"$ 153,771"</f>
        <v>$ 153,771</v>
      </c>
      <c r="F673" s="1">
        <v>149315</v>
      </c>
    </row>
    <row r="674" spans="1:6">
      <c r="A674" t="s">
        <v>676</v>
      </c>
      <c r="B674" t="str">
        <f>"0.01990%"</f>
        <v>0.01990%</v>
      </c>
      <c r="C674" t="s">
        <v>10</v>
      </c>
      <c r="D674" t="s">
        <v>10</v>
      </c>
      <c r="E674" t="str">
        <f>"$ 153,689"</f>
        <v>$ 153,689</v>
      </c>
      <c r="F674">
        <v>692</v>
      </c>
    </row>
    <row r="675" spans="1:6">
      <c r="A675" t="s">
        <v>677</v>
      </c>
      <c r="B675" t="str">
        <f>"0.01990%"</f>
        <v>0.01990%</v>
      </c>
      <c r="C675" t="s">
        <v>10</v>
      </c>
      <c r="D675" t="s">
        <v>10</v>
      </c>
      <c r="E675" t="str">
        <f>"$ 153,635"</f>
        <v>$ 153,635</v>
      </c>
      <c r="F675" s="1">
        <v>1530</v>
      </c>
    </row>
    <row r="676" spans="1:6">
      <c r="A676" t="s">
        <v>678</v>
      </c>
      <c r="B676" t="str">
        <f>"0.01987%"</f>
        <v>0.01987%</v>
      </c>
      <c r="C676" t="s">
        <v>10</v>
      </c>
      <c r="D676" t="s">
        <v>10</v>
      </c>
      <c r="E676" t="str">
        <f>"$ 153,415"</f>
        <v>$ 153,415</v>
      </c>
      <c r="F676" s="1">
        <v>2007</v>
      </c>
    </row>
    <row r="677" spans="1:6">
      <c r="A677" t="s">
        <v>679</v>
      </c>
      <c r="B677" t="str">
        <f>"0.01987%"</f>
        <v>0.01987%</v>
      </c>
      <c r="C677" t="s">
        <v>10</v>
      </c>
      <c r="D677" t="s">
        <v>10</v>
      </c>
      <c r="E677" t="str">
        <f>"$ 153,415"</f>
        <v>$ 153,415</v>
      </c>
      <c r="F677" s="1">
        <v>8083</v>
      </c>
    </row>
    <row r="678" spans="1:6">
      <c r="A678" t="s">
        <v>680</v>
      </c>
      <c r="B678" t="str">
        <f>"0.01975%"</f>
        <v>0.01975%</v>
      </c>
      <c r="C678" t="s">
        <v>10</v>
      </c>
      <c r="D678" t="s">
        <v>10</v>
      </c>
      <c r="E678" t="str">
        <f>"$ 152,473"</f>
        <v>$ 152,473</v>
      </c>
      <c r="F678" s="1">
        <v>4058</v>
      </c>
    </row>
    <row r="679" spans="1:6">
      <c r="A679" t="s">
        <v>681</v>
      </c>
      <c r="B679" t="str">
        <f>"0.01974%"</f>
        <v>0.01974%</v>
      </c>
      <c r="C679" t="s">
        <v>10</v>
      </c>
      <c r="D679" t="s">
        <v>10</v>
      </c>
      <c r="E679" t="str">
        <f>"$ 152,425"</f>
        <v>$ 152,425</v>
      </c>
      <c r="F679">
        <v>940</v>
      </c>
    </row>
    <row r="680" spans="1:6">
      <c r="A680" t="s">
        <v>682</v>
      </c>
      <c r="B680" t="str">
        <f>"0.01968%"</f>
        <v>0.01968%</v>
      </c>
      <c r="C680" t="s">
        <v>10</v>
      </c>
      <c r="D680" t="s">
        <v>10</v>
      </c>
      <c r="E680" t="str">
        <f>"$ 151,951"</f>
        <v>$ 151,951</v>
      </c>
      <c r="F680">
        <v>643</v>
      </c>
    </row>
    <row r="681" spans="1:6">
      <c r="A681" t="s">
        <v>683</v>
      </c>
      <c r="B681" t="str">
        <f>"0.01967%"</f>
        <v>0.01967%</v>
      </c>
      <c r="C681" t="s">
        <v>10</v>
      </c>
      <c r="D681" t="s">
        <v>10</v>
      </c>
      <c r="E681" t="str">
        <f>"$ 151,919"</f>
        <v>$ 151,919</v>
      </c>
      <c r="F681" s="1">
        <v>10287</v>
      </c>
    </row>
    <row r="682" spans="1:6">
      <c r="A682" t="s">
        <v>684</v>
      </c>
      <c r="B682" t="str">
        <f>"0.01963%"</f>
        <v>0.01963%</v>
      </c>
      <c r="C682" t="s">
        <v>10</v>
      </c>
      <c r="D682" t="s">
        <v>10</v>
      </c>
      <c r="E682" t="str">
        <f>"$ 151,599"</f>
        <v>$ 151,599</v>
      </c>
      <c r="F682">
        <v>521</v>
      </c>
    </row>
    <row r="683" spans="1:6">
      <c r="A683" t="s">
        <v>685</v>
      </c>
      <c r="B683" t="str">
        <f>"0.01963%"</f>
        <v>0.01963%</v>
      </c>
      <c r="C683" t="s">
        <v>10</v>
      </c>
      <c r="D683" t="s">
        <v>10</v>
      </c>
      <c r="E683" t="str">
        <f>"$ 151,593"</f>
        <v>$ 151,593</v>
      </c>
      <c r="F683" s="1">
        <v>4982</v>
      </c>
    </row>
    <row r="684" spans="1:6">
      <c r="A684" t="s">
        <v>686</v>
      </c>
      <c r="B684" t="str">
        <f>"0.01956%"</f>
        <v>0.01956%</v>
      </c>
      <c r="C684" t="s">
        <v>10</v>
      </c>
      <c r="D684" t="s">
        <v>10</v>
      </c>
      <c r="E684" t="str">
        <f>"$ 151,003"</f>
        <v>$ 151,003</v>
      </c>
      <c r="F684">
        <v>227</v>
      </c>
    </row>
    <row r="685" spans="1:6">
      <c r="A685" t="s">
        <v>687</v>
      </c>
      <c r="B685" t="str">
        <f>"0.01956%"</f>
        <v>0.01956%</v>
      </c>
      <c r="C685" t="s">
        <v>10</v>
      </c>
      <c r="D685" t="s">
        <v>10</v>
      </c>
      <c r="E685" t="str">
        <f>"$ 151,049"</f>
        <v>$ 151,049</v>
      </c>
      <c r="F685" s="1">
        <v>3559</v>
      </c>
    </row>
    <row r="686" spans="1:6">
      <c r="A686" t="s">
        <v>688</v>
      </c>
      <c r="B686" t="str">
        <f>"0.01950%"</f>
        <v>0.01950%</v>
      </c>
      <c r="C686" t="s">
        <v>10</v>
      </c>
      <c r="D686" t="s">
        <v>10</v>
      </c>
      <c r="E686" t="str">
        <f>"$ 150,550"</f>
        <v>$ 150,550</v>
      </c>
      <c r="F686" s="1">
        <v>1543</v>
      </c>
    </row>
    <row r="687" spans="1:6">
      <c r="A687" t="s">
        <v>689</v>
      </c>
      <c r="B687" t="str">
        <f>"0.01947%"</f>
        <v>0.01947%</v>
      </c>
      <c r="C687" t="s">
        <v>10</v>
      </c>
      <c r="D687" t="s">
        <v>10</v>
      </c>
      <c r="E687" t="str">
        <f>"$ 150,380"</f>
        <v>$ 150,380</v>
      </c>
      <c r="F687" s="1">
        <v>3365</v>
      </c>
    </row>
    <row r="688" spans="1:6">
      <c r="A688" t="s">
        <v>690</v>
      </c>
      <c r="B688" t="str">
        <f>"0.01946%"</f>
        <v>0.01946%</v>
      </c>
      <c r="C688" t="s">
        <v>10</v>
      </c>
      <c r="D688" t="s">
        <v>10</v>
      </c>
      <c r="E688" t="str">
        <f>"$ 150,249"</f>
        <v>$ 150,249</v>
      </c>
      <c r="F688">
        <v>498</v>
      </c>
    </row>
    <row r="689" spans="1:6">
      <c r="A689" t="s">
        <v>691</v>
      </c>
      <c r="B689" t="str">
        <f>"0.01945%"</f>
        <v>0.01945%</v>
      </c>
      <c r="C689" t="s">
        <v>10</v>
      </c>
      <c r="D689" t="s">
        <v>10</v>
      </c>
      <c r="E689" t="str">
        <f>"$ 150,170"</f>
        <v>$ 150,170</v>
      </c>
      <c r="F689" s="1">
        <v>1235</v>
      </c>
    </row>
    <row r="690" spans="1:6">
      <c r="A690" t="s">
        <v>692</v>
      </c>
      <c r="B690" t="str">
        <f>"0.01942%"</f>
        <v>0.01942%</v>
      </c>
      <c r="C690" t="s">
        <v>10</v>
      </c>
      <c r="D690" t="s">
        <v>10</v>
      </c>
      <c r="E690" t="str">
        <f>"$ 149,938"</f>
        <v>$ 149,938</v>
      </c>
      <c r="F690" s="1">
        <v>6377</v>
      </c>
    </row>
    <row r="691" spans="1:6">
      <c r="A691" t="s">
        <v>693</v>
      </c>
      <c r="B691" t="str">
        <f>"0.01938%"</f>
        <v>0.01938%</v>
      </c>
      <c r="C691" t="s">
        <v>10</v>
      </c>
      <c r="D691" t="s">
        <v>10</v>
      </c>
      <c r="E691" t="str">
        <f>"$ 149,688"</f>
        <v>$ 149,688</v>
      </c>
      <c r="F691" s="1">
        <v>3754</v>
      </c>
    </row>
    <row r="692" spans="1:6">
      <c r="A692" t="s">
        <v>694</v>
      </c>
      <c r="B692" t="str">
        <f>"0.01933%"</f>
        <v>0.01933%</v>
      </c>
      <c r="C692" t="s">
        <v>10</v>
      </c>
      <c r="D692" t="s">
        <v>10</v>
      </c>
      <c r="E692" t="str">
        <f>"$ 149,229"</f>
        <v>$ 149,229</v>
      </c>
      <c r="F692" s="1">
        <v>1392</v>
      </c>
    </row>
    <row r="693" spans="1:6">
      <c r="A693" t="s">
        <v>695</v>
      </c>
      <c r="B693" t="str">
        <f>"0.01933%"</f>
        <v>0.01933%</v>
      </c>
      <c r="C693" t="s">
        <v>10</v>
      </c>
      <c r="D693" t="s">
        <v>10</v>
      </c>
      <c r="E693" t="str">
        <f>"$ 149,285"</f>
        <v>$ 149,285</v>
      </c>
      <c r="F693" s="1">
        <v>55162</v>
      </c>
    </row>
    <row r="694" spans="1:6">
      <c r="A694" t="s">
        <v>696</v>
      </c>
      <c r="B694" t="str">
        <f>"0.01926%"</f>
        <v>0.01926%</v>
      </c>
      <c r="C694" t="s">
        <v>10</v>
      </c>
      <c r="D694" t="s">
        <v>10</v>
      </c>
      <c r="E694" t="str">
        <f>"$ 148,725"</f>
        <v>$ 148,725</v>
      </c>
      <c r="F694" s="1">
        <v>1526</v>
      </c>
    </row>
    <row r="695" spans="1:6">
      <c r="A695" t="s">
        <v>697</v>
      </c>
      <c r="B695" t="str">
        <f>"0.01924%"</f>
        <v>0.01924%</v>
      </c>
      <c r="C695" t="s">
        <v>10</v>
      </c>
      <c r="D695" t="s">
        <v>10</v>
      </c>
      <c r="E695" t="str">
        <f>"$ 148,604"</f>
        <v>$ 148,604</v>
      </c>
      <c r="F695" s="1">
        <v>1315</v>
      </c>
    </row>
    <row r="696" spans="1:6">
      <c r="A696" t="s">
        <v>698</v>
      </c>
      <c r="B696" t="str">
        <f>"0.01917%"</f>
        <v>0.01917%</v>
      </c>
      <c r="C696" t="s">
        <v>10</v>
      </c>
      <c r="D696" t="s">
        <v>10</v>
      </c>
      <c r="E696" t="str">
        <f>"$ 148,017"</f>
        <v>$ 148,017</v>
      </c>
      <c r="F696" s="1">
        <v>1723</v>
      </c>
    </row>
    <row r="697" spans="1:6">
      <c r="A697" t="s">
        <v>699</v>
      </c>
      <c r="B697" t="str">
        <f>"0.01905%"</f>
        <v>0.01905%</v>
      </c>
      <c r="C697" t="s">
        <v>10</v>
      </c>
      <c r="D697" t="s">
        <v>10</v>
      </c>
      <c r="E697" t="str">
        <f>"$ 147,106"</f>
        <v>$ 147,106</v>
      </c>
      <c r="F697">
        <v>879</v>
      </c>
    </row>
    <row r="698" spans="1:6">
      <c r="A698" t="s">
        <v>700</v>
      </c>
      <c r="B698" t="str">
        <f>"0.01905%"</f>
        <v>0.01905%</v>
      </c>
      <c r="C698" t="s">
        <v>10</v>
      </c>
      <c r="D698" t="s">
        <v>10</v>
      </c>
      <c r="E698" t="str">
        <f>"$ 147,068"</f>
        <v>$ 147,068</v>
      </c>
      <c r="F698" s="1">
        <v>1670</v>
      </c>
    </row>
    <row r="699" spans="1:6">
      <c r="A699" t="s">
        <v>701</v>
      </c>
      <c r="B699" t="str">
        <f>"0.01899%"</f>
        <v>0.01899%</v>
      </c>
      <c r="C699" t="s">
        <v>10</v>
      </c>
      <c r="D699" t="s">
        <v>10</v>
      </c>
      <c r="E699" t="str">
        <f>"$ 146,633"</f>
        <v>$ 146,633</v>
      </c>
      <c r="F699" s="1">
        <v>10355</v>
      </c>
    </row>
    <row r="700" spans="1:6">
      <c r="A700" t="s">
        <v>702</v>
      </c>
      <c r="B700" t="str">
        <f>"0.01895%"</f>
        <v>0.01895%</v>
      </c>
      <c r="C700" t="s">
        <v>10</v>
      </c>
      <c r="D700" t="s">
        <v>10</v>
      </c>
      <c r="E700" t="str">
        <f>"$ 146,324"</f>
        <v>$ 146,324</v>
      </c>
      <c r="F700" s="1">
        <v>14388</v>
      </c>
    </row>
    <row r="701" spans="1:6">
      <c r="A701" t="s">
        <v>703</v>
      </c>
      <c r="B701" t="str">
        <f>"0.01891%"</f>
        <v>0.01891%</v>
      </c>
      <c r="C701" t="s">
        <v>10</v>
      </c>
      <c r="D701" t="s">
        <v>10</v>
      </c>
      <c r="E701" t="str">
        <f>"$ 146,009"</f>
        <v>$ 146,009</v>
      </c>
      <c r="F701">
        <v>779</v>
      </c>
    </row>
    <row r="702" spans="1:6">
      <c r="A702" t="s">
        <v>704</v>
      </c>
      <c r="B702" t="str">
        <f>"0.01889%"</f>
        <v>0.01889%</v>
      </c>
      <c r="C702" t="s">
        <v>10</v>
      </c>
      <c r="D702" t="s">
        <v>10</v>
      </c>
      <c r="E702" t="str">
        <f>"$ 145,906"</f>
        <v>$ 145,906</v>
      </c>
      <c r="F702">
        <v>484</v>
      </c>
    </row>
    <row r="703" spans="1:6">
      <c r="A703" t="s">
        <v>705</v>
      </c>
      <c r="B703" t="str">
        <f>"0.01885%"</f>
        <v>0.01885%</v>
      </c>
      <c r="C703" t="s">
        <v>10</v>
      </c>
      <c r="D703" t="s">
        <v>10</v>
      </c>
      <c r="E703" t="str">
        <f>"$ 145,593"</f>
        <v>$ 145,593</v>
      </c>
      <c r="F703" s="1">
        <v>1021</v>
      </c>
    </row>
    <row r="704" spans="1:6">
      <c r="A704" t="s">
        <v>706</v>
      </c>
      <c r="B704" t="str">
        <f>"0.01884%"</f>
        <v>0.01884%</v>
      </c>
      <c r="C704" t="s">
        <v>10</v>
      </c>
      <c r="D704" t="s">
        <v>10</v>
      </c>
      <c r="E704" t="str">
        <f>"$ 145,487"</f>
        <v>$ 145,487</v>
      </c>
      <c r="F704" s="1">
        <v>1121</v>
      </c>
    </row>
    <row r="705" spans="1:6">
      <c r="A705" t="s">
        <v>707</v>
      </c>
      <c r="B705" t="str">
        <f>"0.01880%"</f>
        <v>0.01880%</v>
      </c>
      <c r="C705" t="s">
        <v>10</v>
      </c>
      <c r="D705" t="s">
        <v>10</v>
      </c>
      <c r="E705" t="str">
        <f>"$ 145,170"</f>
        <v>$ 145,170</v>
      </c>
      <c r="F705" s="1">
        <v>1308</v>
      </c>
    </row>
    <row r="706" spans="1:6">
      <c r="A706" t="s">
        <v>708</v>
      </c>
      <c r="B706" t="str">
        <f>"0.01873%"</f>
        <v>0.01873%</v>
      </c>
      <c r="C706" t="s">
        <v>10</v>
      </c>
      <c r="D706" t="s">
        <v>10</v>
      </c>
      <c r="E706" t="str">
        <f>"$ 144,602"</f>
        <v>$ 144,602</v>
      </c>
      <c r="F706" s="1">
        <v>3473</v>
      </c>
    </row>
    <row r="707" spans="1:6">
      <c r="A707" t="s">
        <v>709</v>
      </c>
      <c r="B707" t="str">
        <f>"0.01870%"</f>
        <v>0.01870%</v>
      </c>
      <c r="C707" t="s">
        <v>10</v>
      </c>
      <c r="D707" t="s">
        <v>10</v>
      </c>
      <c r="E707" t="str">
        <f>"$ 144,391"</f>
        <v>$ 144,391</v>
      </c>
      <c r="F707" s="1">
        <v>1263</v>
      </c>
    </row>
    <row r="708" spans="1:6">
      <c r="A708" t="s">
        <v>710</v>
      </c>
      <c r="B708" t="str">
        <f>"0.01870%"</f>
        <v>0.01870%</v>
      </c>
      <c r="C708" t="s">
        <v>10</v>
      </c>
      <c r="D708" t="s">
        <v>10</v>
      </c>
      <c r="E708" t="str">
        <f>"$ 144,363"</f>
        <v>$ 144,363</v>
      </c>
      <c r="F708">
        <v>716</v>
      </c>
    </row>
    <row r="709" spans="1:6">
      <c r="A709" t="s">
        <v>711</v>
      </c>
      <c r="B709" t="str">
        <f>"0.01869%"</f>
        <v>0.01869%</v>
      </c>
      <c r="C709" t="s">
        <v>10</v>
      </c>
      <c r="D709" t="s">
        <v>10</v>
      </c>
      <c r="E709" t="str">
        <f>"$ 144,320"</f>
        <v>$ 144,320</v>
      </c>
      <c r="F709" s="1">
        <v>12991</v>
      </c>
    </row>
    <row r="710" spans="1:6">
      <c r="A710" t="s">
        <v>712</v>
      </c>
      <c r="B710" t="str">
        <f>"0.01867%"</f>
        <v>0.01867%</v>
      </c>
      <c r="C710" t="s">
        <v>10</v>
      </c>
      <c r="D710" t="s">
        <v>10</v>
      </c>
      <c r="E710" t="str">
        <f>"$ 144,139"</f>
        <v>$ 144,139</v>
      </c>
      <c r="F710" s="1">
        <v>46335</v>
      </c>
    </row>
    <row r="711" spans="1:6">
      <c r="A711" t="s">
        <v>713</v>
      </c>
      <c r="B711" t="str">
        <f>"0.01859%"</f>
        <v>0.01859%</v>
      </c>
      <c r="C711" t="s">
        <v>10</v>
      </c>
      <c r="D711" t="s">
        <v>10</v>
      </c>
      <c r="E711" t="str">
        <f>"$ 143,520"</f>
        <v>$ 143,520</v>
      </c>
      <c r="F711">
        <v>490</v>
      </c>
    </row>
    <row r="712" spans="1:6">
      <c r="A712" t="s">
        <v>714</v>
      </c>
      <c r="B712" t="str">
        <f>"0.01858%"</f>
        <v>0.01858%</v>
      </c>
      <c r="C712" t="s">
        <v>10</v>
      </c>
      <c r="D712" t="s">
        <v>10</v>
      </c>
      <c r="E712" t="str">
        <f>"$ 143,437"</f>
        <v>$ 143,437</v>
      </c>
      <c r="F712" s="1">
        <v>6928</v>
      </c>
    </row>
    <row r="713" spans="1:6">
      <c r="A713" t="s">
        <v>715</v>
      </c>
      <c r="B713" t="str">
        <f>"0.01857%"</f>
        <v>0.01857%</v>
      </c>
      <c r="C713" t="s">
        <v>10</v>
      </c>
      <c r="D713" t="s">
        <v>10</v>
      </c>
      <c r="E713" t="str">
        <f>"$ 143,403"</f>
        <v>$ 143,403</v>
      </c>
      <c r="F713" s="1">
        <v>2088</v>
      </c>
    </row>
    <row r="714" spans="1:6">
      <c r="A714" t="s">
        <v>716</v>
      </c>
      <c r="B714" t="str">
        <f>"0.01851%"</f>
        <v>0.01851%</v>
      </c>
      <c r="C714" t="s">
        <v>10</v>
      </c>
      <c r="D714" t="s">
        <v>10</v>
      </c>
      <c r="E714" t="str">
        <f>"$ 142,947"</f>
        <v>$ 142,947</v>
      </c>
      <c r="F714" s="1">
        <v>4190</v>
      </c>
    </row>
    <row r="715" spans="1:6">
      <c r="A715" t="s">
        <v>717</v>
      </c>
      <c r="B715" t="str">
        <f>"0.01841%"</f>
        <v>0.01841%</v>
      </c>
      <c r="C715" t="s">
        <v>10</v>
      </c>
      <c r="D715" t="s">
        <v>10</v>
      </c>
      <c r="E715" t="str">
        <f>"$ 142,123"</f>
        <v>$ 142,123</v>
      </c>
      <c r="F715" s="1">
        <v>22522</v>
      </c>
    </row>
    <row r="716" spans="1:6">
      <c r="A716" t="s">
        <v>718</v>
      </c>
      <c r="B716" t="str">
        <f>"0.01840%"</f>
        <v>0.01840%</v>
      </c>
      <c r="C716" t="s">
        <v>10</v>
      </c>
      <c r="D716" t="s">
        <v>10</v>
      </c>
      <c r="E716" t="str">
        <f>"$ 142,066"</f>
        <v>$ 142,066</v>
      </c>
      <c r="F716" s="1">
        <v>3414</v>
      </c>
    </row>
    <row r="717" spans="1:6">
      <c r="A717" t="s">
        <v>719</v>
      </c>
      <c r="B717" t="str">
        <f>"0.01839%"</f>
        <v>0.01839%</v>
      </c>
      <c r="C717" t="s">
        <v>10</v>
      </c>
      <c r="D717" t="s">
        <v>10</v>
      </c>
      <c r="E717" t="str">
        <f>"$ 141,975"</f>
        <v>$ 141,975</v>
      </c>
      <c r="F717" s="1">
        <v>1424</v>
      </c>
    </row>
    <row r="718" spans="1:6">
      <c r="A718" t="s">
        <v>720</v>
      </c>
      <c r="B718" t="str">
        <f>"0.01834%"</f>
        <v>0.01834%</v>
      </c>
      <c r="C718" t="s">
        <v>10</v>
      </c>
      <c r="D718" t="s">
        <v>10</v>
      </c>
      <c r="E718" t="str">
        <f>"$ 141,593"</f>
        <v>$ 141,593</v>
      </c>
      <c r="F718" s="1">
        <v>34608</v>
      </c>
    </row>
    <row r="719" spans="1:6">
      <c r="A719" t="s">
        <v>721</v>
      </c>
      <c r="B719" t="str">
        <f>"0.01833%"</f>
        <v>0.01833%</v>
      </c>
      <c r="C719" t="s">
        <v>10</v>
      </c>
      <c r="D719" t="s">
        <v>10</v>
      </c>
      <c r="E719" t="str">
        <f>"$ 141,521"</f>
        <v>$ 141,521</v>
      </c>
      <c r="F719">
        <v>777</v>
      </c>
    </row>
    <row r="720" spans="1:6">
      <c r="A720" t="s">
        <v>722</v>
      </c>
      <c r="B720" t="str">
        <f>"0.01832%"</f>
        <v>0.01832%</v>
      </c>
      <c r="C720" t="s">
        <v>10</v>
      </c>
      <c r="D720" t="s">
        <v>10</v>
      </c>
      <c r="E720" t="str">
        <f>"$ 141,496"</f>
        <v>$ 141,496</v>
      </c>
      <c r="F720" s="1">
        <v>2260</v>
      </c>
    </row>
    <row r="721" spans="1:6">
      <c r="A721" t="s">
        <v>723</v>
      </c>
      <c r="B721" t="str">
        <f>"0.01831%"</f>
        <v>0.01831%</v>
      </c>
      <c r="C721" t="s">
        <v>10</v>
      </c>
      <c r="D721" t="s">
        <v>10</v>
      </c>
      <c r="E721" t="str">
        <f>"$ 141,427"</f>
        <v>$ 141,427</v>
      </c>
      <c r="F721" s="1">
        <v>2425</v>
      </c>
    </row>
    <row r="722" spans="1:6">
      <c r="A722" t="s">
        <v>724</v>
      </c>
      <c r="B722" t="str">
        <f>"0.01828%"</f>
        <v>0.01828%</v>
      </c>
      <c r="C722" t="s">
        <v>10</v>
      </c>
      <c r="D722" t="s">
        <v>10</v>
      </c>
      <c r="E722" t="str">
        <f>"$ 141,141"</f>
        <v>$ 141,141</v>
      </c>
      <c r="F722" s="1">
        <v>3176</v>
      </c>
    </row>
    <row r="723" spans="1:6">
      <c r="A723" t="s">
        <v>725</v>
      </c>
      <c r="B723" t="str">
        <f>"0.01826%"</f>
        <v>0.01826%</v>
      </c>
      <c r="C723" t="s">
        <v>10</v>
      </c>
      <c r="D723" t="s">
        <v>10</v>
      </c>
      <c r="E723" t="str">
        <f>"$ 141,041"</f>
        <v>$ 141,041</v>
      </c>
      <c r="F723" s="1">
        <v>5432</v>
      </c>
    </row>
    <row r="724" spans="1:6">
      <c r="A724" t="s">
        <v>726</v>
      </c>
      <c r="B724" t="str">
        <f>"0.01823%"</f>
        <v>0.01823%</v>
      </c>
      <c r="C724" t="s">
        <v>10</v>
      </c>
      <c r="D724" t="s">
        <v>10</v>
      </c>
      <c r="E724" t="str">
        <f>"$ 140,796"</f>
        <v>$ 140,796</v>
      </c>
      <c r="F724" s="1">
        <v>12054</v>
      </c>
    </row>
    <row r="725" spans="1:6">
      <c r="A725" t="s">
        <v>727</v>
      </c>
      <c r="B725" t="str">
        <f>"0.01820%"</f>
        <v>0.01820%</v>
      </c>
      <c r="C725" t="s">
        <v>10</v>
      </c>
      <c r="D725" t="s">
        <v>10</v>
      </c>
      <c r="E725" t="str">
        <f>"$ 140,566"</f>
        <v>$ 140,566</v>
      </c>
      <c r="F725">
        <v>881</v>
      </c>
    </row>
    <row r="726" spans="1:6">
      <c r="A726" t="s">
        <v>728</v>
      </c>
      <c r="B726" t="str">
        <f>"0.01815%"</f>
        <v>0.01815%</v>
      </c>
      <c r="C726" t="s">
        <v>10</v>
      </c>
      <c r="D726" t="s">
        <v>10</v>
      </c>
      <c r="E726" t="str">
        <f>"$ 140,140"</f>
        <v>$ 140,140</v>
      </c>
      <c r="F726" s="1">
        <v>2890</v>
      </c>
    </row>
    <row r="727" spans="1:6">
      <c r="A727" t="s">
        <v>729</v>
      </c>
      <c r="B727" t="str">
        <f>"0.01812%"</f>
        <v>0.01812%</v>
      </c>
      <c r="C727" t="s">
        <v>10</v>
      </c>
      <c r="D727" t="s">
        <v>10</v>
      </c>
      <c r="E727" t="str">
        <f>"$ 139,911"</f>
        <v>$ 139,911</v>
      </c>
      <c r="F727" s="1">
        <v>2006</v>
      </c>
    </row>
    <row r="728" spans="1:6">
      <c r="A728" t="s">
        <v>730</v>
      </c>
      <c r="B728" t="str">
        <f>"0.01805%"</f>
        <v>0.01805%</v>
      </c>
      <c r="C728" t="s">
        <v>10</v>
      </c>
      <c r="D728" t="s">
        <v>10</v>
      </c>
      <c r="E728" t="str">
        <f>"$ 139,344"</f>
        <v>$ 139,344</v>
      </c>
      <c r="F728" s="1">
        <v>1781</v>
      </c>
    </row>
    <row r="729" spans="1:6">
      <c r="A729" t="s">
        <v>731</v>
      </c>
      <c r="B729" t="str">
        <f>"0.01803%"</f>
        <v>0.01803%</v>
      </c>
      <c r="C729" t="s">
        <v>10</v>
      </c>
      <c r="D729" t="s">
        <v>10</v>
      </c>
      <c r="E729" t="str">
        <f>"$ 139,247"</f>
        <v>$ 139,247</v>
      </c>
      <c r="F729">
        <v>824</v>
      </c>
    </row>
    <row r="730" spans="1:6">
      <c r="A730" t="s">
        <v>732</v>
      </c>
      <c r="B730" t="str">
        <f>"0.01798%"</f>
        <v>0.01798%</v>
      </c>
      <c r="C730" t="s">
        <v>10</v>
      </c>
      <c r="D730" t="s">
        <v>10</v>
      </c>
      <c r="E730" t="str">
        <f>"$ 138,817"</f>
        <v>$ 138,817</v>
      </c>
      <c r="F730" s="1">
        <v>6829</v>
      </c>
    </row>
    <row r="731" spans="1:6">
      <c r="A731" t="s">
        <v>733</v>
      </c>
      <c r="B731" t="str">
        <f>"0.01791%"</f>
        <v>0.01791%</v>
      </c>
      <c r="C731" t="s">
        <v>10</v>
      </c>
      <c r="D731" t="s">
        <v>10</v>
      </c>
      <c r="E731" t="str">
        <f>"$ 138,265"</f>
        <v>$ 138,265</v>
      </c>
      <c r="F731" s="1">
        <v>7462</v>
      </c>
    </row>
    <row r="732" spans="1:6">
      <c r="A732" t="s">
        <v>734</v>
      </c>
      <c r="B732" t="str">
        <f>"0.01790%"</f>
        <v>0.01790%</v>
      </c>
      <c r="C732" t="s">
        <v>10</v>
      </c>
      <c r="D732" t="s">
        <v>10</v>
      </c>
      <c r="E732" t="str">
        <f>"$ 138,217"</f>
        <v>$ 138,217</v>
      </c>
      <c r="F732">
        <v>330</v>
      </c>
    </row>
    <row r="733" spans="1:6">
      <c r="A733" t="s">
        <v>735</v>
      </c>
      <c r="B733" t="str">
        <f>"0.01787%"</f>
        <v>0.01787%</v>
      </c>
      <c r="C733" t="s">
        <v>10</v>
      </c>
      <c r="D733" t="s">
        <v>10</v>
      </c>
      <c r="E733" t="str">
        <f>"$ 137,987"</f>
        <v>$ 137,987</v>
      </c>
      <c r="F733" s="1">
        <v>1014</v>
      </c>
    </row>
    <row r="734" spans="1:6">
      <c r="A734" t="s">
        <v>736</v>
      </c>
      <c r="B734" t="str">
        <f>"0.01785%"</f>
        <v>0.01785%</v>
      </c>
      <c r="C734" t="s">
        <v>10</v>
      </c>
      <c r="D734" t="s">
        <v>10</v>
      </c>
      <c r="E734" t="str">
        <f>"$ 137,839"</f>
        <v>$ 137,839</v>
      </c>
      <c r="F734" s="1">
        <v>11062</v>
      </c>
    </row>
    <row r="735" spans="1:6">
      <c r="A735" t="s">
        <v>737</v>
      </c>
      <c r="B735" t="str">
        <f>"0.01783%"</f>
        <v>0.01783%</v>
      </c>
      <c r="C735" t="s">
        <v>10</v>
      </c>
      <c r="D735" t="s">
        <v>10</v>
      </c>
      <c r="E735" t="str">
        <f>"$ 137,671"</f>
        <v>$ 137,671</v>
      </c>
      <c r="F735" s="1">
        <v>1221</v>
      </c>
    </row>
    <row r="736" spans="1:6">
      <c r="A736" t="s">
        <v>738</v>
      </c>
      <c r="B736" t="str">
        <f>"0.01783%"</f>
        <v>0.01783%</v>
      </c>
      <c r="C736" t="s">
        <v>10</v>
      </c>
      <c r="D736" t="s">
        <v>10</v>
      </c>
      <c r="E736" t="str">
        <f>"$ 137,682"</f>
        <v>$ 137,682</v>
      </c>
      <c r="F736" s="1">
        <v>13691</v>
      </c>
    </row>
    <row r="737" spans="1:6">
      <c r="A737" t="s">
        <v>739</v>
      </c>
      <c r="B737" t="str">
        <f>"0.01778%"</f>
        <v>0.01778%</v>
      </c>
      <c r="C737" t="s">
        <v>10</v>
      </c>
      <c r="D737" t="s">
        <v>10</v>
      </c>
      <c r="E737" t="str">
        <f>"$ 137,273"</f>
        <v>$ 137,273</v>
      </c>
      <c r="F737" s="1">
        <v>6400</v>
      </c>
    </row>
    <row r="738" spans="1:6">
      <c r="A738" t="s">
        <v>740</v>
      </c>
      <c r="B738" t="str">
        <f>"0.01778%"</f>
        <v>0.01778%</v>
      </c>
      <c r="C738" t="s">
        <v>10</v>
      </c>
      <c r="D738" t="s">
        <v>10</v>
      </c>
      <c r="E738" t="str">
        <f>"$ 137,315"</f>
        <v>$ 137,315</v>
      </c>
      <c r="F738" s="1">
        <v>4058</v>
      </c>
    </row>
    <row r="739" spans="1:6">
      <c r="A739" t="s">
        <v>741</v>
      </c>
      <c r="B739" t="str">
        <f>"0.01776%"</f>
        <v>0.01776%</v>
      </c>
      <c r="C739" t="s">
        <v>10</v>
      </c>
      <c r="D739" t="s">
        <v>10</v>
      </c>
      <c r="E739" t="str">
        <f>"$ 137,107"</f>
        <v>$ 137,107</v>
      </c>
      <c r="F739" s="1">
        <v>1104</v>
      </c>
    </row>
    <row r="740" spans="1:6">
      <c r="A740" t="s">
        <v>742</v>
      </c>
      <c r="B740" t="str">
        <f>"0.01772%"</f>
        <v>0.01772%</v>
      </c>
      <c r="C740" t="s">
        <v>10</v>
      </c>
      <c r="D740" t="s">
        <v>10</v>
      </c>
      <c r="E740" t="str">
        <f>"$ 136,828"</f>
        <v>$ 136,828</v>
      </c>
      <c r="F740" s="1">
        <v>5341</v>
      </c>
    </row>
    <row r="741" spans="1:6">
      <c r="A741" t="s">
        <v>743</v>
      </c>
      <c r="B741" t="str">
        <f>"0.01772%"</f>
        <v>0.01772%</v>
      </c>
      <c r="C741" t="s">
        <v>10</v>
      </c>
      <c r="D741" t="s">
        <v>10</v>
      </c>
      <c r="E741" t="str">
        <f>"$ 136,851"</f>
        <v>$ 136,851</v>
      </c>
      <c r="F741" s="1">
        <v>1703</v>
      </c>
    </row>
    <row r="742" spans="1:6">
      <c r="A742" t="s">
        <v>744</v>
      </c>
      <c r="B742" t="str">
        <f>"0.01771%"</f>
        <v>0.01771%</v>
      </c>
      <c r="C742" t="s">
        <v>10</v>
      </c>
      <c r="D742" t="s">
        <v>10</v>
      </c>
      <c r="E742" t="str">
        <f>"$ 136,733"</f>
        <v>$ 136,733</v>
      </c>
      <c r="F742" s="1">
        <v>11799</v>
      </c>
    </row>
    <row r="743" spans="1:6">
      <c r="A743" t="s">
        <v>745</v>
      </c>
      <c r="B743" t="str">
        <f>"0.01770%"</f>
        <v>0.01770%</v>
      </c>
      <c r="C743" t="s">
        <v>10</v>
      </c>
      <c r="D743" t="s">
        <v>10</v>
      </c>
      <c r="E743" t="str">
        <f>"$ 136,709"</f>
        <v>$ 136,709</v>
      </c>
      <c r="F743">
        <v>521</v>
      </c>
    </row>
    <row r="744" spans="1:6">
      <c r="A744" t="s">
        <v>746</v>
      </c>
      <c r="B744" t="str">
        <f>"0.01769%"</f>
        <v>0.01769%</v>
      </c>
      <c r="C744" t="s">
        <v>10</v>
      </c>
      <c r="D744" t="s">
        <v>10</v>
      </c>
      <c r="E744" t="str">
        <f>"$ 136,568"</f>
        <v>$ 136,568</v>
      </c>
      <c r="F744" s="1">
        <v>7299</v>
      </c>
    </row>
    <row r="745" spans="1:6">
      <c r="A745" t="s">
        <v>747</v>
      </c>
      <c r="B745" t="str">
        <f>"0.01764%"</f>
        <v>0.01764%</v>
      </c>
      <c r="C745" t="s">
        <v>10</v>
      </c>
      <c r="D745" t="s">
        <v>10</v>
      </c>
      <c r="E745" t="str">
        <f>"$ 136,211"</f>
        <v>$ 136,211</v>
      </c>
      <c r="F745" s="1">
        <v>16085</v>
      </c>
    </row>
    <row r="746" spans="1:6">
      <c r="A746" t="s">
        <v>748</v>
      </c>
      <c r="B746" t="str">
        <f>"0.01763%"</f>
        <v>0.01763%</v>
      </c>
      <c r="C746" t="s">
        <v>10</v>
      </c>
      <c r="D746" t="s">
        <v>10</v>
      </c>
      <c r="E746" t="str">
        <f>"$ 136,176"</f>
        <v>$ 136,176</v>
      </c>
      <c r="F746">
        <v>994</v>
      </c>
    </row>
    <row r="747" spans="1:6">
      <c r="A747" t="s">
        <v>749</v>
      </c>
      <c r="B747" t="str">
        <f>"0.01763%"</f>
        <v>0.01763%</v>
      </c>
      <c r="C747" t="s">
        <v>10</v>
      </c>
      <c r="D747" t="s">
        <v>10</v>
      </c>
      <c r="E747" t="str">
        <f>"$ 136,166"</f>
        <v>$ 136,166</v>
      </c>
      <c r="F747" s="1">
        <v>6247</v>
      </c>
    </row>
    <row r="748" spans="1:6">
      <c r="A748" t="s">
        <v>750</v>
      </c>
      <c r="B748" t="str">
        <f>"0.01762%"</f>
        <v>0.01762%</v>
      </c>
      <c r="C748" t="s">
        <v>10</v>
      </c>
      <c r="D748" t="s">
        <v>10</v>
      </c>
      <c r="E748" t="str">
        <f>"$ 136,077"</f>
        <v>$ 136,077</v>
      </c>
      <c r="F748">
        <v>904</v>
      </c>
    </row>
    <row r="749" spans="1:6">
      <c r="A749" t="s">
        <v>751</v>
      </c>
      <c r="B749" t="str">
        <f>"0.01760%"</f>
        <v>0.01760%</v>
      </c>
      <c r="C749" t="s">
        <v>10</v>
      </c>
      <c r="D749" t="s">
        <v>10</v>
      </c>
      <c r="E749" t="str">
        <f>"$ 135,893"</f>
        <v>$ 135,893</v>
      </c>
      <c r="F749" s="1">
        <v>1166</v>
      </c>
    </row>
    <row r="750" spans="1:6">
      <c r="A750" t="s">
        <v>752</v>
      </c>
      <c r="B750" t="str">
        <f>"0.01760%"</f>
        <v>0.01760%</v>
      </c>
      <c r="C750" t="s">
        <v>10</v>
      </c>
      <c r="D750" t="s">
        <v>10</v>
      </c>
      <c r="E750" t="str">
        <f>"$ 135,884"</f>
        <v>$ 135,884</v>
      </c>
      <c r="F750" s="1">
        <v>1424</v>
      </c>
    </row>
    <row r="751" spans="1:6">
      <c r="A751" t="s">
        <v>753</v>
      </c>
      <c r="B751" t="str">
        <f>"0.01757%"</f>
        <v>0.01757%</v>
      </c>
      <c r="C751" t="s">
        <v>10</v>
      </c>
      <c r="D751" t="s">
        <v>10</v>
      </c>
      <c r="E751" t="str">
        <f>"$ 135,689"</f>
        <v>$ 135,689</v>
      </c>
      <c r="F751" s="1">
        <v>7043</v>
      </c>
    </row>
    <row r="752" spans="1:6">
      <c r="A752" t="s">
        <v>754</v>
      </c>
      <c r="B752" t="str">
        <f>"0.01755%"</f>
        <v>0.01755%</v>
      </c>
      <c r="C752" t="s">
        <v>10</v>
      </c>
      <c r="D752" t="s">
        <v>10</v>
      </c>
      <c r="E752" t="str">
        <f>"$ 135,510"</f>
        <v>$ 135,510</v>
      </c>
      <c r="F752" s="1">
        <v>22516</v>
      </c>
    </row>
    <row r="753" spans="1:6">
      <c r="A753" t="s">
        <v>755</v>
      </c>
      <c r="B753" t="str">
        <f>"0.01749%"</f>
        <v>0.01749%</v>
      </c>
      <c r="C753" t="s">
        <v>10</v>
      </c>
      <c r="D753" t="s">
        <v>10</v>
      </c>
      <c r="E753" t="str">
        <f>"$ 135,059"</f>
        <v>$ 135,059</v>
      </c>
      <c r="F753" s="1">
        <v>27779</v>
      </c>
    </row>
    <row r="754" spans="1:6">
      <c r="A754" t="s">
        <v>756</v>
      </c>
      <c r="B754" t="str">
        <f>"0.01745%"</f>
        <v>0.01745%</v>
      </c>
      <c r="C754" t="s">
        <v>10</v>
      </c>
      <c r="D754" t="s">
        <v>10</v>
      </c>
      <c r="E754" t="str">
        <f>"$ 134,736"</f>
        <v>$ 134,736</v>
      </c>
      <c r="F754" s="1">
        <v>3026</v>
      </c>
    </row>
    <row r="755" spans="1:6">
      <c r="A755" t="s">
        <v>757</v>
      </c>
      <c r="B755" t="str">
        <f>"0.01745%"</f>
        <v>0.01745%</v>
      </c>
      <c r="C755" t="s">
        <v>10</v>
      </c>
      <c r="D755" t="s">
        <v>10</v>
      </c>
      <c r="E755" t="str">
        <f>"$ 134,713"</f>
        <v>$ 134,713</v>
      </c>
      <c r="F755">
        <v>629</v>
      </c>
    </row>
    <row r="756" spans="1:6">
      <c r="A756" t="s">
        <v>758</v>
      </c>
      <c r="B756" t="str">
        <f>"0.01745%"</f>
        <v>0.01745%</v>
      </c>
      <c r="C756" t="s">
        <v>10</v>
      </c>
      <c r="D756" t="s">
        <v>10</v>
      </c>
      <c r="E756" t="str">
        <f>"$ 134,763"</f>
        <v>$ 134,763</v>
      </c>
      <c r="F756" s="1">
        <v>6477</v>
      </c>
    </row>
    <row r="757" spans="1:6">
      <c r="A757" t="s">
        <v>759</v>
      </c>
      <c r="B757" t="str">
        <f>"0.01729%"</f>
        <v>0.01729%</v>
      </c>
      <c r="C757" t="s">
        <v>10</v>
      </c>
      <c r="D757" t="s">
        <v>10</v>
      </c>
      <c r="E757" t="str">
        <f>"$ 133,539"</f>
        <v>$ 133,539</v>
      </c>
      <c r="F757">
        <v>211</v>
      </c>
    </row>
    <row r="758" spans="1:6">
      <c r="A758" t="s">
        <v>760</v>
      </c>
      <c r="B758" t="str">
        <f>"0.01729%"</f>
        <v>0.01729%</v>
      </c>
      <c r="C758" t="s">
        <v>10</v>
      </c>
      <c r="D758" t="s">
        <v>10</v>
      </c>
      <c r="E758" t="str">
        <f>"$ 133,530"</f>
        <v>$ 133,530</v>
      </c>
      <c r="F758">
        <v>700</v>
      </c>
    </row>
    <row r="759" spans="1:6">
      <c r="A759" t="s">
        <v>761</v>
      </c>
      <c r="B759" t="str">
        <f>"0.01726%"</f>
        <v>0.01726%</v>
      </c>
      <c r="C759" t="s">
        <v>10</v>
      </c>
      <c r="D759" t="s">
        <v>10</v>
      </c>
      <c r="E759" t="str">
        <f>"$ 133,265"</f>
        <v>$ 133,265</v>
      </c>
      <c r="F759" s="1">
        <v>2206</v>
      </c>
    </row>
    <row r="760" spans="1:6">
      <c r="A760" t="s">
        <v>762</v>
      </c>
      <c r="B760" t="str">
        <f>"0.01719%"</f>
        <v>0.01719%</v>
      </c>
      <c r="C760" t="s">
        <v>10</v>
      </c>
      <c r="D760" t="s">
        <v>10</v>
      </c>
      <c r="E760" t="str">
        <f>"$ 132,772"</f>
        <v>$ 132,772</v>
      </c>
      <c r="F760" s="1">
        <v>1734</v>
      </c>
    </row>
    <row r="761" spans="1:6">
      <c r="A761" t="s">
        <v>763</v>
      </c>
      <c r="B761" t="str">
        <f>"0.01713%"</f>
        <v>0.01713%</v>
      </c>
      <c r="C761" t="s">
        <v>10</v>
      </c>
      <c r="D761" t="s">
        <v>10</v>
      </c>
      <c r="E761" t="str">
        <f>"$ 132,246"</f>
        <v>$ 132,246</v>
      </c>
      <c r="F761" s="1">
        <v>11236</v>
      </c>
    </row>
    <row r="762" spans="1:6">
      <c r="A762" t="s">
        <v>764</v>
      </c>
      <c r="B762" t="str">
        <f>"0.01709%"</f>
        <v>0.01709%</v>
      </c>
      <c r="C762" t="s">
        <v>10</v>
      </c>
      <c r="D762" t="s">
        <v>10</v>
      </c>
      <c r="E762" t="str">
        <f>"$ 131,940"</f>
        <v>$ 131,940</v>
      </c>
      <c r="F762" s="1">
        <v>4278</v>
      </c>
    </row>
    <row r="763" spans="1:6">
      <c r="A763" t="s">
        <v>765</v>
      </c>
      <c r="B763" t="str">
        <f>"0.01709%"</f>
        <v>0.01709%</v>
      </c>
      <c r="C763" t="s">
        <v>10</v>
      </c>
      <c r="D763" t="s">
        <v>10</v>
      </c>
      <c r="E763" t="str">
        <f>"$ 131,961"</f>
        <v>$ 131,961</v>
      </c>
      <c r="F763">
        <v>933</v>
      </c>
    </row>
    <row r="764" spans="1:6">
      <c r="A764" t="s">
        <v>766</v>
      </c>
      <c r="B764" t="str">
        <f>"0.01708%"</f>
        <v>0.01708%</v>
      </c>
      <c r="C764" t="s">
        <v>10</v>
      </c>
      <c r="D764" t="s">
        <v>10</v>
      </c>
      <c r="E764" t="str">
        <f>"$ 131,908"</f>
        <v>$ 131,908</v>
      </c>
      <c r="F764" s="1">
        <v>20198</v>
      </c>
    </row>
    <row r="765" spans="1:6">
      <c r="A765" t="s">
        <v>767</v>
      </c>
      <c r="B765" t="str">
        <f>"0.01707%"</f>
        <v>0.01707%</v>
      </c>
      <c r="C765" t="s">
        <v>10</v>
      </c>
      <c r="D765" t="s">
        <v>10</v>
      </c>
      <c r="E765" t="str">
        <f>"$ 131,805"</f>
        <v>$ 131,805</v>
      </c>
      <c r="F765" s="1">
        <v>1632</v>
      </c>
    </row>
    <row r="766" spans="1:6">
      <c r="A766" t="s">
        <v>768</v>
      </c>
      <c r="B766" t="str">
        <f>"0.01705%"</f>
        <v>0.01705%</v>
      </c>
      <c r="C766" t="s">
        <v>10</v>
      </c>
      <c r="D766" t="s">
        <v>10</v>
      </c>
      <c r="E766" t="str">
        <f>"$ 131,669"</f>
        <v>$ 131,669</v>
      </c>
      <c r="F766" s="1">
        <v>2593</v>
      </c>
    </row>
    <row r="767" spans="1:6">
      <c r="A767" t="s">
        <v>769</v>
      </c>
      <c r="B767" t="str">
        <f>"0.01705%"</f>
        <v>0.01705%</v>
      </c>
      <c r="C767" t="s">
        <v>10</v>
      </c>
      <c r="D767" t="s">
        <v>10</v>
      </c>
      <c r="E767" t="str">
        <f>"$ 131,660"</f>
        <v>$ 131,660</v>
      </c>
      <c r="F767" s="1">
        <v>3928</v>
      </c>
    </row>
    <row r="768" spans="1:6">
      <c r="A768" t="s">
        <v>770</v>
      </c>
      <c r="B768" t="str">
        <f>"0.01704%"</f>
        <v>0.01704%</v>
      </c>
      <c r="C768" t="s">
        <v>10</v>
      </c>
      <c r="D768" t="s">
        <v>10</v>
      </c>
      <c r="E768" t="str">
        <f>"$ 131,565"</f>
        <v>$ 131,565</v>
      </c>
      <c r="F768" s="1">
        <v>3160</v>
      </c>
    </row>
    <row r="769" spans="1:6">
      <c r="A769" t="s">
        <v>771</v>
      </c>
      <c r="B769" t="str">
        <f>"0.01703%"</f>
        <v>0.01703%</v>
      </c>
      <c r="C769" t="s">
        <v>10</v>
      </c>
      <c r="D769" t="s">
        <v>10</v>
      </c>
      <c r="E769" t="str">
        <f>"$ 131,493"</f>
        <v>$ 131,493</v>
      </c>
      <c r="F769">
        <v>994</v>
      </c>
    </row>
    <row r="770" spans="1:6">
      <c r="A770" t="s">
        <v>772</v>
      </c>
      <c r="B770" t="str">
        <f>"0.01702%"</f>
        <v>0.01702%</v>
      </c>
      <c r="C770" t="s">
        <v>10</v>
      </c>
      <c r="D770" t="s">
        <v>10</v>
      </c>
      <c r="E770" t="str">
        <f>"$ 131,460"</f>
        <v>$ 131,460</v>
      </c>
      <c r="F770">
        <v>481</v>
      </c>
    </row>
    <row r="771" spans="1:6">
      <c r="A771" t="s">
        <v>773</v>
      </c>
      <c r="B771" t="str">
        <f>"0.01697%"</f>
        <v>0.01697%</v>
      </c>
      <c r="C771" t="s">
        <v>10</v>
      </c>
      <c r="D771" t="s">
        <v>10</v>
      </c>
      <c r="E771" t="str">
        <f>"$ 131,070"</f>
        <v>$ 131,070</v>
      </c>
      <c r="F771" s="1">
        <v>2208</v>
      </c>
    </row>
    <row r="772" spans="1:6">
      <c r="A772" t="s">
        <v>774</v>
      </c>
      <c r="B772" t="str">
        <f>"0.01692%"</f>
        <v>0.01692%</v>
      </c>
      <c r="C772" t="s">
        <v>10</v>
      </c>
      <c r="D772" t="s">
        <v>10</v>
      </c>
      <c r="E772" t="str">
        <f>"$ 130,632"</f>
        <v>$ 130,632</v>
      </c>
      <c r="F772" s="1">
        <v>12107</v>
      </c>
    </row>
    <row r="773" spans="1:6">
      <c r="A773" t="s">
        <v>775</v>
      </c>
      <c r="B773" t="str">
        <f>"0.01691%"</f>
        <v>0.01691%</v>
      </c>
      <c r="C773" t="s">
        <v>10</v>
      </c>
      <c r="D773" t="s">
        <v>10</v>
      </c>
      <c r="E773" t="str">
        <f>"$ 130,598"</f>
        <v>$ 130,598</v>
      </c>
      <c r="F773" s="1">
        <v>1755</v>
      </c>
    </row>
    <row r="774" spans="1:6">
      <c r="A774" t="s">
        <v>776</v>
      </c>
      <c r="B774" t="str">
        <f>"0.01686%"</f>
        <v>0.01686%</v>
      </c>
      <c r="C774" t="s">
        <v>10</v>
      </c>
      <c r="D774" t="s">
        <v>10</v>
      </c>
      <c r="E774" t="str">
        <f>"$ 130,155"</f>
        <v>$ 130,155</v>
      </c>
      <c r="F774" s="1">
        <v>1823</v>
      </c>
    </row>
    <row r="775" spans="1:6">
      <c r="A775" t="s">
        <v>777</v>
      </c>
      <c r="B775" t="str">
        <f>"0.01681%"</f>
        <v>0.01681%</v>
      </c>
      <c r="C775" t="s">
        <v>10</v>
      </c>
      <c r="D775" t="s">
        <v>10</v>
      </c>
      <c r="E775" t="str">
        <f>"$ 129,838"</f>
        <v>$ 129,838</v>
      </c>
      <c r="F775" s="1">
        <v>6763</v>
      </c>
    </row>
    <row r="776" spans="1:6">
      <c r="A776" t="s">
        <v>778</v>
      </c>
      <c r="B776" t="str">
        <f>"0.01680%"</f>
        <v>0.01680%</v>
      </c>
      <c r="C776" t="s">
        <v>10</v>
      </c>
      <c r="D776" t="s">
        <v>10</v>
      </c>
      <c r="E776" t="str">
        <f>"$ 129,762"</f>
        <v>$ 129,762</v>
      </c>
      <c r="F776" s="1">
        <v>3147</v>
      </c>
    </row>
    <row r="777" spans="1:6">
      <c r="A777" t="s">
        <v>779</v>
      </c>
      <c r="B777" t="str">
        <f>"0.01677%"</f>
        <v>0.01677%</v>
      </c>
      <c r="C777" t="s">
        <v>10</v>
      </c>
      <c r="D777" t="s">
        <v>10</v>
      </c>
      <c r="E777" t="str">
        <f>"$ 129,511"</f>
        <v>$ 129,511</v>
      </c>
      <c r="F777" s="1">
        <v>5528</v>
      </c>
    </row>
    <row r="778" spans="1:6">
      <c r="A778" t="s">
        <v>780</v>
      </c>
      <c r="B778" t="str">
        <f>"0.01674%"</f>
        <v>0.01674%</v>
      </c>
      <c r="C778" t="s">
        <v>10</v>
      </c>
      <c r="D778" t="s">
        <v>10</v>
      </c>
      <c r="E778" t="str">
        <f>"$ 129,281"</f>
        <v>$ 129,281</v>
      </c>
      <c r="F778">
        <v>440</v>
      </c>
    </row>
    <row r="779" spans="1:6">
      <c r="A779" t="s">
        <v>781</v>
      </c>
      <c r="B779" t="str">
        <f>"0.01674%"</f>
        <v>0.01674%</v>
      </c>
      <c r="C779" t="s">
        <v>10</v>
      </c>
      <c r="D779" t="s">
        <v>10</v>
      </c>
      <c r="E779" t="str">
        <f>"$ 129,256"</f>
        <v>$ 129,256</v>
      </c>
      <c r="F779" s="1">
        <v>7010</v>
      </c>
    </row>
    <row r="780" spans="1:6">
      <c r="A780" t="s">
        <v>782</v>
      </c>
      <c r="B780" t="str">
        <f>"0.01674%"</f>
        <v>0.01674%</v>
      </c>
      <c r="C780" t="s">
        <v>10</v>
      </c>
      <c r="D780" t="s">
        <v>10</v>
      </c>
      <c r="E780" t="str">
        <f>"$ 129,268"</f>
        <v>$ 129,268</v>
      </c>
      <c r="F780" s="1">
        <v>17724</v>
      </c>
    </row>
    <row r="781" spans="1:6">
      <c r="A781" t="s">
        <v>783</v>
      </c>
      <c r="B781" t="str">
        <f>"0.01672%"</f>
        <v>0.01672%</v>
      </c>
      <c r="C781" t="s">
        <v>10</v>
      </c>
      <c r="D781" t="s">
        <v>10</v>
      </c>
      <c r="E781" t="str">
        <f>"$ 129,129"</f>
        <v>$ 129,129</v>
      </c>
      <c r="F781" s="1">
        <v>3109</v>
      </c>
    </row>
    <row r="782" spans="1:6">
      <c r="A782" t="s">
        <v>784</v>
      </c>
      <c r="B782" t="str">
        <f>"0.01669%"</f>
        <v>0.01669%</v>
      </c>
      <c r="C782" t="s">
        <v>10</v>
      </c>
      <c r="D782" t="s">
        <v>10</v>
      </c>
      <c r="E782" t="str">
        <f>"$ 128,892"</f>
        <v>$ 128,892</v>
      </c>
      <c r="F782" s="1">
        <v>2689</v>
      </c>
    </row>
    <row r="783" spans="1:6">
      <c r="A783" t="s">
        <v>785</v>
      </c>
      <c r="B783" t="str">
        <f>"0.01667%"</f>
        <v>0.01667%</v>
      </c>
      <c r="C783" t="s">
        <v>10</v>
      </c>
      <c r="D783" t="s">
        <v>10</v>
      </c>
      <c r="E783" t="str">
        <f>"$ 128,737"</f>
        <v>$ 128,737</v>
      </c>
      <c r="F783" s="1">
        <v>2181</v>
      </c>
    </row>
    <row r="784" spans="1:6">
      <c r="A784" t="s">
        <v>786</v>
      </c>
      <c r="B784" t="str">
        <f>"0.01660%"</f>
        <v>0.01660%</v>
      </c>
      <c r="C784" t="s">
        <v>10</v>
      </c>
      <c r="D784" t="s">
        <v>10</v>
      </c>
      <c r="E784" t="str">
        <f>"$ 128,182"</f>
        <v>$ 128,182</v>
      </c>
      <c r="F784" s="1">
        <v>3386</v>
      </c>
    </row>
    <row r="785" spans="1:6">
      <c r="A785" t="s">
        <v>787</v>
      </c>
      <c r="B785" t="str">
        <f>"0.01660%"</f>
        <v>0.01660%</v>
      </c>
      <c r="C785" t="s">
        <v>10</v>
      </c>
      <c r="D785" t="s">
        <v>10</v>
      </c>
      <c r="E785" t="str">
        <f>"$ 128,204"</f>
        <v>$ 128,204</v>
      </c>
      <c r="F785" s="1">
        <v>6388</v>
      </c>
    </row>
    <row r="786" spans="1:6">
      <c r="A786" t="s">
        <v>788</v>
      </c>
      <c r="B786" t="str">
        <f>"0.01659%"</f>
        <v>0.01659%</v>
      </c>
      <c r="C786" t="s">
        <v>10</v>
      </c>
      <c r="D786" t="s">
        <v>10</v>
      </c>
      <c r="E786" t="str">
        <f>"$ 128,095"</f>
        <v>$ 128,095</v>
      </c>
      <c r="F786" s="1">
        <v>1084</v>
      </c>
    </row>
    <row r="787" spans="1:6">
      <c r="A787" t="s">
        <v>789</v>
      </c>
      <c r="B787" t="str">
        <f>"0.01658%"</f>
        <v>0.01658%</v>
      </c>
      <c r="C787" t="s">
        <v>10</v>
      </c>
      <c r="D787" t="s">
        <v>10</v>
      </c>
      <c r="E787" t="str">
        <f>"$ 128,039"</f>
        <v>$ 128,039</v>
      </c>
      <c r="F787" s="1">
        <v>1143</v>
      </c>
    </row>
    <row r="788" spans="1:6">
      <c r="A788" t="s">
        <v>790</v>
      </c>
      <c r="B788" t="str">
        <f>"0.01657%"</f>
        <v>0.01657%</v>
      </c>
      <c r="C788" t="s">
        <v>10</v>
      </c>
      <c r="D788" t="s">
        <v>10</v>
      </c>
      <c r="E788" t="str">
        <f>"$ 127,923"</f>
        <v>$ 127,923</v>
      </c>
      <c r="F788">
        <v>447</v>
      </c>
    </row>
    <row r="789" spans="1:6">
      <c r="A789" t="s">
        <v>791</v>
      </c>
      <c r="B789" t="str">
        <f>"0.01657%"</f>
        <v>0.01657%</v>
      </c>
      <c r="C789" t="s">
        <v>10</v>
      </c>
      <c r="D789" t="s">
        <v>10</v>
      </c>
      <c r="E789" t="str">
        <f>"$ 127,930"</f>
        <v>$ 127,930</v>
      </c>
      <c r="F789" s="1">
        <v>6186</v>
      </c>
    </row>
    <row r="790" spans="1:6">
      <c r="A790" t="s">
        <v>792</v>
      </c>
      <c r="B790" t="str">
        <f>"0.01653%"</f>
        <v>0.01653%</v>
      </c>
      <c r="C790" t="s">
        <v>10</v>
      </c>
      <c r="D790" t="s">
        <v>10</v>
      </c>
      <c r="E790" t="str">
        <f>"$ 127,661"</f>
        <v>$ 127,661</v>
      </c>
      <c r="F790">
        <v>226</v>
      </c>
    </row>
    <row r="791" spans="1:6">
      <c r="A791" t="s">
        <v>793</v>
      </c>
      <c r="B791" t="str">
        <f>"0.01652%"</f>
        <v>0.01652%</v>
      </c>
      <c r="C791" t="s">
        <v>10</v>
      </c>
      <c r="D791" t="s">
        <v>10</v>
      </c>
      <c r="E791" t="str">
        <f>"$ 127,535"</f>
        <v>$ 127,535</v>
      </c>
      <c r="F791" s="1">
        <v>2442</v>
      </c>
    </row>
    <row r="792" spans="1:6">
      <c r="A792" t="s">
        <v>794</v>
      </c>
      <c r="B792" t="str">
        <f>"0.01650%"</f>
        <v>0.01650%</v>
      </c>
      <c r="C792" t="s">
        <v>10</v>
      </c>
      <c r="D792" t="s">
        <v>10</v>
      </c>
      <c r="E792" t="str">
        <f>"$ 127,424"</f>
        <v>$ 127,424</v>
      </c>
      <c r="F792" s="1">
        <v>1112</v>
      </c>
    </row>
    <row r="793" spans="1:6">
      <c r="A793" t="s">
        <v>795</v>
      </c>
      <c r="B793" t="str">
        <f>"0.01650%"</f>
        <v>0.01650%</v>
      </c>
      <c r="C793" t="s">
        <v>10</v>
      </c>
      <c r="D793" t="s">
        <v>10</v>
      </c>
      <c r="E793" t="str">
        <f>"$ 127,402"</f>
        <v>$ 127,402</v>
      </c>
      <c r="F793" s="1">
        <v>3068</v>
      </c>
    </row>
    <row r="794" spans="1:6">
      <c r="A794" t="s">
        <v>796</v>
      </c>
      <c r="B794" t="str">
        <f>"0.01642%"</f>
        <v>0.01642%</v>
      </c>
      <c r="C794" t="s">
        <v>10</v>
      </c>
      <c r="D794" t="s">
        <v>10</v>
      </c>
      <c r="E794" t="str">
        <f>"$ 126,830"</f>
        <v>$ 126,830</v>
      </c>
      <c r="F794" s="1">
        <v>3860</v>
      </c>
    </row>
    <row r="795" spans="1:6">
      <c r="A795" t="s">
        <v>797</v>
      </c>
      <c r="B795" t="str">
        <f>"0.01641%"</f>
        <v>0.01641%</v>
      </c>
      <c r="C795" t="s">
        <v>10</v>
      </c>
      <c r="D795" t="s">
        <v>10</v>
      </c>
      <c r="E795" t="str">
        <f>"$ 126,698"</f>
        <v>$ 126,698</v>
      </c>
      <c r="F795" s="1">
        <v>1636</v>
      </c>
    </row>
    <row r="796" spans="1:6">
      <c r="A796" t="s">
        <v>798</v>
      </c>
      <c r="B796" t="str">
        <f>"0.01638%"</f>
        <v>0.01638%</v>
      </c>
      <c r="C796" t="s">
        <v>10</v>
      </c>
      <c r="D796" t="s">
        <v>10</v>
      </c>
      <c r="E796" t="str">
        <f>"$ 126,494"</f>
        <v>$ 126,494</v>
      </c>
      <c r="F796" s="1">
        <v>7542</v>
      </c>
    </row>
    <row r="797" spans="1:6">
      <c r="A797" t="s">
        <v>799</v>
      </c>
      <c r="B797" t="str">
        <f>"0.01638%"</f>
        <v>0.01638%</v>
      </c>
      <c r="C797" t="s">
        <v>10</v>
      </c>
      <c r="D797" t="s">
        <v>10</v>
      </c>
      <c r="E797" t="str">
        <f>"$ 126,517"</f>
        <v>$ 126,517</v>
      </c>
      <c r="F797">
        <v>750</v>
      </c>
    </row>
    <row r="798" spans="1:6">
      <c r="A798" t="s">
        <v>800</v>
      </c>
      <c r="B798" t="str">
        <f>"0.01632%"</f>
        <v>0.01632%</v>
      </c>
      <c r="C798" t="s">
        <v>10</v>
      </c>
      <c r="D798" t="s">
        <v>10</v>
      </c>
      <c r="E798" t="str">
        <f>"$ 126,012"</f>
        <v>$ 126,012</v>
      </c>
      <c r="F798" s="1">
        <v>1617</v>
      </c>
    </row>
    <row r="799" spans="1:6">
      <c r="A799" t="s">
        <v>801</v>
      </c>
      <c r="B799" t="str">
        <f>"0.01620%"</f>
        <v>0.01620%</v>
      </c>
      <c r="C799" t="s">
        <v>10</v>
      </c>
      <c r="D799" t="s">
        <v>10</v>
      </c>
      <c r="E799" t="str">
        <f>"$ 125,085"</f>
        <v>$ 125,085</v>
      </c>
      <c r="F799" s="1">
        <v>6270</v>
      </c>
    </row>
    <row r="800" spans="1:6">
      <c r="A800" t="s">
        <v>802</v>
      </c>
      <c r="B800" t="str">
        <f>"0.01619%"</f>
        <v>0.01619%</v>
      </c>
      <c r="C800" t="s">
        <v>10</v>
      </c>
      <c r="D800" t="s">
        <v>10</v>
      </c>
      <c r="E800" t="str">
        <f>"$ 125,034"</f>
        <v>$ 125,034</v>
      </c>
      <c r="F800" s="1">
        <v>1119</v>
      </c>
    </row>
    <row r="801" spans="1:6">
      <c r="A801" t="s">
        <v>803</v>
      </c>
      <c r="B801" t="str">
        <f>"0.01619%"</f>
        <v>0.01619%</v>
      </c>
      <c r="C801" t="s">
        <v>10</v>
      </c>
      <c r="D801" t="s">
        <v>10</v>
      </c>
      <c r="E801" t="str">
        <f>"$ 124,988"</f>
        <v>$ 124,988</v>
      </c>
      <c r="F801" s="1">
        <v>3214</v>
      </c>
    </row>
    <row r="802" spans="1:6">
      <c r="A802" t="s">
        <v>804</v>
      </c>
      <c r="B802" t="str">
        <f>"0.01616%"</f>
        <v>0.01616%</v>
      </c>
      <c r="C802" t="s">
        <v>10</v>
      </c>
      <c r="D802" t="s">
        <v>10</v>
      </c>
      <c r="E802" t="str">
        <f>"$ 124,788"</f>
        <v>$ 124,788</v>
      </c>
      <c r="F802">
        <v>891</v>
      </c>
    </row>
    <row r="803" spans="1:6">
      <c r="A803" t="s">
        <v>805</v>
      </c>
      <c r="B803" t="str">
        <f>"0.01615%"</f>
        <v>0.01615%</v>
      </c>
      <c r="C803" t="s">
        <v>10</v>
      </c>
      <c r="D803" t="s">
        <v>10</v>
      </c>
      <c r="E803" t="str">
        <f>"$ 124,683"</f>
        <v>$ 124,683</v>
      </c>
      <c r="F803" s="1">
        <v>302705</v>
      </c>
    </row>
    <row r="804" spans="1:6">
      <c r="A804" t="s">
        <v>806</v>
      </c>
      <c r="B804" t="str">
        <f>"0.01612%"</f>
        <v>0.01612%</v>
      </c>
      <c r="C804" t="s">
        <v>10</v>
      </c>
      <c r="D804" t="s">
        <v>10</v>
      </c>
      <c r="E804" t="str">
        <f>"$ 124,464"</f>
        <v>$ 124,464</v>
      </c>
      <c r="F804" s="1">
        <v>20883</v>
      </c>
    </row>
    <row r="805" spans="1:6">
      <c r="A805" t="s">
        <v>807</v>
      </c>
      <c r="B805" t="str">
        <f>"0.01612%"</f>
        <v>0.01612%</v>
      </c>
      <c r="C805" t="s">
        <v>10</v>
      </c>
      <c r="D805" t="s">
        <v>10</v>
      </c>
      <c r="E805" t="str">
        <f>"$ 124,493"</f>
        <v>$ 124,493</v>
      </c>
      <c r="F805" s="1">
        <v>1786</v>
      </c>
    </row>
    <row r="806" spans="1:6">
      <c r="A806" t="s">
        <v>808</v>
      </c>
      <c r="B806" t="str">
        <f>"0.01612%"</f>
        <v>0.01612%</v>
      </c>
      <c r="C806" t="s">
        <v>10</v>
      </c>
      <c r="D806" t="s">
        <v>10</v>
      </c>
      <c r="E806" t="str">
        <f>"$ 124,493"</f>
        <v>$ 124,493</v>
      </c>
      <c r="F806" s="1">
        <v>2127</v>
      </c>
    </row>
    <row r="807" spans="1:6">
      <c r="A807" t="s">
        <v>809</v>
      </c>
      <c r="B807" t="str">
        <f>"0.01610%"</f>
        <v>0.01610%</v>
      </c>
      <c r="C807" t="s">
        <v>10</v>
      </c>
      <c r="D807" t="s">
        <v>10</v>
      </c>
      <c r="E807" t="str">
        <f>"$ 124,362"</f>
        <v>$ 124,362</v>
      </c>
      <c r="F807" s="1">
        <v>8284</v>
      </c>
    </row>
    <row r="808" spans="1:6">
      <c r="A808" t="s">
        <v>810</v>
      </c>
      <c r="B808" t="str">
        <f>"0.01609%"</f>
        <v>0.01609%</v>
      </c>
      <c r="C808" t="s">
        <v>10</v>
      </c>
      <c r="D808" t="s">
        <v>10</v>
      </c>
      <c r="E808" t="str">
        <f>"$ 124,239"</f>
        <v>$ 124,239</v>
      </c>
      <c r="F808">
        <v>964</v>
      </c>
    </row>
    <row r="809" spans="1:6">
      <c r="A809" t="s">
        <v>811</v>
      </c>
      <c r="B809" t="str">
        <f>"0.01608%"</f>
        <v>0.01608%</v>
      </c>
      <c r="C809" t="s">
        <v>10</v>
      </c>
      <c r="D809" t="s">
        <v>10</v>
      </c>
      <c r="E809" t="str">
        <f>"$ 124,143"</f>
        <v>$ 124,143</v>
      </c>
      <c r="F809" s="1">
        <v>1902</v>
      </c>
    </row>
    <row r="810" spans="1:6">
      <c r="A810" t="s">
        <v>812</v>
      </c>
      <c r="B810" t="str">
        <f>"0.01607%"</f>
        <v>0.01607%</v>
      </c>
      <c r="C810" t="s">
        <v>10</v>
      </c>
      <c r="D810" t="s">
        <v>10</v>
      </c>
      <c r="E810" t="str">
        <f>"$ 124,113"</f>
        <v>$ 124,113</v>
      </c>
      <c r="F810" s="1">
        <v>1440</v>
      </c>
    </row>
    <row r="811" spans="1:6">
      <c r="A811" t="s">
        <v>813</v>
      </c>
      <c r="B811" t="str">
        <f>"0.01606%"</f>
        <v>0.01606%</v>
      </c>
      <c r="C811" t="s">
        <v>10</v>
      </c>
      <c r="D811" t="s">
        <v>10</v>
      </c>
      <c r="E811" t="str">
        <f>"$ 124,003"</f>
        <v>$ 124,003</v>
      </c>
      <c r="F811">
        <v>713</v>
      </c>
    </row>
    <row r="812" spans="1:6">
      <c r="A812" t="s">
        <v>814</v>
      </c>
      <c r="B812" t="str">
        <f>"0.01600%"</f>
        <v>0.01600%</v>
      </c>
      <c r="C812" t="s">
        <v>10</v>
      </c>
      <c r="D812" t="s">
        <v>10</v>
      </c>
      <c r="E812" t="str">
        <f>"$ 123,530"</f>
        <v>$ 123,530</v>
      </c>
      <c r="F812" s="1">
        <v>18113</v>
      </c>
    </row>
    <row r="813" spans="1:6">
      <c r="A813" t="s">
        <v>815</v>
      </c>
      <c r="B813" t="str">
        <f>"0.01596%"</f>
        <v>0.01596%</v>
      </c>
      <c r="C813" t="s">
        <v>10</v>
      </c>
      <c r="D813" t="s">
        <v>10</v>
      </c>
      <c r="E813" t="str">
        <f>"$ 123,236"</f>
        <v>$ 123,236</v>
      </c>
      <c r="F813" s="1">
        <v>1749</v>
      </c>
    </row>
    <row r="814" spans="1:6">
      <c r="A814" t="s">
        <v>816</v>
      </c>
      <c r="B814" t="str">
        <f>"0.01591%"</f>
        <v>0.01591%</v>
      </c>
      <c r="C814" t="s">
        <v>10</v>
      </c>
      <c r="D814" t="s">
        <v>10</v>
      </c>
      <c r="E814" t="str">
        <f>"$ 122,876"</f>
        <v>$ 122,876</v>
      </c>
      <c r="F814" s="1">
        <v>3788</v>
      </c>
    </row>
    <row r="815" spans="1:6">
      <c r="A815" t="s">
        <v>817</v>
      </c>
      <c r="B815" t="str">
        <f>"0.01587%"</f>
        <v>0.01587%</v>
      </c>
      <c r="C815" t="s">
        <v>10</v>
      </c>
      <c r="D815" t="s">
        <v>10</v>
      </c>
      <c r="E815" t="str">
        <f>"$ 122,547"</f>
        <v>$ 122,547</v>
      </c>
      <c r="F815" s="1">
        <v>6571</v>
      </c>
    </row>
    <row r="816" spans="1:6">
      <c r="A816" t="s">
        <v>818</v>
      </c>
      <c r="B816" t="str">
        <f>"0.01586%"</f>
        <v>0.01586%</v>
      </c>
      <c r="C816" t="s">
        <v>10</v>
      </c>
      <c r="D816" t="s">
        <v>10</v>
      </c>
      <c r="E816" t="str">
        <f>"$ 122,493"</f>
        <v>$ 122,493</v>
      </c>
      <c r="F816" s="1">
        <v>5190</v>
      </c>
    </row>
    <row r="817" spans="1:6">
      <c r="A817" t="s">
        <v>819</v>
      </c>
      <c r="B817" t="str">
        <f>"0.01584%"</f>
        <v>0.01584%</v>
      </c>
      <c r="C817" t="s">
        <v>10</v>
      </c>
      <c r="D817" t="s">
        <v>10</v>
      </c>
      <c r="E817" t="str">
        <f>"$ 122,343"</f>
        <v>$ 122,343</v>
      </c>
      <c r="F817">
        <v>663</v>
      </c>
    </row>
    <row r="818" spans="1:6">
      <c r="A818" t="s">
        <v>820</v>
      </c>
      <c r="B818" t="str">
        <f>"0.01582%"</f>
        <v>0.01582%</v>
      </c>
      <c r="C818" t="s">
        <v>10</v>
      </c>
      <c r="D818" t="s">
        <v>10</v>
      </c>
      <c r="E818" t="str">
        <f>"$ 122,130"</f>
        <v>$ 122,130</v>
      </c>
      <c r="F818" s="1">
        <v>3468</v>
      </c>
    </row>
    <row r="819" spans="1:6">
      <c r="A819" t="s">
        <v>821</v>
      </c>
      <c r="B819" t="str">
        <f>"0.01573%"</f>
        <v>0.01573%</v>
      </c>
      <c r="C819" t="s">
        <v>10</v>
      </c>
      <c r="D819" t="s">
        <v>10</v>
      </c>
      <c r="E819" t="str">
        <f>"$ 121,447"</f>
        <v>$ 121,447</v>
      </c>
      <c r="F819" s="1">
        <v>7364</v>
      </c>
    </row>
    <row r="820" spans="1:6">
      <c r="A820" t="s">
        <v>822</v>
      </c>
      <c r="B820" t="str">
        <f>"0.01571%"</f>
        <v>0.01571%</v>
      </c>
      <c r="C820" t="s">
        <v>10</v>
      </c>
      <c r="D820" t="s">
        <v>10</v>
      </c>
      <c r="E820" t="str">
        <f>"$ 121,293"</f>
        <v>$ 121,293</v>
      </c>
      <c r="F820">
        <v>497</v>
      </c>
    </row>
    <row r="821" spans="1:6">
      <c r="A821" t="s">
        <v>823</v>
      </c>
      <c r="B821" t="str">
        <f>"0.01570%"</f>
        <v>0.01570%</v>
      </c>
      <c r="C821" t="s">
        <v>10</v>
      </c>
      <c r="D821" t="s">
        <v>10</v>
      </c>
      <c r="E821" t="str">
        <f>"$ 121,199"</f>
        <v>$ 121,199</v>
      </c>
      <c r="F821">
        <v>769</v>
      </c>
    </row>
    <row r="822" spans="1:6">
      <c r="A822" t="s">
        <v>824</v>
      </c>
      <c r="B822" t="str">
        <f>"0.01569%"</f>
        <v>0.01569%</v>
      </c>
      <c r="C822" t="s">
        <v>10</v>
      </c>
      <c r="D822" t="s">
        <v>10</v>
      </c>
      <c r="E822" t="str">
        <f>"$ 121,175"</f>
        <v>$ 121,175</v>
      </c>
      <c r="F822" s="1">
        <v>5066</v>
      </c>
    </row>
    <row r="823" spans="1:6">
      <c r="A823" t="s">
        <v>825</v>
      </c>
      <c r="B823" t="str">
        <f>"0.01568%"</f>
        <v>0.01568%</v>
      </c>
      <c r="C823" t="s">
        <v>10</v>
      </c>
      <c r="D823" t="s">
        <v>10</v>
      </c>
      <c r="E823" t="str">
        <f>"$ 121,051"</f>
        <v>$ 121,051</v>
      </c>
      <c r="F823" s="1">
        <v>44504</v>
      </c>
    </row>
    <row r="824" spans="1:6">
      <c r="A824" t="s">
        <v>826</v>
      </c>
      <c r="B824" t="str">
        <f>"0.01558%"</f>
        <v>0.01558%</v>
      </c>
      <c r="C824" t="s">
        <v>10</v>
      </c>
      <c r="D824" t="s">
        <v>10</v>
      </c>
      <c r="E824" t="str">
        <f>"$ 120,325"</f>
        <v>$ 120,325</v>
      </c>
      <c r="F824" s="1">
        <v>1327</v>
      </c>
    </row>
    <row r="825" spans="1:6">
      <c r="A825" t="s">
        <v>827</v>
      </c>
      <c r="B825" t="str">
        <f>"0.01558%"</f>
        <v>0.01558%</v>
      </c>
      <c r="C825" t="s">
        <v>10</v>
      </c>
      <c r="D825" t="s">
        <v>10</v>
      </c>
      <c r="E825" t="str">
        <f>"$ 120,302"</f>
        <v>$ 120,302</v>
      </c>
      <c r="F825" s="1">
        <v>1757</v>
      </c>
    </row>
    <row r="826" spans="1:6">
      <c r="A826" t="s">
        <v>828</v>
      </c>
      <c r="B826" t="str">
        <f>"0.01556%"</f>
        <v>0.01556%</v>
      </c>
      <c r="C826" t="s">
        <v>10</v>
      </c>
      <c r="D826" t="s">
        <v>10</v>
      </c>
      <c r="E826" t="str">
        <f>"$ 120,187"</f>
        <v>$ 120,187</v>
      </c>
      <c r="F826">
        <v>829</v>
      </c>
    </row>
    <row r="827" spans="1:6">
      <c r="A827" t="s">
        <v>829</v>
      </c>
      <c r="B827" t="str">
        <f>"0.01554%"</f>
        <v>0.01554%</v>
      </c>
      <c r="C827" t="s">
        <v>10</v>
      </c>
      <c r="D827" t="s">
        <v>10</v>
      </c>
      <c r="E827" t="str">
        <f>"$ 119,980"</f>
        <v>$ 119,980</v>
      </c>
      <c r="F827" s="1">
        <v>2620</v>
      </c>
    </row>
    <row r="828" spans="1:6">
      <c r="A828" t="s">
        <v>830</v>
      </c>
      <c r="B828" t="str">
        <f>"0.01554%"</f>
        <v>0.01554%</v>
      </c>
      <c r="C828" t="s">
        <v>10</v>
      </c>
      <c r="D828" t="s">
        <v>10</v>
      </c>
      <c r="E828" t="str">
        <f>"$ 120,033"</f>
        <v>$ 120,033</v>
      </c>
      <c r="F828" s="1">
        <v>8880</v>
      </c>
    </row>
    <row r="829" spans="1:6">
      <c r="A829" t="s">
        <v>831</v>
      </c>
      <c r="B829" t="str">
        <f>"0.01551%"</f>
        <v>0.01551%</v>
      </c>
      <c r="C829" t="s">
        <v>10</v>
      </c>
      <c r="D829" t="s">
        <v>10</v>
      </c>
      <c r="E829" t="str">
        <f>"$ 119,748"</f>
        <v>$ 119,748</v>
      </c>
      <c r="F829" s="1">
        <v>4646</v>
      </c>
    </row>
    <row r="830" spans="1:6">
      <c r="A830" t="s">
        <v>832</v>
      </c>
      <c r="B830" t="str">
        <f>"0.01549%"</f>
        <v>0.01549%</v>
      </c>
      <c r="C830" t="s">
        <v>10</v>
      </c>
      <c r="D830" t="s">
        <v>10</v>
      </c>
      <c r="E830" t="str">
        <f>"$ 119,593"</f>
        <v>$ 119,593</v>
      </c>
      <c r="F830" s="1">
        <v>5239</v>
      </c>
    </row>
    <row r="831" spans="1:6">
      <c r="A831" t="s">
        <v>833</v>
      </c>
      <c r="B831" t="str">
        <f>"0.01548%"</f>
        <v>0.01548%</v>
      </c>
      <c r="C831" t="s">
        <v>10</v>
      </c>
      <c r="D831" t="s">
        <v>10</v>
      </c>
      <c r="E831" t="str">
        <f>"$ 119,504"</f>
        <v>$ 119,504</v>
      </c>
      <c r="F831" s="1">
        <v>6283</v>
      </c>
    </row>
    <row r="832" spans="1:6">
      <c r="A832" t="s">
        <v>834</v>
      </c>
      <c r="B832" t="str">
        <f>"0.01548%"</f>
        <v>0.01548%</v>
      </c>
      <c r="C832" t="s">
        <v>10</v>
      </c>
      <c r="D832" t="s">
        <v>10</v>
      </c>
      <c r="E832" t="str">
        <f>"$ 119,527"</f>
        <v>$ 119,527</v>
      </c>
      <c r="F832" s="1">
        <v>2247</v>
      </c>
    </row>
    <row r="833" spans="1:6">
      <c r="A833" t="s">
        <v>835</v>
      </c>
      <c r="B833" t="str">
        <f>"0.01547%"</f>
        <v>0.01547%</v>
      </c>
      <c r="C833" t="s">
        <v>10</v>
      </c>
      <c r="D833" t="s">
        <v>10</v>
      </c>
      <c r="E833" t="str">
        <f>"$ 119,423"</f>
        <v>$ 119,423</v>
      </c>
      <c r="F833" s="1">
        <v>11450</v>
      </c>
    </row>
    <row r="834" spans="1:6">
      <c r="A834" t="s">
        <v>836</v>
      </c>
      <c r="B834" t="str">
        <f>"0.01546%"</f>
        <v>0.01546%</v>
      </c>
      <c r="C834" t="s">
        <v>10</v>
      </c>
      <c r="D834" t="s">
        <v>10</v>
      </c>
      <c r="E834" t="str">
        <f>"$ 119,347"</f>
        <v>$ 119,347</v>
      </c>
      <c r="F834" s="1">
        <v>2408</v>
      </c>
    </row>
    <row r="835" spans="1:6">
      <c r="A835" t="s">
        <v>837</v>
      </c>
      <c r="B835" t="str">
        <f>"0.01543%"</f>
        <v>0.01543%</v>
      </c>
      <c r="C835" t="s">
        <v>10</v>
      </c>
      <c r="D835" t="s">
        <v>10</v>
      </c>
      <c r="E835" t="str">
        <f>"$ 119,166"</f>
        <v>$ 119,166</v>
      </c>
      <c r="F835" s="1">
        <v>3250</v>
      </c>
    </row>
    <row r="836" spans="1:6">
      <c r="A836" t="s">
        <v>838</v>
      </c>
      <c r="B836" t="str">
        <f>"0.01543%"</f>
        <v>0.01543%</v>
      </c>
      <c r="C836" t="s">
        <v>10</v>
      </c>
      <c r="D836" t="s">
        <v>10</v>
      </c>
      <c r="E836" t="str">
        <f>"$ 119,127"</f>
        <v>$ 119,127</v>
      </c>
      <c r="F836">
        <v>307</v>
      </c>
    </row>
    <row r="837" spans="1:6">
      <c r="A837" t="s">
        <v>839</v>
      </c>
      <c r="B837" t="str">
        <f>"0.01542%"</f>
        <v>0.01542%</v>
      </c>
      <c r="C837" t="s">
        <v>10</v>
      </c>
      <c r="D837" t="s">
        <v>10</v>
      </c>
      <c r="E837" t="str">
        <f>"$ 119,066"</f>
        <v>$ 119,066</v>
      </c>
      <c r="F837">
        <v>867</v>
      </c>
    </row>
    <row r="838" spans="1:6">
      <c r="A838" t="s">
        <v>840</v>
      </c>
      <c r="B838" t="str">
        <f>"0.01538%"</f>
        <v>0.01538%</v>
      </c>
      <c r="C838" t="s">
        <v>10</v>
      </c>
      <c r="D838" t="s">
        <v>10</v>
      </c>
      <c r="E838" t="str">
        <f>"$ 118,786"</f>
        <v>$ 118,786</v>
      </c>
      <c r="F838" s="1">
        <v>1088</v>
      </c>
    </row>
    <row r="839" spans="1:6">
      <c r="A839" t="s">
        <v>841</v>
      </c>
      <c r="B839" t="str">
        <f>"0.01533%"</f>
        <v>0.01533%</v>
      </c>
      <c r="C839" t="s">
        <v>10</v>
      </c>
      <c r="D839" t="s">
        <v>10</v>
      </c>
      <c r="E839" t="str">
        <f>"$ 118,376"</f>
        <v>$ 118,376</v>
      </c>
      <c r="F839">
        <v>901</v>
      </c>
    </row>
    <row r="840" spans="1:6">
      <c r="A840" t="s">
        <v>842</v>
      </c>
      <c r="B840" t="str">
        <f>"0.01533%"</f>
        <v>0.01533%</v>
      </c>
      <c r="C840" t="s">
        <v>10</v>
      </c>
      <c r="D840" t="s">
        <v>10</v>
      </c>
      <c r="E840" t="str">
        <f>"$ 118,407"</f>
        <v>$ 118,407</v>
      </c>
      <c r="F840" s="1">
        <v>1313</v>
      </c>
    </row>
    <row r="841" spans="1:6">
      <c r="A841" t="s">
        <v>843</v>
      </c>
      <c r="B841" t="str">
        <f>"0.01533%"</f>
        <v>0.01533%</v>
      </c>
      <c r="C841" t="s">
        <v>10</v>
      </c>
      <c r="D841" t="s">
        <v>10</v>
      </c>
      <c r="E841" t="str">
        <f>"$ 118,394"</f>
        <v>$ 118,394</v>
      </c>
      <c r="F841" s="1">
        <v>2968</v>
      </c>
    </row>
    <row r="842" spans="1:6">
      <c r="A842" t="s">
        <v>844</v>
      </c>
      <c r="B842" t="str">
        <f>"0.01532%"</f>
        <v>0.01532%</v>
      </c>
      <c r="C842" t="s">
        <v>10</v>
      </c>
      <c r="D842" t="s">
        <v>10</v>
      </c>
      <c r="E842" t="str">
        <f>"$ 118,281"</f>
        <v>$ 118,281</v>
      </c>
      <c r="F842">
        <v>33</v>
      </c>
    </row>
    <row r="843" spans="1:6">
      <c r="A843" t="s">
        <v>845</v>
      </c>
      <c r="B843" t="str">
        <f>"0.01532%"</f>
        <v>0.01532%</v>
      </c>
      <c r="C843" t="s">
        <v>10</v>
      </c>
      <c r="D843" t="s">
        <v>10</v>
      </c>
      <c r="E843" t="str">
        <f>"$ 118,314"</f>
        <v>$ 118,314</v>
      </c>
      <c r="F843" s="1">
        <v>1204</v>
      </c>
    </row>
    <row r="844" spans="1:6">
      <c r="A844" t="s">
        <v>846</v>
      </c>
      <c r="B844" t="str">
        <f>"0.01531%"</f>
        <v>0.01531%</v>
      </c>
      <c r="C844" t="s">
        <v>10</v>
      </c>
      <c r="D844" t="s">
        <v>10</v>
      </c>
      <c r="E844" t="str">
        <f>"$ 118,197"</f>
        <v>$ 118,197</v>
      </c>
      <c r="F844">
        <v>82</v>
      </c>
    </row>
    <row r="845" spans="1:6">
      <c r="A845" t="s">
        <v>847</v>
      </c>
      <c r="B845" t="str">
        <f>"0.01527%"</f>
        <v>0.01527%</v>
      </c>
      <c r="C845" t="s">
        <v>10</v>
      </c>
      <c r="D845" t="s">
        <v>10</v>
      </c>
      <c r="E845" t="str">
        <f>"$ 117,898"</f>
        <v>$ 117,898</v>
      </c>
      <c r="F845" s="1">
        <v>28059</v>
      </c>
    </row>
    <row r="846" spans="1:6">
      <c r="A846" t="s">
        <v>848</v>
      </c>
      <c r="B846" t="str">
        <f>"0.01526%"</f>
        <v>0.01526%</v>
      </c>
      <c r="C846" t="s">
        <v>10</v>
      </c>
      <c r="D846" t="s">
        <v>10</v>
      </c>
      <c r="E846" t="str">
        <f>"$ 117,808"</f>
        <v>$ 117,808</v>
      </c>
      <c r="F846" s="1">
        <v>5926</v>
      </c>
    </row>
    <row r="847" spans="1:6">
      <c r="A847" t="s">
        <v>849</v>
      </c>
      <c r="B847" t="str">
        <f>"0.01526%"</f>
        <v>0.01526%</v>
      </c>
      <c r="C847" t="s">
        <v>10</v>
      </c>
      <c r="D847" t="s">
        <v>10</v>
      </c>
      <c r="E847" t="str">
        <f>"$ 117,817"</f>
        <v>$ 117,817</v>
      </c>
      <c r="F847" s="1">
        <v>1386</v>
      </c>
    </row>
    <row r="848" spans="1:6">
      <c r="A848" t="s">
        <v>850</v>
      </c>
      <c r="B848" t="str">
        <f>"0.01521%"</f>
        <v>0.01521%</v>
      </c>
      <c r="C848" t="s">
        <v>10</v>
      </c>
      <c r="D848" t="s">
        <v>10</v>
      </c>
      <c r="E848" t="str">
        <f>"$ 117,478"</f>
        <v>$ 117,478</v>
      </c>
      <c r="F848">
        <v>677</v>
      </c>
    </row>
    <row r="849" spans="1:6">
      <c r="A849" t="s">
        <v>851</v>
      </c>
      <c r="B849" t="str">
        <f>"0.01519%"</f>
        <v>0.01519%</v>
      </c>
      <c r="C849" t="s">
        <v>10</v>
      </c>
      <c r="D849" t="s">
        <v>10</v>
      </c>
      <c r="E849" t="str">
        <f>"$ 117,333"</f>
        <v>$ 117,333</v>
      </c>
      <c r="F849" s="1">
        <v>32441</v>
      </c>
    </row>
    <row r="850" spans="1:6">
      <c r="A850" t="s">
        <v>852</v>
      </c>
      <c r="B850" t="str">
        <f>"0.01518%"</f>
        <v>0.01518%</v>
      </c>
      <c r="C850" t="s">
        <v>10</v>
      </c>
      <c r="D850" t="s">
        <v>10</v>
      </c>
      <c r="E850" t="str">
        <f>"$ 117,205"</f>
        <v>$ 117,205</v>
      </c>
      <c r="F850">
        <v>583</v>
      </c>
    </row>
    <row r="851" spans="1:6">
      <c r="A851" t="s">
        <v>853</v>
      </c>
      <c r="B851" t="str">
        <f>"0.01517%"</f>
        <v>0.01517%</v>
      </c>
      <c r="C851" t="s">
        <v>10</v>
      </c>
      <c r="D851" t="s">
        <v>10</v>
      </c>
      <c r="E851" t="str">
        <f>"$ 117,180"</f>
        <v>$ 117,180</v>
      </c>
      <c r="F851" s="1">
        <v>1599</v>
      </c>
    </row>
    <row r="852" spans="1:6">
      <c r="A852" t="s">
        <v>854</v>
      </c>
      <c r="B852" t="str">
        <f>"0.01513%"</f>
        <v>0.01513%</v>
      </c>
      <c r="C852" t="s">
        <v>10</v>
      </c>
      <c r="D852" t="s">
        <v>10</v>
      </c>
      <c r="E852" t="str">
        <f>"$ 116,805"</f>
        <v>$ 116,805</v>
      </c>
      <c r="F852" s="1">
        <v>1135</v>
      </c>
    </row>
    <row r="853" spans="1:6">
      <c r="A853" t="s">
        <v>855</v>
      </c>
      <c r="B853" t="str">
        <f>"0.01509%"</f>
        <v>0.01509%</v>
      </c>
      <c r="C853" t="s">
        <v>10</v>
      </c>
      <c r="D853" t="s">
        <v>10</v>
      </c>
      <c r="E853" t="str">
        <f>"$ 116,518"</f>
        <v>$ 116,518</v>
      </c>
      <c r="F853" s="1">
        <v>3222</v>
      </c>
    </row>
    <row r="854" spans="1:6">
      <c r="A854" t="s">
        <v>856</v>
      </c>
      <c r="B854" t="str">
        <f>"0.01508%"</f>
        <v>0.01508%</v>
      </c>
      <c r="C854" t="s">
        <v>10</v>
      </c>
      <c r="D854" t="s">
        <v>10</v>
      </c>
      <c r="E854" t="str">
        <f>"$ 116,411"</f>
        <v>$ 116,411</v>
      </c>
      <c r="F854">
        <v>392</v>
      </c>
    </row>
    <row r="855" spans="1:6">
      <c r="A855" t="s">
        <v>857</v>
      </c>
      <c r="B855" t="str">
        <f>"0.01508%"</f>
        <v>0.01508%</v>
      </c>
      <c r="C855" t="s">
        <v>10</v>
      </c>
      <c r="D855" t="s">
        <v>10</v>
      </c>
      <c r="E855" t="str">
        <f>"$ 116,467"</f>
        <v>$ 116,467</v>
      </c>
      <c r="F855" s="1">
        <v>3362</v>
      </c>
    </row>
    <row r="856" spans="1:6">
      <c r="A856" t="s">
        <v>858</v>
      </c>
      <c r="B856" t="str">
        <f>"0.01503%"</f>
        <v>0.01503%</v>
      </c>
      <c r="C856" t="s">
        <v>10</v>
      </c>
      <c r="D856" t="s">
        <v>10</v>
      </c>
      <c r="E856" t="str">
        <f>"$ 116,070"</f>
        <v>$ 116,070</v>
      </c>
      <c r="F856" s="1">
        <v>29483</v>
      </c>
    </row>
    <row r="857" spans="1:6">
      <c r="A857" t="s">
        <v>859</v>
      </c>
      <c r="B857" t="str">
        <f>"0.01497%"</f>
        <v>0.01497%</v>
      </c>
      <c r="C857" t="s">
        <v>10</v>
      </c>
      <c r="D857" t="s">
        <v>10</v>
      </c>
      <c r="E857" t="str">
        <f>"$ 115,585"</f>
        <v>$ 115,585</v>
      </c>
      <c r="F857" s="1">
        <v>2604</v>
      </c>
    </row>
    <row r="858" spans="1:6">
      <c r="A858" t="s">
        <v>860</v>
      </c>
      <c r="B858" t="str">
        <f>"0.01497%"</f>
        <v>0.01497%</v>
      </c>
      <c r="C858" t="s">
        <v>10</v>
      </c>
      <c r="D858" t="s">
        <v>10</v>
      </c>
      <c r="E858" t="str">
        <f>"$ 115,562"</f>
        <v>$ 115,562</v>
      </c>
      <c r="F858" s="1">
        <v>15637</v>
      </c>
    </row>
    <row r="859" spans="1:6">
      <c r="A859" t="s">
        <v>861</v>
      </c>
      <c r="B859" t="str">
        <f>"0.01495%"</f>
        <v>0.01495%</v>
      </c>
      <c r="C859" t="s">
        <v>10</v>
      </c>
      <c r="D859" t="s">
        <v>10</v>
      </c>
      <c r="E859" t="str">
        <f>"$ 115,451"</f>
        <v>$ 115,451</v>
      </c>
      <c r="F859" s="1">
        <v>18108</v>
      </c>
    </row>
    <row r="860" spans="1:6">
      <c r="A860" t="s">
        <v>862</v>
      </c>
      <c r="B860" t="str">
        <f>"0.01493%"</f>
        <v>0.01493%</v>
      </c>
      <c r="C860" t="s">
        <v>10</v>
      </c>
      <c r="D860" t="s">
        <v>10</v>
      </c>
      <c r="E860" t="str">
        <f>"$ 115,323"</f>
        <v>$ 115,323</v>
      </c>
      <c r="F860" s="1">
        <v>2613</v>
      </c>
    </row>
    <row r="861" spans="1:6">
      <c r="A861" t="s">
        <v>863</v>
      </c>
      <c r="B861" t="str">
        <f>"0.01492%"</f>
        <v>0.01492%</v>
      </c>
      <c r="C861" t="s">
        <v>10</v>
      </c>
      <c r="D861" t="s">
        <v>10</v>
      </c>
      <c r="E861" t="str">
        <f>"$ 115,198"</f>
        <v>$ 115,198</v>
      </c>
      <c r="F861">
        <v>797</v>
      </c>
    </row>
    <row r="862" spans="1:6">
      <c r="A862" t="s">
        <v>864</v>
      </c>
      <c r="B862" t="str">
        <f>"0.01489%"</f>
        <v>0.01489%</v>
      </c>
      <c r="C862" t="s">
        <v>10</v>
      </c>
      <c r="D862" t="s">
        <v>10</v>
      </c>
      <c r="E862" t="str">
        <f>"$ 114,993"</f>
        <v>$ 114,993</v>
      </c>
      <c r="F862" s="1">
        <v>4063</v>
      </c>
    </row>
    <row r="863" spans="1:6">
      <c r="A863" t="s">
        <v>865</v>
      </c>
      <c r="B863" t="str">
        <f>"0.01479%"</f>
        <v>0.01479%</v>
      </c>
      <c r="C863" t="s">
        <v>10</v>
      </c>
      <c r="D863" t="s">
        <v>10</v>
      </c>
      <c r="E863" t="str">
        <f>"$ 114,220"</f>
        <v>$ 114,220</v>
      </c>
      <c r="F863">
        <v>536</v>
      </c>
    </row>
    <row r="864" spans="1:6">
      <c r="A864" t="s">
        <v>866</v>
      </c>
      <c r="B864" t="str">
        <f>"0.01478%"</f>
        <v>0.01478%</v>
      </c>
      <c r="C864" t="s">
        <v>10</v>
      </c>
      <c r="D864" t="s">
        <v>10</v>
      </c>
      <c r="E864" t="str">
        <f>"$ 114,162"</f>
        <v>$ 114,162</v>
      </c>
      <c r="F864" s="1">
        <v>2651</v>
      </c>
    </row>
    <row r="865" spans="1:6">
      <c r="A865" t="s">
        <v>867</v>
      </c>
      <c r="B865" t="str">
        <f>"0.01477%"</f>
        <v>0.01477%</v>
      </c>
      <c r="C865" t="s">
        <v>10</v>
      </c>
      <c r="D865" t="s">
        <v>10</v>
      </c>
      <c r="E865" t="str">
        <f>"$ 114,037"</f>
        <v>$ 114,037</v>
      </c>
      <c r="F865">
        <v>721</v>
      </c>
    </row>
    <row r="866" spans="1:6">
      <c r="A866" t="s">
        <v>868</v>
      </c>
      <c r="B866" t="str">
        <f>"0.01475%"</f>
        <v>0.01475%</v>
      </c>
      <c r="C866" t="s">
        <v>10</v>
      </c>
      <c r="D866" t="s">
        <v>10</v>
      </c>
      <c r="E866" t="str">
        <f>"$ 113,885"</f>
        <v>$ 113,885</v>
      </c>
      <c r="F866" s="1">
        <v>1287</v>
      </c>
    </row>
    <row r="867" spans="1:6">
      <c r="A867" t="s">
        <v>869</v>
      </c>
      <c r="B867" t="str">
        <f>"0.01472%"</f>
        <v>0.01472%</v>
      </c>
      <c r="C867" t="s">
        <v>10</v>
      </c>
      <c r="D867" t="s">
        <v>10</v>
      </c>
      <c r="E867" t="str">
        <f>"$ 113,696"</f>
        <v>$ 113,696</v>
      </c>
      <c r="F867">
        <v>692</v>
      </c>
    </row>
    <row r="868" spans="1:6">
      <c r="A868" t="s">
        <v>870</v>
      </c>
      <c r="B868" t="str">
        <f>"0.01471%"</f>
        <v>0.01471%</v>
      </c>
      <c r="C868" t="s">
        <v>10</v>
      </c>
      <c r="D868" t="s">
        <v>10</v>
      </c>
      <c r="E868" t="str">
        <f>"$ 113,577"</f>
        <v>$ 113,577</v>
      </c>
      <c r="F868" s="1">
        <v>1138</v>
      </c>
    </row>
    <row r="869" spans="1:6">
      <c r="A869" t="s">
        <v>871</v>
      </c>
      <c r="B869" t="str">
        <f>"0.01471%"</f>
        <v>0.01471%</v>
      </c>
      <c r="C869" t="s">
        <v>10</v>
      </c>
      <c r="D869" t="s">
        <v>10</v>
      </c>
      <c r="E869" t="str">
        <f>"$ 113,570"</f>
        <v>$ 113,570</v>
      </c>
      <c r="F869" s="1">
        <v>1271</v>
      </c>
    </row>
    <row r="870" spans="1:6">
      <c r="A870" t="s">
        <v>872</v>
      </c>
      <c r="B870" t="str">
        <f>"0.01470%"</f>
        <v>0.01470%</v>
      </c>
      <c r="C870" t="s">
        <v>10</v>
      </c>
      <c r="D870" t="s">
        <v>10</v>
      </c>
      <c r="E870" t="str">
        <f>"$ 113,490"</f>
        <v>$ 113,490</v>
      </c>
      <c r="F870" s="1">
        <v>1067</v>
      </c>
    </row>
    <row r="871" spans="1:6">
      <c r="A871" t="s">
        <v>873</v>
      </c>
      <c r="B871" t="str">
        <f>"0.01469%"</f>
        <v>0.01469%</v>
      </c>
      <c r="C871" t="s">
        <v>10</v>
      </c>
      <c r="D871" t="s">
        <v>10</v>
      </c>
      <c r="E871" t="str">
        <f>"$ 113,442"</f>
        <v>$ 113,442</v>
      </c>
      <c r="F871">
        <v>793</v>
      </c>
    </row>
    <row r="872" spans="1:6">
      <c r="A872" t="s">
        <v>874</v>
      </c>
      <c r="B872" t="str">
        <f>"0.01466%"</f>
        <v>0.01466%</v>
      </c>
      <c r="C872" t="s">
        <v>10</v>
      </c>
      <c r="D872" t="s">
        <v>10</v>
      </c>
      <c r="E872" t="str">
        <f>"$ 113,167"</f>
        <v>$ 113,167</v>
      </c>
      <c r="F872" s="1">
        <v>1647</v>
      </c>
    </row>
    <row r="873" spans="1:6">
      <c r="A873" t="s">
        <v>875</v>
      </c>
      <c r="B873" t="str">
        <f>"0.01461%"</f>
        <v>0.01461%</v>
      </c>
      <c r="C873" t="s">
        <v>10</v>
      </c>
      <c r="D873" t="s">
        <v>10</v>
      </c>
      <c r="E873" t="str">
        <f>"$ 112,815"</f>
        <v>$ 112,815</v>
      </c>
      <c r="F873">
        <v>901</v>
      </c>
    </row>
    <row r="874" spans="1:6">
      <c r="A874" t="s">
        <v>876</v>
      </c>
      <c r="B874" t="str">
        <f>"0.01458%"</f>
        <v>0.01458%</v>
      </c>
      <c r="C874" t="s">
        <v>10</v>
      </c>
      <c r="D874" t="s">
        <v>10</v>
      </c>
      <c r="E874" t="str">
        <f>"$ 112,588"</f>
        <v>$ 112,588</v>
      </c>
      <c r="F874" s="1">
        <v>1812</v>
      </c>
    </row>
    <row r="875" spans="1:6">
      <c r="A875" t="s">
        <v>877</v>
      </c>
      <c r="B875" t="str">
        <f>"0.01458%"</f>
        <v>0.01458%</v>
      </c>
      <c r="C875" t="s">
        <v>10</v>
      </c>
      <c r="D875" t="s">
        <v>10</v>
      </c>
      <c r="E875" t="str">
        <f>"$ 112,600"</f>
        <v>$ 112,600</v>
      </c>
      <c r="F875" s="1">
        <v>181851</v>
      </c>
    </row>
    <row r="876" spans="1:6">
      <c r="A876" t="s">
        <v>878</v>
      </c>
      <c r="B876" t="str">
        <f>"0.01458%"</f>
        <v>0.01458%</v>
      </c>
      <c r="C876" t="s">
        <v>10</v>
      </c>
      <c r="D876" t="s">
        <v>10</v>
      </c>
      <c r="E876" t="str">
        <f>"$ 112,564"</f>
        <v>$ 112,564</v>
      </c>
      <c r="F876" s="1">
        <v>3994</v>
      </c>
    </row>
    <row r="877" spans="1:6">
      <c r="A877" t="s">
        <v>879</v>
      </c>
      <c r="B877" t="str">
        <f>"0.01458%"</f>
        <v>0.01458%</v>
      </c>
      <c r="C877" t="s">
        <v>10</v>
      </c>
      <c r="D877" t="s">
        <v>10</v>
      </c>
      <c r="E877" t="str">
        <f>"$ 112,566"</f>
        <v>$ 112,566</v>
      </c>
      <c r="F877">
        <v>818</v>
      </c>
    </row>
    <row r="878" spans="1:6">
      <c r="A878" t="s">
        <v>880</v>
      </c>
      <c r="B878" t="str">
        <f>"0.01456%"</f>
        <v>0.01456%</v>
      </c>
      <c r="C878" t="s">
        <v>10</v>
      </c>
      <c r="D878" t="s">
        <v>10</v>
      </c>
      <c r="E878" t="str">
        <f>"$ 112,437"</f>
        <v>$ 112,437</v>
      </c>
      <c r="F878" s="1">
        <v>3859</v>
      </c>
    </row>
    <row r="879" spans="1:6">
      <c r="A879" t="s">
        <v>881</v>
      </c>
      <c r="B879" t="str">
        <f>"0.01456%"</f>
        <v>0.01456%</v>
      </c>
      <c r="C879" t="s">
        <v>10</v>
      </c>
      <c r="D879" t="s">
        <v>10</v>
      </c>
      <c r="E879" t="str">
        <f>"$ 112,426"</f>
        <v>$ 112,426</v>
      </c>
      <c r="F879">
        <v>298</v>
      </c>
    </row>
    <row r="880" spans="1:6">
      <c r="A880" t="s">
        <v>882</v>
      </c>
      <c r="B880" t="str">
        <f>"0.01452%"</f>
        <v>0.01452%</v>
      </c>
      <c r="C880" t="s">
        <v>10</v>
      </c>
      <c r="D880" t="s">
        <v>10</v>
      </c>
      <c r="E880" t="str">
        <f>"$ 112,154"</f>
        <v>$ 112,154</v>
      </c>
      <c r="F880" s="1">
        <v>4520</v>
      </c>
    </row>
    <row r="881" spans="1:6">
      <c r="A881" t="s">
        <v>883</v>
      </c>
      <c r="B881" t="str">
        <f>"0.01452%"</f>
        <v>0.01452%</v>
      </c>
      <c r="C881" t="s">
        <v>10</v>
      </c>
      <c r="D881" t="s">
        <v>10</v>
      </c>
      <c r="E881" t="str">
        <f>"$ 112,127"</f>
        <v>$ 112,127</v>
      </c>
      <c r="F881" s="1">
        <v>5973</v>
      </c>
    </row>
    <row r="882" spans="1:6">
      <c r="A882" t="s">
        <v>884</v>
      </c>
      <c r="B882" t="str">
        <f>"0.01451%"</f>
        <v>0.01451%</v>
      </c>
      <c r="C882" t="s">
        <v>10</v>
      </c>
      <c r="D882" t="s">
        <v>10</v>
      </c>
      <c r="E882" t="str">
        <f>"$ 112,009"</f>
        <v>$ 112,009</v>
      </c>
      <c r="F882" s="1">
        <v>4157</v>
      </c>
    </row>
    <row r="883" spans="1:6">
      <c r="A883" t="s">
        <v>885</v>
      </c>
      <c r="B883" t="str">
        <f>"0.01450%"</f>
        <v>0.01450%</v>
      </c>
      <c r="C883" t="s">
        <v>10</v>
      </c>
      <c r="D883" t="s">
        <v>10</v>
      </c>
      <c r="E883" t="str">
        <f>"$ 111,971"</f>
        <v>$ 111,971</v>
      </c>
      <c r="F883" s="1">
        <v>6540</v>
      </c>
    </row>
    <row r="884" spans="1:6">
      <c r="A884" t="s">
        <v>886</v>
      </c>
      <c r="B884" t="str">
        <f>"0.01450%"</f>
        <v>0.01450%</v>
      </c>
      <c r="C884" t="s">
        <v>10</v>
      </c>
      <c r="D884" t="s">
        <v>10</v>
      </c>
      <c r="E884" t="str">
        <f>"$ 111,962"</f>
        <v>$ 111,962</v>
      </c>
      <c r="F884" s="1">
        <v>9813</v>
      </c>
    </row>
    <row r="885" spans="1:6">
      <c r="A885" t="s">
        <v>887</v>
      </c>
      <c r="B885" t="str">
        <f>"0.01449%"</f>
        <v>0.01449%</v>
      </c>
      <c r="C885" t="s">
        <v>10</v>
      </c>
      <c r="D885" t="s">
        <v>10</v>
      </c>
      <c r="E885" t="str">
        <f>"$ 111,860"</f>
        <v>$ 111,860</v>
      </c>
      <c r="F885" s="1">
        <v>13592</v>
      </c>
    </row>
    <row r="886" spans="1:6">
      <c r="A886" t="s">
        <v>888</v>
      </c>
      <c r="B886" t="str">
        <f>"0.01449%"</f>
        <v>0.01449%</v>
      </c>
      <c r="C886" t="s">
        <v>10</v>
      </c>
      <c r="D886" t="s">
        <v>10</v>
      </c>
      <c r="E886" t="str">
        <f>"$ 111,915"</f>
        <v>$ 111,915</v>
      </c>
      <c r="F886" s="1">
        <v>2227</v>
      </c>
    </row>
    <row r="887" spans="1:6">
      <c r="A887" t="s">
        <v>889</v>
      </c>
      <c r="B887" t="str">
        <f>"0.01444%"</f>
        <v>0.01444%</v>
      </c>
      <c r="C887" t="s">
        <v>10</v>
      </c>
      <c r="D887" t="s">
        <v>10</v>
      </c>
      <c r="E887" t="str">
        <f>"$ 111,467"</f>
        <v>$ 111,467</v>
      </c>
      <c r="F887">
        <v>576</v>
      </c>
    </row>
    <row r="888" spans="1:6">
      <c r="A888" t="s">
        <v>890</v>
      </c>
      <c r="B888" t="str">
        <f>"0.01443%"</f>
        <v>0.01443%</v>
      </c>
      <c r="C888" t="s">
        <v>10</v>
      </c>
      <c r="D888" t="s">
        <v>10</v>
      </c>
      <c r="E888" t="str">
        <f>"$ 111,426"</f>
        <v>$ 111,426</v>
      </c>
      <c r="F888" s="1">
        <v>7342</v>
      </c>
    </row>
    <row r="889" spans="1:6">
      <c r="A889" t="s">
        <v>891</v>
      </c>
      <c r="B889" t="str">
        <f>"0.01442%"</f>
        <v>0.01442%</v>
      </c>
      <c r="C889" t="s">
        <v>10</v>
      </c>
      <c r="D889" t="s">
        <v>10</v>
      </c>
      <c r="E889" t="str">
        <f>"$ 111,346"</f>
        <v>$ 111,346</v>
      </c>
      <c r="F889" s="1">
        <v>4702</v>
      </c>
    </row>
    <row r="890" spans="1:6">
      <c r="A890" t="s">
        <v>892</v>
      </c>
      <c r="B890" t="str">
        <f>"0.01438%"</f>
        <v>0.01438%</v>
      </c>
      <c r="C890" t="s">
        <v>10</v>
      </c>
      <c r="D890" t="s">
        <v>10</v>
      </c>
      <c r="E890" t="str">
        <f>"$ 111,032"</f>
        <v>$ 111,032</v>
      </c>
      <c r="F890" s="1">
        <v>3063</v>
      </c>
    </row>
    <row r="891" spans="1:6">
      <c r="A891" t="s">
        <v>893</v>
      </c>
      <c r="B891" t="str">
        <f>"0.01434%"</f>
        <v>0.01434%</v>
      </c>
      <c r="C891" t="s">
        <v>10</v>
      </c>
      <c r="D891" t="s">
        <v>10</v>
      </c>
      <c r="E891" t="str">
        <f>"$ 110,714"</f>
        <v>$ 110,714</v>
      </c>
      <c r="F891" s="1">
        <v>7982</v>
      </c>
    </row>
    <row r="892" spans="1:6">
      <c r="A892" t="s">
        <v>894</v>
      </c>
      <c r="B892" t="str">
        <f>"0.01432%"</f>
        <v>0.01432%</v>
      </c>
      <c r="C892" t="s">
        <v>10</v>
      </c>
      <c r="D892" t="s">
        <v>10</v>
      </c>
      <c r="E892" t="str">
        <f>"$ 110,608"</f>
        <v>$ 110,608</v>
      </c>
      <c r="F892">
        <v>266</v>
      </c>
    </row>
    <row r="893" spans="1:6">
      <c r="A893" t="s">
        <v>895</v>
      </c>
      <c r="B893" t="str">
        <f>"0.01432%"</f>
        <v>0.01432%</v>
      </c>
      <c r="C893" t="s">
        <v>10</v>
      </c>
      <c r="D893" t="s">
        <v>10</v>
      </c>
      <c r="E893" t="str">
        <f>"$ 110,542"</f>
        <v>$ 110,542</v>
      </c>
      <c r="F893" s="1">
        <v>1060</v>
      </c>
    </row>
    <row r="894" spans="1:6">
      <c r="A894" t="s">
        <v>896</v>
      </c>
      <c r="B894" t="str">
        <f>"0.01430%"</f>
        <v>0.01430%</v>
      </c>
      <c r="C894" t="s">
        <v>10</v>
      </c>
      <c r="D894" t="s">
        <v>10</v>
      </c>
      <c r="E894" t="str">
        <f>"$ 110,399"</f>
        <v>$ 110,399</v>
      </c>
      <c r="F894">
        <v>327</v>
      </c>
    </row>
    <row r="895" spans="1:6">
      <c r="A895" t="s">
        <v>897</v>
      </c>
      <c r="B895" t="str">
        <f>"0.01425%"</f>
        <v>0.01425%</v>
      </c>
      <c r="C895" t="s">
        <v>10</v>
      </c>
      <c r="D895" t="s">
        <v>10</v>
      </c>
      <c r="E895" t="str">
        <f>"$ 110,063"</f>
        <v>$ 110,063</v>
      </c>
      <c r="F895">
        <v>287</v>
      </c>
    </row>
    <row r="896" spans="1:6">
      <c r="A896" t="s">
        <v>898</v>
      </c>
      <c r="B896" t="str">
        <f>"0.01423%"</f>
        <v>0.01423%</v>
      </c>
      <c r="C896" t="s">
        <v>10</v>
      </c>
      <c r="D896" t="s">
        <v>10</v>
      </c>
      <c r="E896" t="str">
        <f>"$ 109,896"</f>
        <v>$ 109,896</v>
      </c>
      <c r="F896">
        <v>777</v>
      </c>
    </row>
    <row r="897" spans="1:6">
      <c r="A897" t="s">
        <v>899</v>
      </c>
      <c r="B897" t="str">
        <f>"0.01422%"</f>
        <v>0.01422%</v>
      </c>
      <c r="C897" t="s">
        <v>10</v>
      </c>
      <c r="D897" t="s">
        <v>10</v>
      </c>
      <c r="E897" t="str">
        <f>"$ 109,820"</f>
        <v>$ 109,820</v>
      </c>
      <c r="F897" s="1">
        <v>21879</v>
      </c>
    </row>
    <row r="898" spans="1:6">
      <c r="A898" t="s">
        <v>900</v>
      </c>
      <c r="B898" t="str">
        <f>"0.01416%"</f>
        <v>0.01416%</v>
      </c>
      <c r="C898" t="s">
        <v>10</v>
      </c>
      <c r="D898" t="s">
        <v>10</v>
      </c>
      <c r="E898" t="str">
        <f>"$ 109,306"</f>
        <v>$ 109,306</v>
      </c>
      <c r="F898" s="1">
        <v>7918</v>
      </c>
    </row>
    <row r="899" spans="1:6">
      <c r="A899" t="s">
        <v>901</v>
      </c>
      <c r="B899" t="str">
        <f>"0.01412%"</f>
        <v>0.01412%</v>
      </c>
      <c r="C899" t="s">
        <v>10</v>
      </c>
      <c r="D899" t="s">
        <v>10</v>
      </c>
      <c r="E899" t="str">
        <f>"$ 109,053"</f>
        <v>$ 109,053</v>
      </c>
      <c r="F899" s="1">
        <v>32176</v>
      </c>
    </row>
    <row r="900" spans="1:6">
      <c r="A900" t="s">
        <v>902</v>
      </c>
      <c r="B900" t="str">
        <f>"0.01412%"</f>
        <v>0.01412%</v>
      </c>
      <c r="C900" t="s">
        <v>10</v>
      </c>
      <c r="D900" t="s">
        <v>10</v>
      </c>
      <c r="E900" t="str">
        <f>"$ 109,029"</f>
        <v>$ 109,029</v>
      </c>
      <c r="F900" s="1">
        <v>2930</v>
      </c>
    </row>
    <row r="901" spans="1:6">
      <c r="A901" t="s">
        <v>903</v>
      </c>
      <c r="B901" t="str">
        <f>"0.01412%"</f>
        <v>0.01412%</v>
      </c>
      <c r="C901" t="s">
        <v>10</v>
      </c>
      <c r="D901" t="s">
        <v>10</v>
      </c>
      <c r="E901" t="str">
        <f>"$ 109,049"</f>
        <v>$ 109,049</v>
      </c>
      <c r="F901" s="1">
        <v>2474</v>
      </c>
    </row>
    <row r="902" spans="1:6">
      <c r="A902" t="s">
        <v>904</v>
      </c>
      <c r="B902" t="str">
        <f>"0.01410%"</f>
        <v>0.01410%</v>
      </c>
      <c r="C902" t="s">
        <v>10</v>
      </c>
      <c r="D902" t="s">
        <v>10</v>
      </c>
      <c r="E902" t="str">
        <f>"$ 108,846"</f>
        <v>$ 108,846</v>
      </c>
      <c r="F902">
        <v>843</v>
      </c>
    </row>
    <row r="903" spans="1:6">
      <c r="A903" t="s">
        <v>905</v>
      </c>
      <c r="B903" t="str">
        <f>"0.01407%"</f>
        <v>0.01407%</v>
      </c>
      <c r="C903" t="s">
        <v>10</v>
      </c>
      <c r="D903" t="s">
        <v>10</v>
      </c>
      <c r="E903" t="str">
        <f>"$ 108,648"</f>
        <v>$ 108,648</v>
      </c>
      <c r="F903">
        <v>314</v>
      </c>
    </row>
    <row r="904" spans="1:6">
      <c r="A904" t="s">
        <v>906</v>
      </c>
      <c r="B904" t="str">
        <f>"0.01406%"</f>
        <v>0.01406%</v>
      </c>
      <c r="C904" t="s">
        <v>10</v>
      </c>
      <c r="D904" t="s">
        <v>10</v>
      </c>
      <c r="E904" t="str">
        <f>"$ 108,546"</f>
        <v>$ 108,546</v>
      </c>
      <c r="F904" s="1">
        <v>2326</v>
      </c>
    </row>
    <row r="905" spans="1:6">
      <c r="A905" t="s">
        <v>907</v>
      </c>
      <c r="B905" t="str">
        <f>"0.01404%"</f>
        <v>0.01404%</v>
      </c>
      <c r="C905" t="s">
        <v>10</v>
      </c>
      <c r="D905" t="s">
        <v>10</v>
      </c>
      <c r="E905" t="str">
        <f>"$ 108,416"</f>
        <v>$ 108,416</v>
      </c>
      <c r="F905" s="1">
        <v>2396</v>
      </c>
    </row>
    <row r="906" spans="1:6">
      <c r="A906" t="s">
        <v>908</v>
      </c>
      <c r="B906" t="str">
        <f>"0.01397%"</f>
        <v>0.01397%</v>
      </c>
      <c r="C906" t="s">
        <v>10</v>
      </c>
      <c r="D906" t="s">
        <v>10</v>
      </c>
      <c r="E906" t="str">
        <f>"$ 107,848"</f>
        <v>$ 107,848</v>
      </c>
      <c r="F906" s="1">
        <v>8885</v>
      </c>
    </row>
    <row r="907" spans="1:6">
      <c r="A907" t="s">
        <v>909</v>
      </c>
      <c r="B907" t="str">
        <f>"0.01396%"</f>
        <v>0.01396%</v>
      </c>
      <c r="C907" t="s">
        <v>10</v>
      </c>
      <c r="D907" t="s">
        <v>10</v>
      </c>
      <c r="E907" t="str">
        <f>"$ 107,779"</f>
        <v>$ 107,779</v>
      </c>
      <c r="F907" s="1">
        <v>1155</v>
      </c>
    </row>
    <row r="908" spans="1:6">
      <c r="A908" t="s">
        <v>910</v>
      </c>
      <c r="B908" t="str">
        <f>"0.01394%"</f>
        <v>0.01394%</v>
      </c>
      <c r="C908" t="s">
        <v>10</v>
      </c>
      <c r="D908" t="s">
        <v>10</v>
      </c>
      <c r="E908" t="str">
        <f>"$ 107,616"</f>
        <v>$ 107,616</v>
      </c>
      <c r="F908" s="1">
        <v>8790</v>
      </c>
    </row>
    <row r="909" spans="1:6">
      <c r="A909" t="s">
        <v>911</v>
      </c>
      <c r="B909" t="str">
        <f>"0.01393%"</f>
        <v>0.01393%</v>
      </c>
      <c r="C909" t="s">
        <v>10</v>
      </c>
      <c r="D909" t="s">
        <v>10</v>
      </c>
      <c r="E909" t="str">
        <f>"$ 107,556"</f>
        <v>$ 107,556</v>
      </c>
      <c r="F909">
        <v>585</v>
      </c>
    </row>
    <row r="910" spans="1:6">
      <c r="A910" t="s">
        <v>912</v>
      </c>
      <c r="B910" t="str">
        <f>"0.01392%"</f>
        <v>0.01392%</v>
      </c>
      <c r="C910" t="s">
        <v>10</v>
      </c>
      <c r="D910" t="s">
        <v>10</v>
      </c>
      <c r="E910" t="str">
        <f>"$ 107,488"</f>
        <v>$ 107,488</v>
      </c>
      <c r="F910" s="1">
        <v>3013</v>
      </c>
    </row>
    <row r="911" spans="1:6">
      <c r="A911" t="s">
        <v>913</v>
      </c>
      <c r="B911" t="str">
        <f>"0.01388%"</f>
        <v>0.01388%</v>
      </c>
      <c r="C911" t="s">
        <v>10</v>
      </c>
      <c r="D911" t="s">
        <v>10</v>
      </c>
      <c r="E911" t="str">
        <f>"$ 107,170"</f>
        <v>$ 107,170</v>
      </c>
      <c r="F911" s="1">
        <v>11570</v>
      </c>
    </row>
    <row r="912" spans="1:6">
      <c r="A912" t="s">
        <v>914</v>
      </c>
      <c r="B912" t="str">
        <f>"0.01386%"</f>
        <v>0.01386%</v>
      </c>
      <c r="C912" t="s">
        <v>10</v>
      </c>
      <c r="D912" t="s">
        <v>10</v>
      </c>
      <c r="E912" t="str">
        <f>"$ 107,064"</f>
        <v>$ 107,064</v>
      </c>
      <c r="F912" s="1">
        <v>51997</v>
      </c>
    </row>
    <row r="913" spans="1:6">
      <c r="A913" t="s">
        <v>915</v>
      </c>
      <c r="B913" t="str">
        <f>"0.01385%"</f>
        <v>0.01385%</v>
      </c>
      <c r="C913" t="s">
        <v>10</v>
      </c>
      <c r="D913" t="s">
        <v>10</v>
      </c>
      <c r="E913" t="str">
        <f>"$ 106,945"</f>
        <v>$ 106,945</v>
      </c>
      <c r="F913" s="1">
        <v>1166</v>
      </c>
    </row>
    <row r="914" spans="1:6">
      <c r="A914" t="s">
        <v>916</v>
      </c>
      <c r="B914" t="str">
        <f>"0.01385%"</f>
        <v>0.01385%</v>
      </c>
      <c r="C914" t="s">
        <v>10</v>
      </c>
      <c r="D914" t="s">
        <v>10</v>
      </c>
      <c r="E914" t="str">
        <f>"$ 106,942"</f>
        <v>$ 106,942</v>
      </c>
      <c r="F914" s="1">
        <v>14334</v>
      </c>
    </row>
    <row r="915" spans="1:6">
      <c r="A915" t="s">
        <v>917</v>
      </c>
      <c r="B915" t="str">
        <f>"0.01382%"</f>
        <v>0.01382%</v>
      </c>
      <c r="C915" t="s">
        <v>10</v>
      </c>
      <c r="D915" t="s">
        <v>10</v>
      </c>
      <c r="E915" t="str">
        <f>"$ 106,686"</f>
        <v>$ 106,686</v>
      </c>
      <c r="F915" s="1">
        <v>1338</v>
      </c>
    </row>
    <row r="916" spans="1:6">
      <c r="A916" t="s">
        <v>918</v>
      </c>
      <c r="B916" t="str">
        <f>"0.01381%"</f>
        <v>0.01381%</v>
      </c>
      <c r="C916" t="s">
        <v>10</v>
      </c>
      <c r="D916" t="s">
        <v>10</v>
      </c>
      <c r="E916" t="str">
        <f>"$ 106,668"</f>
        <v>$ 106,668</v>
      </c>
      <c r="F916" s="1">
        <v>31332</v>
      </c>
    </row>
    <row r="917" spans="1:6">
      <c r="A917" t="s">
        <v>919</v>
      </c>
      <c r="B917" t="str">
        <f>"0.01381%"</f>
        <v>0.01381%</v>
      </c>
      <c r="C917" t="s">
        <v>10</v>
      </c>
      <c r="D917" t="s">
        <v>10</v>
      </c>
      <c r="E917" t="str">
        <f>"$ 106,649"</f>
        <v>$ 106,649</v>
      </c>
      <c r="F917" s="1">
        <v>19972</v>
      </c>
    </row>
    <row r="918" spans="1:6">
      <c r="A918" t="s">
        <v>920</v>
      </c>
      <c r="B918" t="str">
        <f>"0.01381%"</f>
        <v>0.01381%</v>
      </c>
      <c r="C918" t="s">
        <v>10</v>
      </c>
      <c r="D918" t="s">
        <v>10</v>
      </c>
      <c r="E918" t="str">
        <f>"$ 106,653"</f>
        <v>$ 106,653</v>
      </c>
      <c r="F918" s="1">
        <v>3257</v>
      </c>
    </row>
    <row r="919" spans="1:6">
      <c r="A919" t="s">
        <v>921</v>
      </c>
      <c r="B919" t="str">
        <f>"0.01381%"</f>
        <v>0.01381%</v>
      </c>
      <c r="C919" t="s">
        <v>10</v>
      </c>
      <c r="D919" t="s">
        <v>10</v>
      </c>
      <c r="E919" t="str">
        <f>"$ 106,618"</f>
        <v>$ 106,618</v>
      </c>
      <c r="F919" s="1">
        <v>8303</v>
      </c>
    </row>
    <row r="920" spans="1:6">
      <c r="A920" t="s">
        <v>922</v>
      </c>
      <c r="B920" t="str">
        <f>"0.01379%"</f>
        <v>0.01379%</v>
      </c>
      <c r="C920" t="s">
        <v>10</v>
      </c>
      <c r="D920" t="s">
        <v>10</v>
      </c>
      <c r="E920" t="str">
        <f>"$ 106,524"</f>
        <v>$ 106,524</v>
      </c>
      <c r="F920">
        <v>398</v>
      </c>
    </row>
    <row r="921" spans="1:6">
      <c r="A921" t="s">
        <v>923</v>
      </c>
      <c r="B921" t="str">
        <f>"0.01373%"</f>
        <v>0.01373%</v>
      </c>
      <c r="C921" t="s">
        <v>10</v>
      </c>
      <c r="D921" t="s">
        <v>10</v>
      </c>
      <c r="E921" t="str">
        <f>"$ 106,025"</f>
        <v>$ 106,025</v>
      </c>
      <c r="F921">
        <v>998</v>
      </c>
    </row>
    <row r="922" spans="1:6">
      <c r="A922" t="s">
        <v>924</v>
      </c>
      <c r="B922" t="str">
        <f>"0.01372%"</f>
        <v>0.01372%</v>
      </c>
      <c r="C922" t="s">
        <v>10</v>
      </c>
      <c r="D922" t="s">
        <v>10</v>
      </c>
      <c r="E922" t="str">
        <f>"$ 105,923"</f>
        <v>$ 105,923</v>
      </c>
      <c r="F922" s="1">
        <v>2402</v>
      </c>
    </row>
    <row r="923" spans="1:6">
      <c r="A923" t="s">
        <v>925</v>
      </c>
      <c r="B923" t="str">
        <f>"0.01370%"</f>
        <v>0.01370%</v>
      </c>
      <c r="C923" t="s">
        <v>10</v>
      </c>
      <c r="D923" t="s">
        <v>10</v>
      </c>
      <c r="E923" t="str">
        <f>"$ 105,809"</f>
        <v>$ 105,809</v>
      </c>
      <c r="F923" s="1">
        <v>8252</v>
      </c>
    </row>
    <row r="924" spans="1:6">
      <c r="A924" t="s">
        <v>926</v>
      </c>
      <c r="B924" t="str">
        <f>"0.01365%"</f>
        <v>0.01365%</v>
      </c>
      <c r="C924" t="s">
        <v>10</v>
      </c>
      <c r="D924" t="s">
        <v>10</v>
      </c>
      <c r="E924" t="str">
        <f>"$ 105,414"</f>
        <v>$ 105,414</v>
      </c>
      <c r="F924" s="1">
        <v>8390</v>
      </c>
    </row>
    <row r="925" spans="1:6">
      <c r="A925" t="s">
        <v>927</v>
      </c>
      <c r="B925" t="str">
        <f>"0.01362%"</f>
        <v>0.01362%</v>
      </c>
      <c r="C925" t="s">
        <v>10</v>
      </c>
      <c r="D925" t="s">
        <v>10</v>
      </c>
      <c r="E925" t="str">
        <f>"$ 105,189"</f>
        <v>$ 105,189</v>
      </c>
      <c r="F925" s="1">
        <v>32668</v>
      </c>
    </row>
    <row r="926" spans="1:6">
      <c r="A926" t="s">
        <v>928</v>
      </c>
      <c r="B926" t="str">
        <f>"0.01362%"</f>
        <v>0.01362%</v>
      </c>
      <c r="C926" t="s">
        <v>10</v>
      </c>
      <c r="D926" t="s">
        <v>10</v>
      </c>
      <c r="E926" t="str">
        <f>"$ 105,173"</f>
        <v>$ 105,173</v>
      </c>
      <c r="F926">
        <v>758</v>
      </c>
    </row>
    <row r="927" spans="1:6">
      <c r="A927" t="s">
        <v>929</v>
      </c>
      <c r="B927" t="str">
        <f>"0.01361%"</f>
        <v>0.01361%</v>
      </c>
      <c r="C927" t="s">
        <v>10</v>
      </c>
      <c r="D927" t="s">
        <v>10</v>
      </c>
      <c r="E927" t="str">
        <f>"$ 105,072"</f>
        <v>$ 105,072</v>
      </c>
      <c r="F927" s="1">
        <v>29632</v>
      </c>
    </row>
    <row r="928" spans="1:6">
      <c r="A928" t="s">
        <v>930</v>
      </c>
      <c r="B928" t="str">
        <f>"0.01357%"</f>
        <v>0.01357%</v>
      </c>
      <c r="C928" t="s">
        <v>10</v>
      </c>
      <c r="D928" t="s">
        <v>10</v>
      </c>
      <c r="E928" t="str">
        <f>"$ 104,801"</f>
        <v>$ 104,801</v>
      </c>
      <c r="F928">
        <v>995</v>
      </c>
    </row>
    <row r="929" spans="1:6">
      <c r="A929" t="s">
        <v>931</v>
      </c>
      <c r="B929" t="str">
        <f>"0.01356%"</f>
        <v>0.01356%</v>
      </c>
      <c r="C929" t="s">
        <v>10</v>
      </c>
      <c r="D929" t="s">
        <v>10</v>
      </c>
      <c r="E929" t="str">
        <f>"$ 104,683"</f>
        <v>$ 104,683</v>
      </c>
      <c r="F929" s="1">
        <v>7138</v>
      </c>
    </row>
    <row r="930" spans="1:6">
      <c r="A930" t="s">
        <v>932</v>
      </c>
      <c r="B930" t="str">
        <f>"0.01352%"</f>
        <v>0.01352%</v>
      </c>
      <c r="C930" t="s">
        <v>10</v>
      </c>
      <c r="D930" t="s">
        <v>10</v>
      </c>
      <c r="E930" t="str">
        <f>"$ 104,391"</f>
        <v>$ 104,391</v>
      </c>
      <c r="F930" s="1">
        <v>1198</v>
      </c>
    </row>
    <row r="931" spans="1:6">
      <c r="A931" t="s">
        <v>933</v>
      </c>
      <c r="B931" t="str">
        <f>"0.01351%"</f>
        <v>0.01351%</v>
      </c>
      <c r="C931" t="s">
        <v>10</v>
      </c>
      <c r="D931" t="s">
        <v>10</v>
      </c>
      <c r="E931" t="str">
        <f>"$ 104,342"</f>
        <v>$ 104,342</v>
      </c>
      <c r="F931">
        <v>808</v>
      </c>
    </row>
    <row r="932" spans="1:6">
      <c r="A932" t="s">
        <v>934</v>
      </c>
      <c r="B932" t="str">
        <f>"0.01350%"</f>
        <v>0.01350%</v>
      </c>
      <c r="C932" t="s">
        <v>10</v>
      </c>
      <c r="D932" t="s">
        <v>10</v>
      </c>
      <c r="E932" t="str">
        <f>"$ 104,266"</f>
        <v>$ 104,266</v>
      </c>
      <c r="F932">
        <v>751</v>
      </c>
    </row>
    <row r="933" spans="1:6">
      <c r="A933" t="s">
        <v>935</v>
      </c>
      <c r="B933" t="str">
        <f>"0.01349%"</f>
        <v>0.01349%</v>
      </c>
      <c r="C933" t="s">
        <v>10</v>
      </c>
      <c r="D933" t="s">
        <v>10</v>
      </c>
      <c r="E933" t="str">
        <f>"$ 104,144"</f>
        <v>$ 104,144</v>
      </c>
      <c r="F933">
        <v>721</v>
      </c>
    </row>
    <row r="934" spans="1:6">
      <c r="A934" t="s">
        <v>936</v>
      </c>
      <c r="B934" t="str">
        <f>"0.01349%"</f>
        <v>0.01349%</v>
      </c>
      <c r="C934" t="s">
        <v>10</v>
      </c>
      <c r="D934" t="s">
        <v>10</v>
      </c>
      <c r="E934" t="str">
        <f>"$ 104,185"</f>
        <v>$ 104,185</v>
      </c>
      <c r="F934" s="1">
        <v>1535</v>
      </c>
    </row>
    <row r="935" spans="1:6">
      <c r="A935" t="s">
        <v>937</v>
      </c>
      <c r="B935" t="str">
        <f>"0.01347%"</f>
        <v>0.01347%</v>
      </c>
      <c r="C935" t="s">
        <v>10</v>
      </c>
      <c r="D935" t="s">
        <v>10</v>
      </c>
      <c r="E935" t="str">
        <f>"$ 104,033"</f>
        <v>$ 104,033</v>
      </c>
      <c r="F935">
        <v>710</v>
      </c>
    </row>
    <row r="936" spans="1:6">
      <c r="A936" t="s">
        <v>938</v>
      </c>
      <c r="B936" t="str">
        <f>"0.01344%"</f>
        <v>0.01344%</v>
      </c>
      <c r="C936" t="s">
        <v>10</v>
      </c>
      <c r="D936" t="s">
        <v>10</v>
      </c>
      <c r="E936" t="str">
        <f>"$ 103,815"</f>
        <v>$ 103,815</v>
      </c>
      <c r="F936" s="1">
        <v>7599</v>
      </c>
    </row>
    <row r="937" spans="1:6">
      <c r="A937" t="s">
        <v>939</v>
      </c>
      <c r="B937" t="str">
        <f>"0.01343%"</f>
        <v>0.01343%</v>
      </c>
      <c r="C937" t="s">
        <v>10</v>
      </c>
      <c r="D937" t="s">
        <v>10</v>
      </c>
      <c r="E937" t="str">
        <f>"$ 103,731"</f>
        <v>$ 103,731</v>
      </c>
      <c r="F937" s="1">
        <v>3167</v>
      </c>
    </row>
    <row r="938" spans="1:6">
      <c r="A938" t="s">
        <v>940</v>
      </c>
      <c r="B938" t="str">
        <f>"0.01342%"</f>
        <v>0.01342%</v>
      </c>
      <c r="C938" t="s">
        <v>10</v>
      </c>
      <c r="D938" t="s">
        <v>10</v>
      </c>
      <c r="E938" t="str">
        <f>"$ 103,643"</f>
        <v>$ 103,643</v>
      </c>
      <c r="F938" s="1">
        <v>1460</v>
      </c>
    </row>
    <row r="939" spans="1:6">
      <c r="A939" t="s">
        <v>941</v>
      </c>
      <c r="B939" t="str">
        <f>"0.01341%"</f>
        <v>0.01341%</v>
      </c>
      <c r="C939" t="s">
        <v>10</v>
      </c>
      <c r="D939" t="s">
        <v>10</v>
      </c>
      <c r="E939" t="str">
        <f>"$ 103,523"</f>
        <v>$ 103,523</v>
      </c>
      <c r="F939" s="1">
        <v>12908</v>
      </c>
    </row>
    <row r="940" spans="1:6">
      <c r="A940" t="s">
        <v>942</v>
      </c>
      <c r="B940" t="str">
        <f>"0.01341%"</f>
        <v>0.01341%</v>
      </c>
      <c r="C940" t="s">
        <v>10</v>
      </c>
      <c r="D940" t="s">
        <v>10</v>
      </c>
      <c r="E940" t="str">
        <f>"$ 103,557"</f>
        <v>$ 103,557</v>
      </c>
      <c r="F940">
        <v>645</v>
      </c>
    </row>
    <row r="941" spans="1:6">
      <c r="A941" t="s">
        <v>943</v>
      </c>
      <c r="B941" t="str">
        <f>"0.01341%"</f>
        <v>0.01341%</v>
      </c>
      <c r="C941" t="s">
        <v>10</v>
      </c>
      <c r="D941" t="s">
        <v>10</v>
      </c>
      <c r="E941" t="str">
        <f>"$ 103,542"</f>
        <v>$ 103,542</v>
      </c>
      <c r="F941">
        <v>783</v>
      </c>
    </row>
    <row r="942" spans="1:6">
      <c r="A942" t="s">
        <v>944</v>
      </c>
      <c r="B942" t="str">
        <f>"0.01339%"</f>
        <v>0.01339%</v>
      </c>
      <c r="C942" t="s">
        <v>10</v>
      </c>
      <c r="D942" t="s">
        <v>10</v>
      </c>
      <c r="E942" t="str">
        <f>"$ 103,406"</f>
        <v>$ 103,406</v>
      </c>
      <c r="F942">
        <v>627</v>
      </c>
    </row>
    <row r="943" spans="1:6">
      <c r="A943" t="s">
        <v>945</v>
      </c>
      <c r="B943" t="str">
        <f>"0.01337%"</f>
        <v>0.01337%</v>
      </c>
      <c r="C943" t="s">
        <v>10</v>
      </c>
      <c r="D943" t="s">
        <v>10</v>
      </c>
      <c r="E943" t="str">
        <f>"$ 103,265"</f>
        <v>$ 103,265</v>
      </c>
      <c r="F943" s="1">
        <v>3209</v>
      </c>
    </row>
    <row r="944" spans="1:6">
      <c r="A944" t="s">
        <v>946</v>
      </c>
      <c r="B944" t="str">
        <f>"0.01337%"</f>
        <v>0.01337%</v>
      </c>
      <c r="C944" t="s">
        <v>10</v>
      </c>
      <c r="D944" t="s">
        <v>10</v>
      </c>
      <c r="E944" t="str">
        <f>"$ 103,255"</f>
        <v>$ 103,255</v>
      </c>
      <c r="F944" s="1">
        <v>1367</v>
      </c>
    </row>
    <row r="945" spans="1:6">
      <c r="A945" t="s">
        <v>947</v>
      </c>
      <c r="B945" t="str">
        <f>"0.01336%"</f>
        <v>0.01336%</v>
      </c>
      <c r="C945" t="s">
        <v>10</v>
      </c>
      <c r="D945" t="s">
        <v>10</v>
      </c>
      <c r="E945" t="str">
        <f>"$ 103,132"</f>
        <v>$ 103,132</v>
      </c>
      <c r="F945">
        <v>962</v>
      </c>
    </row>
    <row r="946" spans="1:6">
      <c r="A946" t="s">
        <v>948</v>
      </c>
      <c r="B946" t="str">
        <f>"0.01335%"</f>
        <v>0.01335%</v>
      </c>
      <c r="C946" t="s">
        <v>10</v>
      </c>
      <c r="D946" t="s">
        <v>10</v>
      </c>
      <c r="E946" t="str">
        <f>"$ 103,099"</f>
        <v>$ 103,099</v>
      </c>
      <c r="F946">
        <v>565</v>
      </c>
    </row>
    <row r="947" spans="1:6">
      <c r="A947" t="s">
        <v>949</v>
      </c>
      <c r="B947" t="str">
        <f>"0.01335%"</f>
        <v>0.01335%</v>
      </c>
      <c r="C947" t="s">
        <v>10</v>
      </c>
      <c r="D947" t="s">
        <v>10</v>
      </c>
      <c r="E947" t="str">
        <f>"$ 103,103"</f>
        <v>$ 103,103</v>
      </c>
      <c r="F947" s="1">
        <v>6862</v>
      </c>
    </row>
    <row r="948" spans="1:6">
      <c r="A948" t="s">
        <v>950</v>
      </c>
      <c r="B948" t="str">
        <f>"0.01335%"</f>
        <v>0.01335%</v>
      </c>
      <c r="C948" t="s">
        <v>10</v>
      </c>
      <c r="D948" t="s">
        <v>10</v>
      </c>
      <c r="E948" t="str">
        <f>"$ 103,098"</f>
        <v>$ 103,098</v>
      </c>
      <c r="F948" s="1">
        <v>1712</v>
      </c>
    </row>
    <row r="949" spans="1:6">
      <c r="A949" t="s">
        <v>951</v>
      </c>
      <c r="B949" t="str">
        <f>"0.01334%"</f>
        <v>0.01334%</v>
      </c>
      <c r="C949" t="s">
        <v>10</v>
      </c>
      <c r="D949" t="s">
        <v>10</v>
      </c>
      <c r="E949" t="str">
        <f>"$ 103,040"</f>
        <v>$ 103,040</v>
      </c>
      <c r="F949">
        <v>0</v>
      </c>
    </row>
    <row r="950" spans="1:6">
      <c r="A950" t="s">
        <v>952</v>
      </c>
      <c r="B950" t="str">
        <f>"0.01332%"</f>
        <v>0.01332%</v>
      </c>
      <c r="C950" t="s">
        <v>10</v>
      </c>
      <c r="D950" t="s">
        <v>10</v>
      </c>
      <c r="E950" t="str">
        <f>"$ 102,852"</f>
        <v>$ 102,852</v>
      </c>
      <c r="F950">
        <v>164</v>
      </c>
    </row>
    <row r="951" spans="1:6">
      <c r="A951" t="s">
        <v>953</v>
      </c>
      <c r="B951" t="str">
        <f>"0.01328%"</f>
        <v>0.01328%</v>
      </c>
      <c r="C951" t="s">
        <v>10</v>
      </c>
      <c r="D951" t="s">
        <v>10</v>
      </c>
      <c r="E951" t="str">
        <f>"$ 102,541"</f>
        <v>$ 102,541</v>
      </c>
      <c r="F951" s="1">
        <v>1584</v>
      </c>
    </row>
    <row r="952" spans="1:6">
      <c r="A952" t="s">
        <v>954</v>
      </c>
      <c r="B952" t="str">
        <f>"0.01320%"</f>
        <v>0.01320%</v>
      </c>
      <c r="C952" t="s">
        <v>10</v>
      </c>
      <c r="D952" t="s">
        <v>10</v>
      </c>
      <c r="E952" t="str">
        <f>"$ 101,968"</f>
        <v>$ 101,968</v>
      </c>
      <c r="F952" s="1">
        <v>20207</v>
      </c>
    </row>
    <row r="953" spans="1:6">
      <c r="A953" t="s">
        <v>955</v>
      </c>
      <c r="B953" t="str">
        <f>"0.01311%"</f>
        <v>0.01311%</v>
      </c>
      <c r="C953" t="s">
        <v>10</v>
      </c>
      <c r="D953" t="s">
        <v>10</v>
      </c>
      <c r="E953" t="str">
        <f>"$ 101,259"</f>
        <v>$ 101,259</v>
      </c>
      <c r="F953" s="1">
        <v>24884</v>
      </c>
    </row>
    <row r="954" spans="1:6">
      <c r="A954" t="s">
        <v>956</v>
      </c>
      <c r="B954" t="str">
        <f>"0.01307%"</f>
        <v>0.01307%</v>
      </c>
      <c r="C954" t="s">
        <v>10</v>
      </c>
      <c r="D954" t="s">
        <v>10</v>
      </c>
      <c r="E954" t="str">
        <f>"$ 100,926"</f>
        <v>$ 100,926</v>
      </c>
      <c r="F954" s="1">
        <v>3028</v>
      </c>
    </row>
    <row r="955" spans="1:6">
      <c r="A955" t="s">
        <v>957</v>
      </c>
      <c r="B955" t="str">
        <f>"0.01304%"</f>
        <v>0.01304%</v>
      </c>
      <c r="C955" t="s">
        <v>10</v>
      </c>
      <c r="D955" t="s">
        <v>10</v>
      </c>
      <c r="E955" t="str">
        <f>"$ 100,662"</f>
        <v>$ 100,662</v>
      </c>
      <c r="F955" s="1">
        <v>6252</v>
      </c>
    </row>
    <row r="956" spans="1:6">
      <c r="A956" t="s">
        <v>958</v>
      </c>
      <c r="B956" t="str">
        <f>"0.01304%"</f>
        <v>0.01304%</v>
      </c>
      <c r="C956" t="s">
        <v>10</v>
      </c>
      <c r="D956" t="s">
        <v>10</v>
      </c>
      <c r="E956" t="str">
        <f>"$ 100,719"</f>
        <v>$ 100,719</v>
      </c>
      <c r="F956" s="1">
        <v>33598</v>
      </c>
    </row>
    <row r="957" spans="1:6">
      <c r="A957" t="s">
        <v>959</v>
      </c>
      <c r="B957" t="str">
        <f>"0.01303%"</f>
        <v>0.01303%</v>
      </c>
      <c r="C957" t="s">
        <v>10</v>
      </c>
      <c r="D957" t="s">
        <v>10</v>
      </c>
      <c r="E957" t="str">
        <f>"$ 100,624"</f>
        <v>$ 100,624</v>
      </c>
      <c r="F957">
        <v>479</v>
      </c>
    </row>
    <row r="958" spans="1:6">
      <c r="A958" t="s">
        <v>960</v>
      </c>
      <c r="B958" t="str">
        <f>"0.01303%"</f>
        <v>0.01303%</v>
      </c>
      <c r="C958" t="s">
        <v>10</v>
      </c>
      <c r="D958" t="s">
        <v>10</v>
      </c>
      <c r="E958" t="str">
        <f>"$ 100,610"</f>
        <v>$ 100,610</v>
      </c>
      <c r="F958">
        <v>511</v>
      </c>
    </row>
    <row r="959" spans="1:6">
      <c r="A959" t="s">
        <v>961</v>
      </c>
      <c r="B959" t="str">
        <f>"0.01301%"</f>
        <v>0.01301%</v>
      </c>
      <c r="C959" t="s">
        <v>10</v>
      </c>
      <c r="D959" t="s">
        <v>10</v>
      </c>
      <c r="E959" t="str">
        <f>"$ 100,450"</f>
        <v>$ 100,450</v>
      </c>
      <c r="F959" s="1">
        <v>5918</v>
      </c>
    </row>
    <row r="960" spans="1:6">
      <c r="A960" t="s">
        <v>962</v>
      </c>
      <c r="B960" t="str">
        <f>"0.01298%"</f>
        <v>0.01298%</v>
      </c>
      <c r="C960" t="s">
        <v>10</v>
      </c>
      <c r="D960" t="s">
        <v>10</v>
      </c>
      <c r="E960" t="str">
        <f>"$ 100,241"</f>
        <v>$ 100,241</v>
      </c>
      <c r="F960">
        <v>784</v>
      </c>
    </row>
    <row r="961" spans="1:6">
      <c r="A961" t="s">
        <v>963</v>
      </c>
      <c r="B961" t="str">
        <f>"0.01298%"</f>
        <v>0.01298%</v>
      </c>
      <c r="C961" t="s">
        <v>10</v>
      </c>
      <c r="D961" t="s">
        <v>10</v>
      </c>
      <c r="E961" t="str">
        <f>"$ 100,208"</f>
        <v>$ 100,208</v>
      </c>
      <c r="F961" s="1">
        <v>2518</v>
      </c>
    </row>
    <row r="962" spans="1:6">
      <c r="A962" t="s">
        <v>964</v>
      </c>
      <c r="B962" t="str">
        <f>"0.01297%"</f>
        <v>0.01297%</v>
      </c>
      <c r="C962" t="s">
        <v>10</v>
      </c>
      <c r="D962" t="s">
        <v>10</v>
      </c>
      <c r="E962" t="str">
        <f>"$ 100,124"</f>
        <v>$ 100,124</v>
      </c>
      <c r="F962">
        <v>402</v>
      </c>
    </row>
    <row r="963" spans="1:6">
      <c r="A963" t="s">
        <v>965</v>
      </c>
      <c r="B963" t="str">
        <f>"0.01297%"</f>
        <v>0.01297%</v>
      </c>
      <c r="C963" t="s">
        <v>10</v>
      </c>
      <c r="D963" t="s">
        <v>10</v>
      </c>
      <c r="E963" t="str">
        <f>"$ 100,154"</f>
        <v>$ 100,154</v>
      </c>
      <c r="F963">
        <v>730</v>
      </c>
    </row>
    <row r="964" spans="1:6">
      <c r="A964" t="s">
        <v>966</v>
      </c>
      <c r="B964" t="str">
        <f>"0.01296%"</f>
        <v>0.01296%</v>
      </c>
      <c r="C964" t="s">
        <v>10</v>
      </c>
      <c r="D964" t="s">
        <v>10</v>
      </c>
      <c r="E964" t="str">
        <f>"$ 100,046"</f>
        <v>$ 100,046</v>
      </c>
      <c r="F964">
        <v>740</v>
      </c>
    </row>
    <row r="965" spans="1:6">
      <c r="A965" t="s">
        <v>967</v>
      </c>
      <c r="B965" t="str">
        <f>"0.01293%"</f>
        <v>0.01293%</v>
      </c>
      <c r="C965" t="s">
        <v>10</v>
      </c>
      <c r="D965" t="s">
        <v>10</v>
      </c>
      <c r="E965" t="str">
        <f>"$ 99,828"</f>
        <v>$ 99,828</v>
      </c>
      <c r="F965" s="1">
        <v>10285</v>
      </c>
    </row>
    <row r="966" spans="1:6">
      <c r="A966" t="s">
        <v>968</v>
      </c>
      <c r="B966" t="str">
        <f>"0.01292%"</f>
        <v>0.01292%</v>
      </c>
      <c r="C966" t="s">
        <v>10</v>
      </c>
      <c r="D966" t="s">
        <v>10</v>
      </c>
      <c r="E966" t="str">
        <f>"$ 99,798"</f>
        <v>$ 99,798</v>
      </c>
      <c r="F966" s="1">
        <v>10392</v>
      </c>
    </row>
    <row r="967" spans="1:6">
      <c r="A967" t="s">
        <v>969</v>
      </c>
      <c r="B967" t="str">
        <f>"0.01290%"</f>
        <v>0.01290%</v>
      </c>
      <c r="C967" t="s">
        <v>10</v>
      </c>
      <c r="D967" t="s">
        <v>10</v>
      </c>
      <c r="E967" t="str">
        <f>"$ 99,620"</f>
        <v>$ 99,620</v>
      </c>
      <c r="F967" s="1">
        <v>14565</v>
      </c>
    </row>
    <row r="968" spans="1:6">
      <c r="A968" t="s">
        <v>970</v>
      </c>
      <c r="B968" t="str">
        <f>"0.01290%"</f>
        <v>0.01290%</v>
      </c>
      <c r="C968" t="s">
        <v>10</v>
      </c>
      <c r="D968" t="s">
        <v>10</v>
      </c>
      <c r="E968" t="str">
        <f>"$ 99,602"</f>
        <v>$ 99,602</v>
      </c>
      <c r="F968">
        <v>315</v>
      </c>
    </row>
    <row r="969" spans="1:6">
      <c r="A969" t="s">
        <v>971</v>
      </c>
      <c r="B969" t="str">
        <f>"0.01289%"</f>
        <v>0.01289%</v>
      </c>
      <c r="C969" t="s">
        <v>10</v>
      </c>
      <c r="D969" t="s">
        <v>10</v>
      </c>
      <c r="E969" t="str">
        <f>"$ 99,566"</f>
        <v>$ 99,566</v>
      </c>
      <c r="F969" s="1">
        <v>4033</v>
      </c>
    </row>
    <row r="970" spans="1:6">
      <c r="A970" t="s">
        <v>972</v>
      </c>
      <c r="B970" t="str">
        <f>"0.01288%"</f>
        <v>0.01288%</v>
      </c>
      <c r="C970" t="s">
        <v>10</v>
      </c>
      <c r="D970" t="s">
        <v>10</v>
      </c>
      <c r="E970" t="str">
        <f>"$ 99,430"</f>
        <v>$ 99,430</v>
      </c>
      <c r="F970" s="1">
        <v>1781</v>
      </c>
    </row>
    <row r="971" spans="1:6">
      <c r="A971" t="s">
        <v>973</v>
      </c>
      <c r="B971" t="str">
        <f>"0.01287%"</f>
        <v>0.01287%</v>
      </c>
      <c r="C971" t="s">
        <v>10</v>
      </c>
      <c r="D971" t="s">
        <v>10</v>
      </c>
      <c r="E971" t="str">
        <f>"$ 99,390"</f>
        <v>$ 99,390</v>
      </c>
      <c r="F971" s="1">
        <v>3130</v>
      </c>
    </row>
    <row r="972" spans="1:6">
      <c r="A972" t="s">
        <v>974</v>
      </c>
      <c r="B972" t="str">
        <f>"0.01287%"</f>
        <v>0.01287%</v>
      </c>
      <c r="C972" t="s">
        <v>10</v>
      </c>
      <c r="D972" t="s">
        <v>10</v>
      </c>
      <c r="E972" t="str">
        <f>"$ 99,393"</f>
        <v>$ 99,393</v>
      </c>
      <c r="F972" s="1">
        <v>5248</v>
      </c>
    </row>
    <row r="973" spans="1:6">
      <c r="A973" t="s">
        <v>975</v>
      </c>
      <c r="B973" t="str">
        <f>"0.01284%"</f>
        <v>0.01284%</v>
      </c>
      <c r="C973" t="s">
        <v>10</v>
      </c>
      <c r="D973" t="s">
        <v>10</v>
      </c>
      <c r="E973" t="str">
        <f>"$ 99,178"</f>
        <v>$ 99,178</v>
      </c>
      <c r="F973">
        <v>267</v>
      </c>
    </row>
    <row r="974" spans="1:6">
      <c r="A974" t="s">
        <v>976</v>
      </c>
      <c r="B974" t="str">
        <f>"0.01280%"</f>
        <v>0.01280%</v>
      </c>
      <c r="C974" t="s">
        <v>10</v>
      </c>
      <c r="D974" t="s">
        <v>10</v>
      </c>
      <c r="E974" t="str">
        <f>"$ 98,830"</f>
        <v>$ 98,830</v>
      </c>
      <c r="F974">
        <v>987</v>
      </c>
    </row>
    <row r="975" spans="1:6">
      <c r="A975" t="s">
        <v>977</v>
      </c>
      <c r="B975" t="str">
        <f>"0.01279%"</f>
        <v>0.01279%</v>
      </c>
      <c r="C975" t="s">
        <v>10</v>
      </c>
      <c r="D975" t="s">
        <v>10</v>
      </c>
      <c r="E975" t="str">
        <f>"$ 98,760"</f>
        <v>$ 98,760</v>
      </c>
      <c r="F975" s="1">
        <v>1066</v>
      </c>
    </row>
    <row r="976" spans="1:6">
      <c r="A976" t="s">
        <v>978</v>
      </c>
      <c r="B976" t="str">
        <f>"0.01279%"</f>
        <v>0.01279%</v>
      </c>
      <c r="C976" t="s">
        <v>10</v>
      </c>
      <c r="D976" t="s">
        <v>10</v>
      </c>
      <c r="E976" t="str">
        <f>"$ 98,786"</f>
        <v>$ 98,786</v>
      </c>
      <c r="F976">
        <v>97</v>
      </c>
    </row>
    <row r="977" spans="1:6">
      <c r="A977" t="s">
        <v>979</v>
      </c>
      <c r="B977" t="str">
        <f>"0.01278%"</f>
        <v>0.01278%</v>
      </c>
      <c r="C977" t="s">
        <v>10</v>
      </c>
      <c r="D977" t="s">
        <v>10</v>
      </c>
      <c r="E977" t="str">
        <f>"$ 98,709"</f>
        <v>$ 98,709</v>
      </c>
      <c r="F977">
        <v>909</v>
      </c>
    </row>
    <row r="978" spans="1:6">
      <c r="A978" t="s">
        <v>980</v>
      </c>
      <c r="B978" t="str">
        <f>"0.01275%"</f>
        <v>0.01275%</v>
      </c>
      <c r="C978" t="s">
        <v>10</v>
      </c>
      <c r="D978" t="s">
        <v>10</v>
      </c>
      <c r="E978" t="str">
        <f>"$ 98,450"</f>
        <v>$ 98,450</v>
      </c>
      <c r="F978" s="1">
        <v>2974</v>
      </c>
    </row>
    <row r="979" spans="1:6">
      <c r="A979" t="s">
        <v>981</v>
      </c>
      <c r="B979" t="str">
        <f>"0.01273%"</f>
        <v>0.01273%</v>
      </c>
      <c r="C979" t="s">
        <v>10</v>
      </c>
      <c r="D979" t="s">
        <v>10</v>
      </c>
      <c r="E979" t="str">
        <f>"$ 98,286"</f>
        <v>$ 98,286</v>
      </c>
      <c r="F979" s="1">
        <v>1032</v>
      </c>
    </row>
    <row r="980" spans="1:6">
      <c r="A980" t="s">
        <v>982</v>
      </c>
      <c r="B980" t="str">
        <f>"0.01270%"</f>
        <v>0.01270%</v>
      </c>
      <c r="C980" t="s">
        <v>10</v>
      </c>
      <c r="D980" t="s">
        <v>10</v>
      </c>
      <c r="E980" t="str">
        <f>"$ 98,090"</f>
        <v>$ 98,090</v>
      </c>
      <c r="F980" s="1">
        <v>7197</v>
      </c>
    </row>
    <row r="981" spans="1:6">
      <c r="A981" t="s">
        <v>983</v>
      </c>
      <c r="B981" t="str">
        <f>"0.01270%"</f>
        <v>0.01270%</v>
      </c>
      <c r="C981" t="s">
        <v>10</v>
      </c>
      <c r="D981" t="s">
        <v>10</v>
      </c>
      <c r="E981" t="str">
        <f>"$ 98,045"</f>
        <v>$ 98,045</v>
      </c>
      <c r="F981">
        <v>718</v>
      </c>
    </row>
    <row r="982" spans="1:6">
      <c r="A982" t="s">
        <v>984</v>
      </c>
      <c r="B982" t="str">
        <f>"0.01270%"</f>
        <v>0.01270%</v>
      </c>
      <c r="C982" t="s">
        <v>10</v>
      </c>
      <c r="D982" t="s">
        <v>10</v>
      </c>
      <c r="E982" t="str">
        <f>"$ 98,064"</f>
        <v>$ 98,064</v>
      </c>
      <c r="F982" s="1">
        <v>22912</v>
      </c>
    </row>
    <row r="983" spans="1:6">
      <c r="A983" t="s">
        <v>985</v>
      </c>
      <c r="B983" t="str">
        <f>"0.01269%"</f>
        <v>0.01269%</v>
      </c>
      <c r="C983" t="s">
        <v>10</v>
      </c>
      <c r="D983" t="s">
        <v>10</v>
      </c>
      <c r="E983" t="str">
        <f>"$ 97,964"</f>
        <v>$ 97,964</v>
      </c>
      <c r="F983" s="1">
        <v>14627</v>
      </c>
    </row>
    <row r="984" spans="1:6">
      <c r="A984" t="s">
        <v>986</v>
      </c>
      <c r="B984" t="str">
        <f>"0.01269%"</f>
        <v>0.01269%</v>
      </c>
      <c r="C984" t="s">
        <v>10</v>
      </c>
      <c r="D984" t="s">
        <v>10</v>
      </c>
      <c r="E984" t="str">
        <f>"$ 98,021"</f>
        <v>$ 98,021</v>
      </c>
      <c r="F984" s="1">
        <v>16881</v>
      </c>
    </row>
    <row r="985" spans="1:6">
      <c r="A985" t="s">
        <v>987</v>
      </c>
      <c r="B985" t="str">
        <f>"0.01267%"</f>
        <v>0.01267%</v>
      </c>
      <c r="C985" t="s">
        <v>10</v>
      </c>
      <c r="D985" t="s">
        <v>10</v>
      </c>
      <c r="E985" t="str">
        <f>"$ 97,831"</f>
        <v>$ 97,831</v>
      </c>
      <c r="F985" s="1">
        <v>27480</v>
      </c>
    </row>
    <row r="986" spans="1:6">
      <c r="A986" t="s">
        <v>988</v>
      </c>
      <c r="B986" t="str">
        <f>"0.01262%"</f>
        <v>0.01262%</v>
      </c>
      <c r="C986" t="s">
        <v>10</v>
      </c>
      <c r="D986" t="s">
        <v>10</v>
      </c>
      <c r="E986" t="str">
        <f>"$ 97,437"</f>
        <v>$ 97,437</v>
      </c>
      <c r="F986">
        <v>794</v>
      </c>
    </row>
    <row r="987" spans="1:6">
      <c r="A987" t="s">
        <v>989</v>
      </c>
      <c r="B987" t="str">
        <f>"0.01261%"</f>
        <v>0.01261%</v>
      </c>
      <c r="C987" t="s">
        <v>10</v>
      </c>
      <c r="D987" t="s">
        <v>10</v>
      </c>
      <c r="E987" t="str">
        <f>"$ 97,367"</f>
        <v>$ 97,367</v>
      </c>
      <c r="F987" s="1">
        <v>5267</v>
      </c>
    </row>
    <row r="988" spans="1:6">
      <c r="A988" t="s">
        <v>990</v>
      </c>
      <c r="B988" t="str">
        <f>"0.01261%"</f>
        <v>0.01261%</v>
      </c>
      <c r="C988" t="s">
        <v>10</v>
      </c>
      <c r="D988" t="s">
        <v>10</v>
      </c>
      <c r="E988" t="str">
        <f>"$ 97,409"</f>
        <v>$ 97,409</v>
      </c>
      <c r="F988" s="1">
        <v>30802</v>
      </c>
    </row>
    <row r="989" spans="1:6">
      <c r="A989" t="s">
        <v>991</v>
      </c>
      <c r="B989" t="str">
        <f>"0.01260%"</f>
        <v>0.01260%</v>
      </c>
      <c r="C989" t="s">
        <v>10</v>
      </c>
      <c r="D989" t="s">
        <v>10</v>
      </c>
      <c r="E989" t="str">
        <f>"$ 97,305"</f>
        <v>$ 97,305</v>
      </c>
      <c r="F989" s="1">
        <v>4176</v>
      </c>
    </row>
    <row r="990" spans="1:6">
      <c r="A990" t="s">
        <v>992</v>
      </c>
      <c r="B990" t="str">
        <f>"0.01258%"</f>
        <v>0.01258%</v>
      </c>
      <c r="C990" t="s">
        <v>10</v>
      </c>
      <c r="D990" t="s">
        <v>10</v>
      </c>
      <c r="E990" t="str">
        <f>"$ 97,178"</f>
        <v>$ 97,178</v>
      </c>
      <c r="F990">
        <v>944</v>
      </c>
    </row>
    <row r="991" spans="1:6">
      <c r="A991" t="s">
        <v>993</v>
      </c>
      <c r="B991" t="str">
        <f>"0.01254%"</f>
        <v>0.01254%</v>
      </c>
      <c r="C991" t="s">
        <v>10</v>
      </c>
      <c r="D991" t="s">
        <v>10</v>
      </c>
      <c r="E991" t="str">
        <f>"$ 96,867"</f>
        <v>$ 96,867</v>
      </c>
      <c r="F991" s="1">
        <v>16928</v>
      </c>
    </row>
    <row r="992" spans="1:6">
      <c r="A992" t="s">
        <v>994</v>
      </c>
      <c r="B992" t="str">
        <f>"0.01252%"</f>
        <v>0.01252%</v>
      </c>
      <c r="C992" t="s">
        <v>10</v>
      </c>
      <c r="D992" t="s">
        <v>10</v>
      </c>
      <c r="E992" t="str">
        <f>"$ 96,678"</f>
        <v>$ 96,678</v>
      </c>
      <c r="F992" s="1">
        <v>29708</v>
      </c>
    </row>
    <row r="993" spans="1:6">
      <c r="A993" t="s">
        <v>995</v>
      </c>
      <c r="B993" t="str">
        <f>"0.01243%"</f>
        <v>0.01243%</v>
      </c>
      <c r="C993" t="s">
        <v>10</v>
      </c>
      <c r="D993" t="s">
        <v>10</v>
      </c>
      <c r="E993" t="str">
        <f>"$ 96,017"</f>
        <v>$ 96,017</v>
      </c>
      <c r="F993">
        <v>372</v>
      </c>
    </row>
    <row r="994" spans="1:6">
      <c r="A994" t="s">
        <v>996</v>
      </c>
      <c r="B994" t="str">
        <f>"0.01241%"</f>
        <v>0.01241%</v>
      </c>
      <c r="C994" t="s">
        <v>10</v>
      </c>
      <c r="D994" t="s">
        <v>10</v>
      </c>
      <c r="E994" t="str">
        <f>"$ 95,818"</f>
        <v>$ 95,818</v>
      </c>
      <c r="F994" s="1">
        <v>1831</v>
      </c>
    </row>
    <row r="995" spans="1:6">
      <c r="A995" t="s">
        <v>997</v>
      </c>
      <c r="B995" t="str">
        <f>"0.01241%"</f>
        <v>0.01241%</v>
      </c>
      <c r="C995" t="s">
        <v>10</v>
      </c>
      <c r="D995" t="s">
        <v>10</v>
      </c>
      <c r="E995" t="str">
        <f>"$ 95,857"</f>
        <v>$ 95,857</v>
      </c>
      <c r="F995">
        <v>508</v>
      </c>
    </row>
    <row r="996" spans="1:6">
      <c r="A996" t="s">
        <v>998</v>
      </c>
      <c r="B996" t="str">
        <f>"0.01241%"</f>
        <v>0.01241%</v>
      </c>
      <c r="C996" t="s">
        <v>10</v>
      </c>
      <c r="D996" t="s">
        <v>10</v>
      </c>
      <c r="E996" t="str">
        <f>"$ 95,820"</f>
        <v>$ 95,820</v>
      </c>
      <c r="F996">
        <v>480</v>
      </c>
    </row>
    <row r="997" spans="1:6">
      <c r="A997" t="s">
        <v>999</v>
      </c>
      <c r="B997" t="str">
        <f>"0.01241%"</f>
        <v>0.01241%</v>
      </c>
      <c r="C997" t="s">
        <v>10</v>
      </c>
      <c r="D997" t="s">
        <v>10</v>
      </c>
      <c r="E997" t="str">
        <f>"$ 95,801"</f>
        <v>$ 95,801</v>
      </c>
      <c r="F997" s="1">
        <v>1514</v>
      </c>
    </row>
    <row r="998" spans="1:6">
      <c r="A998" t="s">
        <v>1000</v>
      </c>
      <c r="B998" t="str">
        <f>"0.01241%"</f>
        <v>0.01241%</v>
      </c>
      <c r="C998" t="s">
        <v>10</v>
      </c>
      <c r="D998" t="s">
        <v>10</v>
      </c>
      <c r="E998" t="str">
        <f>"$ 95,800"</f>
        <v>$ 95,800</v>
      </c>
      <c r="F998" s="1">
        <v>1780</v>
      </c>
    </row>
    <row r="999" spans="1:6">
      <c r="A999" t="s">
        <v>1001</v>
      </c>
      <c r="B999" t="str">
        <f>"0.01240%"</f>
        <v>0.01240%</v>
      </c>
      <c r="C999" t="s">
        <v>10</v>
      </c>
      <c r="D999" t="s">
        <v>10</v>
      </c>
      <c r="E999" t="str">
        <f>"$ 95,740"</f>
        <v>$ 95,740</v>
      </c>
      <c r="F999" s="1">
        <v>3877</v>
      </c>
    </row>
    <row r="1000" spans="1:6">
      <c r="A1000" t="s">
        <v>1002</v>
      </c>
      <c r="B1000" t="str">
        <f>"0.01236%"</f>
        <v>0.01236%</v>
      </c>
      <c r="C1000" t="s">
        <v>10</v>
      </c>
      <c r="D1000" t="s">
        <v>10</v>
      </c>
      <c r="E1000" t="str">
        <f>"$ 95,406"</f>
        <v>$ 95,406</v>
      </c>
      <c r="F1000" s="1">
        <v>1730</v>
      </c>
    </row>
    <row r="1001" spans="1:6">
      <c r="A1001" t="s">
        <v>1003</v>
      </c>
      <c r="B1001" t="str">
        <f>"0.01236%"</f>
        <v>0.01236%</v>
      </c>
      <c r="C1001" t="s">
        <v>10</v>
      </c>
      <c r="D1001" t="s">
        <v>10</v>
      </c>
      <c r="E1001" t="str">
        <f>"$ 95,406"</f>
        <v>$ 95,406</v>
      </c>
      <c r="F1001" s="1">
        <v>4002</v>
      </c>
    </row>
    <row r="1002" spans="1:6">
      <c r="A1002" t="s">
        <v>1004</v>
      </c>
      <c r="B1002" t="str">
        <f>"0.01235%"</f>
        <v>0.01235%</v>
      </c>
      <c r="C1002" t="s">
        <v>10</v>
      </c>
      <c r="D1002" t="s">
        <v>10</v>
      </c>
      <c r="E1002" t="str">
        <f>"$ 95,371"</f>
        <v>$ 95,371</v>
      </c>
      <c r="F1002" s="1">
        <v>103917</v>
      </c>
    </row>
    <row r="1003" spans="1:6">
      <c r="A1003" t="s">
        <v>1005</v>
      </c>
      <c r="B1003" t="str">
        <f>"0.01233%"</f>
        <v>0.01233%</v>
      </c>
      <c r="C1003" t="s">
        <v>10</v>
      </c>
      <c r="D1003" t="s">
        <v>10</v>
      </c>
      <c r="E1003" t="str">
        <f>"$ 95,218"</f>
        <v>$ 95,218</v>
      </c>
      <c r="F1003" s="1">
        <v>2122</v>
      </c>
    </row>
    <row r="1004" spans="1:6">
      <c r="A1004" t="s">
        <v>1006</v>
      </c>
      <c r="B1004" t="str">
        <f>"0.01231%"</f>
        <v>0.01231%</v>
      </c>
      <c r="C1004" t="s">
        <v>10</v>
      </c>
      <c r="D1004" t="s">
        <v>10</v>
      </c>
      <c r="E1004" t="str">
        <f>"$ 95,049"</f>
        <v>$ 95,049</v>
      </c>
      <c r="F1004" s="1">
        <v>111924</v>
      </c>
    </row>
    <row r="1005" spans="1:6">
      <c r="A1005" t="s">
        <v>1007</v>
      </c>
      <c r="B1005" t="str">
        <f>"0.01231%"</f>
        <v>0.01231%</v>
      </c>
      <c r="C1005" t="s">
        <v>10</v>
      </c>
      <c r="D1005" t="s">
        <v>10</v>
      </c>
      <c r="E1005" t="str">
        <f>"$ 95,046"</f>
        <v>$ 95,046</v>
      </c>
      <c r="F1005">
        <v>698</v>
      </c>
    </row>
    <row r="1006" spans="1:6">
      <c r="A1006" t="s">
        <v>1008</v>
      </c>
      <c r="B1006" t="str">
        <f>"0.01230%"</f>
        <v>0.01230%</v>
      </c>
      <c r="C1006" t="s">
        <v>10</v>
      </c>
      <c r="D1006" t="s">
        <v>10</v>
      </c>
      <c r="E1006" t="str">
        <f>"$ 95,014"</f>
        <v>$ 95,014</v>
      </c>
      <c r="F1006" s="1">
        <v>1387</v>
      </c>
    </row>
    <row r="1007" spans="1:6">
      <c r="A1007" t="s">
        <v>1009</v>
      </c>
      <c r="B1007" t="str">
        <f>"0.01228%"</f>
        <v>0.01228%</v>
      </c>
      <c r="C1007" t="s">
        <v>10</v>
      </c>
      <c r="D1007" t="s">
        <v>10</v>
      </c>
      <c r="E1007" t="str">
        <f>"$ 94,810"</f>
        <v>$ 94,810</v>
      </c>
      <c r="F1007">
        <v>419</v>
      </c>
    </row>
    <row r="1008" spans="1:6">
      <c r="A1008" t="s">
        <v>1010</v>
      </c>
      <c r="B1008" t="str">
        <f>"0.01227%"</f>
        <v>0.01227%</v>
      </c>
      <c r="C1008" t="s">
        <v>10</v>
      </c>
      <c r="D1008" t="s">
        <v>10</v>
      </c>
      <c r="E1008" t="str">
        <f>"$ 94,764"</f>
        <v>$ 94,764</v>
      </c>
      <c r="F1008" s="1">
        <v>265634</v>
      </c>
    </row>
    <row r="1009" spans="1:6">
      <c r="A1009" t="s">
        <v>1011</v>
      </c>
      <c r="B1009" t="str">
        <f>"0.01226%"</f>
        <v>0.01226%</v>
      </c>
      <c r="C1009" t="s">
        <v>10</v>
      </c>
      <c r="D1009" t="s">
        <v>10</v>
      </c>
      <c r="E1009" t="str">
        <f>"$ 94,640"</f>
        <v>$ 94,640</v>
      </c>
      <c r="F1009">
        <v>335</v>
      </c>
    </row>
    <row r="1010" spans="1:6">
      <c r="A1010" t="s">
        <v>1012</v>
      </c>
      <c r="B1010" t="str">
        <f>"0.01225%"</f>
        <v>0.01225%</v>
      </c>
      <c r="C1010" t="s">
        <v>10</v>
      </c>
      <c r="D1010" t="s">
        <v>10</v>
      </c>
      <c r="E1010" t="str">
        <f>"$ 94,575"</f>
        <v>$ 94,575</v>
      </c>
      <c r="F1010" s="1">
        <v>9903</v>
      </c>
    </row>
    <row r="1011" spans="1:6">
      <c r="A1011" t="s">
        <v>1013</v>
      </c>
      <c r="B1011" t="str">
        <f>"0.01224%"</f>
        <v>0.01224%</v>
      </c>
      <c r="C1011" t="s">
        <v>10</v>
      </c>
      <c r="D1011" t="s">
        <v>10</v>
      </c>
      <c r="E1011" t="str">
        <f>"$ 94,516"</f>
        <v>$ 94,516</v>
      </c>
      <c r="F1011">
        <v>823</v>
      </c>
    </row>
    <row r="1012" spans="1:6">
      <c r="A1012" t="s">
        <v>1014</v>
      </c>
      <c r="B1012" t="str">
        <f>"0.01223%"</f>
        <v>0.01223%</v>
      </c>
      <c r="C1012" t="s">
        <v>10</v>
      </c>
      <c r="D1012" t="s">
        <v>10</v>
      </c>
      <c r="E1012" t="str">
        <f>"$ 94,459"</f>
        <v>$ 94,459</v>
      </c>
      <c r="F1012" s="1">
        <v>1098</v>
      </c>
    </row>
    <row r="1013" spans="1:6">
      <c r="A1013" t="s">
        <v>1015</v>
      </c>
      <c r="B1013" t="str">
        <f>"0.01222%"</f>
        <v>0.01222%</v>
      </c>
      <c r="C1013" t="s">
        <v>10</v>
      </c>
      <c r="D1013" t="s">
        <v>10</v>
      </c>
      <c r="E1013" t="str">
        <f>"$ 94,349"</f>
        <v>$ 94,349</v>
      </c>
      <c r="F1013" s="1">
        <v>4114</v>
      </c>
    </row>
    <row r="1014" spans="1:6">
      <c r="A1014" t="s">
        <v>1016</v>
      </c>
      <c r="B1014" t="str">
        <f>"0.01221%"</f>
        <v>0.01221%</v>
      </c>
      <c r="C1014" t="s">
        <v>10</v>
      </c>
      <c r="D1014" t="s">
        <v>10</v>
      </c>
      <c r="E1014" t="str">
        <f>"$ 94,313"</f>
        <v>$ 94,313</v>
      </c>
      <c r="F1014">
        <v>423</v>
      </c>
    </row>
    <row r="1015" spans="1:6">
      <c r="A1015" t="s">
        <v>1017</v>
      </c>
      <c r="B1015" t="str">
        <f>"0.01220%"</f>
        <v>0.01220%</v>
      </c>
      <c r="C1015" t="s">
        <v>10</v>
      </c>
      <c r="D1015" t="s">
        <v>10</v>
      </c>
      <c r="E1015" t="str">
        <f>"$ 94,243"</f>
        <v>$ 94,243</v>
      </c>
      <c r="F1015" s="1">
        <v>3599</v>
      </c>
    </row>
    <row r="1016" spans="1:6">
      <c r="A1016" t="s">
        <v>1018</v>
      </c>
      <c r="B1016" t="str">
        <f>"0.01220%"</f>
        <v>0.01220%</v>
      </c>
      <c r="C1016" t="s">
        <v>10</v>
      </c>
      <c r="D1016" t="s">
        <v>10</v>
      </c>
      <c r="E1016" t="str">
        <f>"$ 94,234"</f>
        <v>$ 94,234</v>
      </c>
      <c r="F1016">
        <v>260</v>
      </c>
    </row>
    <row r="1017" spans="1:6">
      <c r="A1017" t="s">
        <v>1019</v>
      </c>
      <c r="B1017" t="str">
        <f>"0.01219%"</f>
        <v>0.01219%</v>
      </c>
      <c r="C1017" t="s">
        <v>10</v>
      </c>
      <c r="D1017" t="s">
        <v>10</v>
      </c>
      <c r="E1017" t="str">
        <f>"$ 94,163"</f>
        <v>$ 94,163</v>
      </c>
      <c r="F1017" s="1">
        <v>4917</v>
      </c>
    </row>
    <row r="1018" spans="1:6">
      <c r="A1018" t="s">
        <v>1020</v>
      </c>
      <c r="B1018" t="str">
        <f>"0.01218%"</f>
        <v>0.01218%</v>
      </c>
      <c r="C1018" t="s">
        <v>10</v>
      </c>
      <c r="D1018" t="s">
        <v>10</v>
      </c>
      <c r="E1018" t="str">
        <f>"$ 94,038"</f>
        <v>$ 94,038</v>
      </c>
      <c r="F1018" s="1">
        <v>19507</v>
      </c>
    </row>
    <row r="1019" spans="1:6">
      <c r="A1019" t="s">
        <v>1021</v>
      </c>
      <c r="B1019" t="str">
        <f>"0.01218%"</f>
        <v>0.01218%</v>
      </c>
      <c r="C1019" t="s">
        <v>10</v>
      </c>
      <c r="D1019" t="s">
        <v>10</v>
      </c>
      <c r="E1019" t="str">
        <f>"$ 94,040"</f>
        <v>$ 94,040</v>
      </c>
      <c r="F1019" s="1">
        <v>1825</v>
      </c>
    </row>
    <row r="1020" spans="1:6">
      <c r="A1020" t="s">
        <v>1022</v>
      </c>
      <c r="B1020" t="str">
        <f>"0.01212%"</f>
        <v>0.01212%</v>
      </c>
      <c r="C1020" t="s">
        <v>10</v>
      </c>
      <c r="D1020" t="s">
        <v>10</v>
      </c>
      <c r="E1020" t="str">
        <f>"$ 93,590"</f>
        <v>$ 93,590</v>
      </c>
      <c r="F1020" s="1">
        <v>1517</v>
      </c>
    </row>
    <row r="1021" spans="1:6">
      <c r="A1021" t="s">
        <v>1023</v>
      </c>
      <c r="B1021" t="str">
        <f>"0.01212%"</f>
        <v>0.01212%</v>
      </c>
      <c r="C1021" t="s">
        <v>10</v>
      </c>
      <c r="D1021" t="s">
        <v>10</v>
      </c>
      <c r="E1021" t="str">
        <f>"$ 93,616"</f>
        <v>$ 93,616</v>
      </c>
      <c r="F1021" s="1">
        <v>2647</v>
      </c>
    </row>
    <row r="1022" spans="1:6">
      <c r="A1022" t="s">
        <v>1024</v>
      </c>
      <c r="B1022" t="str">
        <f>"0.01211%"</f>
        <v>0.01211%</v>
      </c>
      <c r="C1022" t="s">
        <v>10</v>
      </c>
      <c r="D1022" t="s">
        <v>10</v>
      </c>
      <c r="E1022" t="str">
        <f>"$ 93,496"</f>
        <v>$ 93,496</v>
      </c>
      <c r="F1022" s="1">
        <v>2738</v>
      </c>
    </row>
    <row r="1023" spans="1:6">
      <c r="A1023" t="s">
        <v>1025</v>
      </c>
      <c r="B1023" t="str">
        <f>"0.01206%"</f>
        <v>0.01206%</v>
      </c>
      <c r="C1023" t="s">
        <v>10</v>
      </c>
      <c r="D1023" t="s">
        <v>10</v>
      </c>
      <c r="E1023" t="str">
        <f>"$ 93,153"</f>
        <v>$ 93,153</v>
      </c>
      <c r="F1023" s="1">
        <v>2686</v>
      </c>
    </row>
    <row r="1024" spans="1:6">
      <c r="A1024" t="s">
        <v>1026</v>
      </c>
      <c r="B1024" t="str">
        <f>"0.01203%"</f>
        <v>0.01203%</v>
      </c>
      <c r="C1024" t="s">
        <v>10</v>
      </c>
      <c r="D1024" t="s">
        <v>10</v>
      </c>
      <c r="E1024" t="str">
        <f>"$ 92,905"</f>
        <v>$ 92,905</v>
      </c>
      <c r="F1024" s="1">
        <v>2228</v>
      </c>
    </row>
    <row r="1025" spans="1:6">
      <c r="A1025" t="s">
        <v>1027</v>
      </c>
      <c r="B1025" t="str">
        <f>"0.01200%"</f>
        <v>0.01200%</v>
      </c>
      <c r="C1025" t="s">
        <v>10</v>
      </c>
      <c r="D1025" t="s">
        <v>10</v>
      </c>
      <c r="E1025" t="str">
        <f>"$ 92,643"</f>
        <v>$ 92,643</v>
      </c>
      <c r="F1025">
        <v>854</v>
      </c>
    </row>
    <row r="1026" spans="1:6">
      <c r="A1026" t="s">
        <v>1028</v>
      </c>
      <c r="B1026" t="str">
        <f>"0.01196%"</f>
        <v>0.01196%</v>
      </c>
      <c r="C1026" t="s">
        <v>10</v>
      </c>
      <c r="D1026" t="s">
        <v>10</v>
      </c>
      <c r="E1026" t="str">
        <f>"$ 92,377"</f>
        <v>$ 92,377</v>
      </c>
      <c r="F1026">
        <v>526</v>
      </c>
    </row>
    <row r="1027" spans="1:6">
      <c r="A1027" t="s">
        <v>1029</v>
      </c>
      <c r="B1027" t="str">
        <f>"0.01195%"</f>
        <v>0.01195%</v>
      </c>
      <c r="C1027" t="s">
        <v>10</v>
      </c>
      <c r="D1027" t="s">
        <v>10</v>
      </c>
      <c r="E1027" t="str">
        <f>"$ 92,277"</f>
        <v>$ 92,277</v>
      </c>
      <c r="F1027" s="1">
        <v>1457</v>
      </c>
    </row>
    <row r="1028" spans="1:6">
      <c r="A1028" t="s">
        <v>1030</v>
      </c>
      <c r="B1028" t="str">
        <f>"0.01192%"</f>
        <v>0.01192%</v>
      </c>
      <c r="C1028" t="s">
        <v>10</v>
      </c>
      <c r="D1028" t="s">
        <v>10</v>
      </c>
      <c r="E1028" t="str">
        <f>"$ 92,067"</f>
        <v>$ 92,067</v>
      </c>
      <c r="F1028">
        <v>981</v>
      </c>
    </row>
    <row r="1029" spans="1:6">
      <c r="A1029" t="s">
        <v>1031</v>
      </c>
      <c r="B1029" t="str">
        <f>"0.01189%"</f>
        <v>0.01189%</v>
      </c>
      <c r="C1029" t="s">
        <v>10</v>
      </c>
      <c r="D1029" t="s">
        <v>10</v>
      </c>
      <c r="E1029" t="str">
        <f>"$ 91,833"</f>
        <v>$ 91,833</v>
      </c>
      <c r="F1029">
        <v>973</v>
      </c>
    </row>
    <row r="1030" spans="1:6">
      <c r="A1030" t="s">
        <v>1032</v>
      </c>
      <c r="B1030" t="str">
        <f>"0.01189%"</f>
        <v>0.01189%</v>
      </c>
      <c r="C1030" t="s">
        <v>10</v>
      </c>
      <c r="D1030" t="s">
        <v>10</v>
      </c>
      <c r="E1030" t="str">
        <f>"$ 91,776"</f>
        <v>$ 91,776</v>
      </c>
      <c r="F1030">
        <v>459</v>
      </c>
    </row>
    <row r="1031" spans="1:6">
      <c r="A1031" t="s">
        <v>1033</v>
      </c>
      <c r="B1031" t="str">
        <f>"0.01188%"</f>
        <v>0.01188%</v>
      </c>
      <c r="C1031" t="s">
        <v>10</v>
      </c>
      <c r="D1031" t="s">
        <v>10</v>
      </c>
      <c r="E1031" t="str">
        <f>"$ 91,770"</f>
        <v>$ 91,770</v>
      </c>
      <c r="F1031" s="1">
        <v>2399</v>
      </c>
    </row>
    <row r="1032" spans="1:6">
      <c r="A1032" t="s">
        <v>1034</v>
      </c>
      <c r="B1032" t="str">
        <f>"0.01187%"</f>
        <v>0.01187%</v>
      </c>
      <c r="C1032" t="s">
        <v>10</v>
      </c>
      <c r="D1032" t="s">
        <v>10</v>
      </c>
      <c r="E1032" t="str">
        <f>"$ 91,623"</f>
        <v>$ 91,623</v>
      </c>
      <c r="F1032" s="1">
        <v>2366</v>
      </c>
    </row>
    <row r="1033" spans="1:6">
      <c r="A1033" t="s">
        <v>1035</v>
      </c>
      <c r="B1033" t="str">
        <f>"0.01186%"</f>
        <v>0.01186%</v>
      </c>
      <c r="C1033" t="s">
        <v>10</v>
      </c>
      <c r="D1033" t="s">
        <v>10</v>
      </c>
      <c r="E1033" t="str">
        <f>"$ 91,568"</f>
        <v>$ 91,568</v>
      </c>
      <c r="F1033" s="1">
        <v>7148</v>
      </c>
    </row>
    <row r="1034" spans="1:6">
      <c r="A1034" t="s">
        <v>1036</v>
      </c>
      <c r="B1034" t="str">
        <f>"0.01186%"</f>
        <v>0.01186%</v>
      </c>
      <c r="C1034" t="s">
        <v>10</v>
      </c>
      <c r="D1034" t="s">
        <v>10</v>
      </c>
      <c r="E1034" t="str">
        <f>"$ 91,600"</f>
        <v>$ 91,600</v>
      </c>
      <c r="F1034">
        <v>706</v>
      </c>
    </row>
    <row r="1035" spans="1:6">
      <c r="A1035" t="s">
        <v>1037</v>
      </c>
      <c r="B1035" t="str">
        <f>"0.01186%"</f>
        <v>0.01186%</v>
      </c>
      <c r="C1035" t="s">
        <v>10</v>
      </c>
      <c r="D1035" t="s">
        <v>10</v>
      </c>
      <c r="E1035" t="str">
        <f>"$ 91,553"</f>
        <v>$ 91,553</v>
      </c>
      <c r="F1035" s="1">
        <v>2508</v>
      </c>
    </row>
    <row r="1036" spans="1:6">
      <c r="A1036" t="s">
        <v>1038</v>
      </c>
      <c r="B1036" t="str">
        <f>"0.01182%"</f>
        <v>0.01182%</v>
      </c>
      <c r="C1036" t="s">
        <v>10</v>
      </c>
      <c r="D1036" t="s">
        <v>10</v>
      </c>
      <c r="E1036" t="str">
        <f>"$ 91,242"</f>
        <v>$ 91,242</v>
      </c>
      <c r="F1036">
        <v>668</v>
      </c>
    </row>
    <row r="1037" spans="1:6">
      <c r="A1037" t="s">
        <v>1039</v>
      </c>
      <c r="B1037" t="str">
        <f>"0.01181%"</f>
        <v>0.01181%</v>
      </c>
      <c r="C1037" t="s">
        <v>10</v>
      </c>
      <c r="D1037" t="s">
        <v>10</v>
      </c>
      <c r="E1037" t="str">
        <f>"$ 91,210"</f>
        <v>$ 91,210</v>
      </c>
      <c r="F1037" s="1">
        <v>42249</v>
      </c>
    </row>
    <row r="1038" spans="1:6">
      <c r="A1038" t="s">
        <v>1040</v>
      </c>
      <c r="B1038" t="str">
        <f>"0.01177%"</f>
        <v>0.01177%</v>
      </c>
      <c r="C1038" t="s">
        <v>10</v>
      </c>
      <c r="D1038" t="s">
        <v>10</v>
      </c>
      <c r="E1038" t="str">
        <f>"$ 90,898"</f>
        <v>$ 90,898</v>
      </c>
      <c r="F1038" s="1">
        <v>7145</v>
      </c>
    </row>
    <row r="1039" spans="1:6">
      <c r="A1039" t="s">
        <v>1041</v>
      </c>
      <c r="B1039" t="str">
        <f>"0.01176%"</f>
        <v>0.01176%</v>
      </c>
      <c r="C1039" t="s">
        <v>10</v>
      </c>
      <c r="D1039" t="s">
        <v>10</v>
      </c>
      <c r="E1039" t="str">
        <f>"$ 90,775"</f>
        <v>$ 90,775</v>
      </c>
      <c r="F1039" s="1">
        <v>1161</v>
      </c>
    </row>
    <row r="1040" spans="1:6">
      <c r="A1040" t="s">
        <v>1042</v>
      </c>
      <c r="B1040" t="str">
        <f>"0.01175%"</f>
        <v>0.01175%</v>
      </c>
      <c r="C1040" t="s">
        <v>10</v>
      </c>
      <c r="D1040" t="s">
        <v>10</v>
      </c>
      <c r="E1040" t="str">
        <f>"$ 90,736"</f>
        <v>$ 90,736</v>
      </c>
      <c r="F1040">
        <v>775</v>
      </c>
    </row>
    <row r="1041" spans="1:6">
      <c r="A1041" t="s">
        <v>1043</v>
      </c>
      <c r="B1041" t="str">
        <f>"0.01175%"</f>
        <v>0.01175%</v>
      </c>
      <c r="C1041" t="s">
        <v>10</v>
      </c>
      <c r="D1041" t="s">
        <v>10</v>
      </c>
      <c r="E1041" t="str">
        <f>"$ 90,710"</f>
        <v>$ 90,710</v>
      </c>
      <c r="F1041">
        <v>21</v>
      </c>
    </row>
    <row r="1042" spans="1:6">
      <c r="A1042" t="s">
        <v>1044</v>
      </c>
      <c r="B1042" t="str">
        <f>"0.01175%"</f>
        <v>0.01175%</v>
      </c>
      <c r="C1042" t="s">
        <v>10</v>
      </c>
      <c r="D1042" t="s">
        <v>10</v>
      </c>
      <c r="E1042" t="str">
        <f>"$ 90,742"</f>
        <v>$ 90,742</v>
      </c>
      <c r="F1042" s="1">
        <v>15552</v>
      </c>
    </row>
    <row r="1043" spans="1:6">
      <c r="A1043" t="s">
        <v>1045</v>
      </c>
      <c r="B1043" t="str">
        <f>"0.01173%"</f>
        <v>0.01173%</v>
      </c>
      <c r="C1043" t="s">
        <v>10</v>
      </c>
      <c r="D1043" t="s">
        <v>10</v>
      </c>
      <c r="E1043" t="str">
        <f>"$ 90,549"</f>
        <v>$ 90,549</v>
      </c>
      <c r="F1043">
        <v>867</v>
      </c>
    </row>
    <row r="1044" spans="1:6">
      <c r="A1044" t="s">
        <v>1046</v>
      </c>
      <c r="B1044" t="str">
        <f>"0.01171%"</f>
        <v>0.01171%</v>
      </c>
      <c r="C1044" t="s">
        <v>10</v>
      </c>
      <c r="D1044" t="s">
        <v>10</v>
      </c>
      <c r="E1044" t="str">
        <f>"$ 90,455"</f>
        <v>$ 90,455</v>
      </c>
      <c r="F1044" s="1">
        <v>22687</v>
      </c>
    </row>
    <row r="1045" spans="1:6">
      <c r="A1045" t="s">
        <v>1047</v>
      </c>
      <c r="B1045" t="str">
        <f>"0.01169%"</f>
        <v>0.01169%</v>
      </c>
      <c r="C1045" t="s">
        <v>10</v>
      </c>
      <c r="D1045" t="s">
        <v>10</v>
      </c>
      <c r="E1045" t="str">
        <f>"$ 90,233"</f>
        <v>$ 90,233</v>
      </c>
      <c r="F1045" s="1">
        <v>1003</v>
      </c>
    </row>
    <row r="1046" spans="1:6">
      <c r="A1046" t="s">
        <v>1048</v>
      </c>
      <c r="B1046" t="str">
        <f>"0.01166%"</f>
        <v>0.01166%</v>
      </c>
      <c r="C1046" t="s">
        <v>10</v>
      </c>
      <c r="D1046" t="s">
        <v>10</v>
      </c>
      <c r="E1046" t="str">
        <f>"$ 90,042"</f>
        <v>$ 90,042</v>
      </c>
      <c r="F1046">
        <v>530</v>
      </c>
    </row>
    <row r="1047" spans="1:6">
      <c r="A1047" t="s">
        <v>1049</v>
      </c>
      <c r="B1047" t="str">
        <f>"0.01164%"</f>
        <v>0.01164%</v>
      </c>
      <c r="C1047" t="s">
        <v>10</v>
      </c>
      <c r="D1047" t="s">
        <v>10</v>
      </c>
      <c r="E1047" t="str">
        <f>"$ 89,852"</f>
        <v>$ 89,852</v>
      </c>
      <c r="F1047" s="1">
        <v>1171</v>
      </c>
    </row>
    <row r="1048" spans="1:6">
      <c r="A1048" t="s">
        <v>1050</v>
      </c>
      <c r="B1048" t="str">
        <f>"0.01163%"</f>
        <v>0.01163%</v>
      </c>
      <c r="C1048" t="s">
        <v>10</v>
      </c>
      <c r="D1048" t="s">
        <v>10</v>
      </c>
      <c r="E1048" t="str">
        <f>"$ 89,798"</f>
        <v>$ 89,798</v>
      </c>
      <c r="F1048">
        <v>554</v>
      </c>
    </row>
    <row r="1049" spans="1:6">
      <c r="A1049" t="s">
        <v>1051</v>
      </c>
      <c r="B1049" t="str">
        <f>"0.01161%"</f>
        <v>0.01161%</v>
      </c>
      <c r="C1049" t="s">
        <v>10</v>
      </c>
      <c r="D1049" t="s">
        <v>10</v>
      </c>
      <c r="E1049" t="str">
        <f>"$ 89,677"</f>
        <v>$ 89,677</v>
      </c>
      <c r="F1049">
        <v>241</v>
      </c>
    </row>
    <row r="1050" spans="1:6">
      <c r="A1050" t="s">
        <v>1052</v>
      </c>
      <c r="B1050" t="str">
        <f>"0.01160%"</f>
        <v>0.01160%</v>
      </c>
      <c r="C1050" t="s">
        <v>10</v>
      </c>
      <c r="D1050" t="s">
        <v>10</v>
      </c>
      <c r="E1050" t="str">
        <f>"$ 89,584"</f>
        <v>$ 89,584</v>
      </c>
      <c r="F1050" s="1">
        <v>4737</v>
      </c>
    </row>
    <row r="1051" spans="1:6">
      <c r="A1051" t="s">
        <v>1053</v>
      </c>
      <c r="B1051" t="str">
        <f>"0.01160%"</f>
        <v>0.01160%</v>
      </c>
      <c r="C1051" t="s">
        <v>10</v>
      </c>
      <c r="D1051" t="s">
        <v>10</v>
      </c>
      <c r="E1051" t="str">
        <f>"$ 89,550"</f>
        <v>$ 89,550</v>
      </c>
      <c r="F1051">
        <v>910</v>
      </c>
    </row>
    <row r="1052" spans="1:6">
      <c r="A1052" t="s">
        <v>1054</v>
      </c>
      <c r="B1052" t="str">
        <f>"0.01156%"</f>
        <v>0.01156%</v>
      </c>
      <c r="C1052" t="s">
        <v>10</v>
      </c>
      <c r="D1052" t="s">
        <v>10</v>
      </c>
      <c r="E1052" t="str">
        <f>"$ 89,228"</f>
        <v>$ 89,228</v>
      </c>
      <c r="F1052" s="1">
        <v>15293</v>
      </c>
    </row>
    <row r="1053" spans="1:6">
      <c r="A1053" t="s">
        <v>1055</v>
      </c>
      <c r="B1053" t="str">
        <f>"0.01155%"</f>
        <v>0.01155%</v>
      </c>
      <c r="C1053" t="s">
        <v>10</v>
      </c>
      <c r="D1053" t="s">
        <v>10</v>
      </c>
      <c r="E1053" t="str">
        <f>"$ 89,201"</f>
        <v>$ 89,201</v>
      </c>
      <c r="F1053">
        <v>695</v>
      </c>
    </row>
    <row r="1054" spans="1:6">
      <c r="A1054" t="s">
        <v>1056</v>
      </c>
      <c r="B1054" t="str">
        <f>"0.01154%"</f>
        <v>0.01154%</v>
      </c>
      <c r="C1054" t="s">
        <v>10</v>
      </c>
      <c r="D1054" t="s">
        <v>10</v>
      </c>
      <c r="E1054" t="str">
        <f>"$ 89,073"</f>
        <v>$ 89,073</v>
      </c>
      <c r="F1054" s="1">
        <v>1665</v>
      </c>
    </row>
    <row r="1055" spans="1:6">
      <c r="A1055" t="s">
        <v>1057</v>
      </c>
      <c r="B1055" t="str">
        <f>"0.01153%"</f>
        <v>0.01153%</v>
      </c>
      <c r="C1055" t="s">
        <v>10</v>
      </c>
      <c r="D1055" t="s">
        <v>10</v>
      </c>
      <c r="E1055" t="str">
        <f>"$ 89,010"</f>
        <v>$ 89,010</v>
      </c>
      <c r="F1055">
        <v>693</v>
      </c>
    </row>
    <row r="1056" spans="1:6">
      <c r="A1056" t="s">
        <v>1058</v>
      </c>
      <c r="B1056" t="str">
        <f>"0.01151%"</f>
        <v>0.01151%</v>
      </c>
      <c r="C1056" t="s">
        <v>10</v>
      </c>
      <c r="D1056" t="s">
        <v>10</v>
      </c>
      <c r="E1056" t="str">
        <f>"$ 88,907"</f>
        <v>$ 88,907</v>
      </c>
      <c r="F1056" s="1">
        <v>1237</v>
      </c>
    </row>
    <row r="1057" spans="1:6">
      <c r="A1057" t="s">
        <v>1059</v>
      </c>
      <c r="B1057" t="str">
        <f>"0.01150%"</f>
        <v>0.01150%</v>
      </c>
      <c r="C1057" t="s">
        <v>10</v>
      </c>
      <c r="D1057" t="s">
        <v>10</v>
      </c>
      <c r="E1057" t="str">
        <f>"$ 88,783"</f>
        <v>$ 88,783</v>
      </c>
      <c r="F1057">
        <v>604</v>
      </c>
    </row>
    <row r="1058" spans="1:6">
      <c r="A1058" t="s">
        <v>1060</v>
      </c>
      <c r="B1058" t="str">
        <f>"0.01148%"</f>
        <v>0.01148%</v>
      </c>
      <c r="C1058" t="s">
        <v>10</v>
      </c>
      <c r="D1058" t="s">
        <v>10</v>
      </c>
      <c r="E1058" t="str">
        <f>"$ 88,624"</f>
        <v>$ 88,624</v>
      </c>
      <c r="F1058">
        <v>951</v>
      </c>
    </row>
    <row r="1059" spans="1:6">
      <c r="A1059" t="s">
        <v>1061</v>
      </c>
      <c r="B1059" t="str">
        <f>"0.01147%"</f>
        <v>0.01147%</v>
      </c>
      <c r="C1059" t="s">
        <v>10</v>
      </c>
      <c r="D1059" t="s">
        <v>10</v>
      </c>
      <c r="E1059" t="str">
        <f>"$ 88,546"</f>
        <v>$ 88,546</v>
      </c>
      <c r="F1059">
        <v>694</v>
      </c>
    </row>
    <row r="1060" spans="1:6">
      <c r="A1060" t="s">
        <v>1062</v>
      </c>
      <c r="B1060" t="str">
        <f>"0.01146%"</f>
        <v>0.01146%</v>
      </c>
      <c r="C1060" t="s">
        <v>10</v>
      </c>
      <c r="D1060" t="s">
        <v>10</v>
      </c>
      <c r="E1060" t="str">
        <f>"$ 88,482"</f>
        <v>$ 88,482</v>
      </c>
      <c r="F1060" s="1">
        <v>16094</v>
      </c>
    </row>
    <row r="1061" spans="1:6">
      <c r="A1061" t="s">
        <v>1063</v>
      </c>
      <c r="B1061" t="str">
        <f>"0.01144%"</f>
        <v>0.01144%</v>
      </c>
      <c r="C1061" t="s">
        <v>10</v>
      </c>
      <c r="D1061" t="s">
        <v>10</v>
      </c>
      <c r="E1061" t="str">
        <f>"$ 88,333"</f>
        <v>$ 88,333</v>
      </c>
      <c r="F1061" s="1">
        <v>6061</v>
      </c>
    </row>
    <row r="1062" spans="1:6">
      <c r="A1062" t="s">
        <v>1064</v>
      </c>
      <c r="B1062" t="str">
        <f>"0.01143%"</f>
        <v>0.01143%</v>
      </c>
      <c r="C1062" t="s">
        <v>10</v>
      </c>
      <c r="D1062" t="s">
        <v>10</v>
      </c>
      <c r="E1062" t="str">
        <f>"$ 88,261"</f>
        <v>$ 88,261</v>
      </c>
      <c r="F1062">
        <v>689</v>
      </c>
    </row>
    <row r="1063" spans="1:6">
      <c r="A1063" t="s">
        <v>1065</v>
      </c>
      <c r="B1063" t="str">
        <f>"0.01142%"</f>
        <v>0.01142%</v>
      </c>
      <c r="C1063" t="s">
        <v>10</v>
      </c>
      <c r="D1063" t="s">
        <v>10</v>
      </c>
      <c r="E1063" t="str">
        <f>"$ 88,166"</f>
        <v>$ 88,166</v>
      </c>
      <c r="F1063">
        <v>714</v>
      </c>
    </row>
    <row r="1064" spans="1:6">
      <c r="A1064" t="s">
        <v>1066</v>
      </c>
      <c r="B1064" t="str">
        <f>"0.01134%"</f>
        <v>0.01134%</v>
      </c>
      <c r="C1064" t="s">
        <v>10</v>
      </c>
      <c r="D1064" t="s">
        <v>10</v>
      </c>
      <c r="E1064" t="str">
        <f>"$ 87,560"</f>
        <v>$ 87,560</v>
      </c>
      <c r="F1064">
        <v>933</v>
      </c>
    </row>
    <row r="1065" spans="1:6">
      <c r="A1065" t="s">
        <v>1067</v>
      </c>
      <c r="B1065" t="str">
        <f>"0.01133%"</f>
        <v>0.01133%</v>
      </c>
      <c r="C1065" t="s">
        <v>10</v>
      </c>
      <c r="D1065" t="s">
        <v>10</v>
      </c>
      <c r="E1065" t="str">
        <f>"$ 87,512"</f>
        <v>$ 87,512</v>
      </c>
      <c r="F1065" s="1">
        <v>45110</v>
      </c>
    </row>
    <row r="1066" spans="1:6">
      <c r="A1066" t="s">
        <v>1068</v>
      </c>
      <c r="B1066" t="str">
        <f>"0.01131%"</f>
        <v>0.01131%</v>
      </c>
      <c r="C1066" t="s">
        <v>10</v>
      </c>
      <c r="D1066" t="s">
        <v>10</v>
      </c>
      <c r="E1066" t="str">
        <f>"$ 87,353"</f>
        <v>$ 87,353</v>
      </c>
      <c r="F1066" s="1">
        <v>27435</v>
      </c>
    </row>
    <row r="1067" spans="1:6">
      <c r="A1067" t="s">
        <v>1069</v>
      </c>
      <c r="B1067" t="str">
        <f>"0.01131%"</f>
        <v>0.01131%</v>
      </c>
      <c r="C1067" t="s">
        <v>10</v>
      </c>
      <c r="D1067" t="s">
        <v>10</v>
      </c>
      <c r="E1067" t="str">
        <f>"$ 87,356"</f>
        <v>$ 87,356</v>
      </c>
      <c r="F1067" s="1">
        <v>1632</v>
      </c>
    </row>
    <row r="1068" spans="1:6">
      <c r="A1068" t="s">
        <v>1070</v>
      </c>
      <c r="B1068" t="str">
        <f>"0.01130%"</f>
        <v>0.01130%</v>
      </c>
      <c r="C1068" t="s">
        <v>10</v>
      </c>
      <c r="D1068" t="s">
        <v>10</v>
      </c>
      <c r="E1068" t="str">
        <f>"$ 87,221"</f>
        <v>$ 87,221</v>
      </c>
      <c r="F1068" s="1">
        <v>24569</v>
      </c>
    </row>
    <row r="1069" spans="1:6">
      <c r="A1069" t="s">
        <v>1071</v>
      </c>
      <c r="B1069" t="str">
        <f>"0.01129%"</f>
        <v>0.01129%</v>
      </c>
      <c r="C1069" t="s">
        <v>10</v>
      </c>
      <c r="D1069" t="s">
        <v>10</v>
      </c>
      <c r="E1069" t="str">
        <f>"$ 87,164"</f>
        <v>$ 87,164</v>
      </c>
      <c r="F1069">
        <v>825</v>
      </c>
    </row>
    <row r="1070" spans="1:6">
      <c r="A1070" t="s">
        <v>1072</v>
      </c>
      <c r="B1070" t="str">
        <f>"0.01129%"</f>
        <v>0.01129%</v>
      </c>
      <c r="C1070" t="s">
        <v>10</v>
      </c>
      <c r="D1070" t="s">
        <v>10</v>
      </c>
      <c r="E1070" t="str">
        <f>"$ 87,175"</f>
        <v>$ 87,175</v>
      </c>
      <c r="F1070">
        <v>236</v>
      </c>
    </row>
    <row r="1071" spans="1:6">
      <c r="A1071" t="s">
        <v>1073</v>
      </c>
      <c r="B1071" t="str">
        <f>"0.01129%"</f>
        <v>0.01129%</v>
      </c>
      <c r="C1071" t="s">
        <v>10</v>
      </c>
      <c r="D1071" t="s">
        <v>10</v>
      </c>
      <c r="E1071" t="str">
        <f>"$ 87,182"</f>
        <v>$ 87,182</v>
      </c>
      <c r="F1071" s="1">
        <v>12627</v>
      </c>
    </row>
    <row r="1072" spans="1:6">
      <c r="A1072" t="s">
        <v>1074</v>
      </c>
      <c r="B1072" t="str">
        <f>"0.01128%"</f>
        <v>0.01128%</v>
      </c>
      <c r="C1072" t="s">
        <v>10</v>
      </c>
      <c r="D1072" t="s">
        <v>10</v>
      </c>
      <c r="E1072" t="str">
        <f>"$ 87,109"</f>
        <v>$ 87,109</v>
      </c>
      <c r="F1072" s="1">
        <v>2064</v>
      </c>
    </row>
    <row r="1073" spans="1:6">
      <c r="A1073" t="s">
        <v>1075</v>
      </c>
      <c r="B1073" t="str">
        <f>"0.01128%"</f>
        <v>0.01128%</v>
      </c>
      <c r="C1073" t="s">
        <v>10</v>
      </c>
      <c r="D1073" t="s">
        <v>10</v>
      </c>
      <c r="E1073" t="str">
        <f>"$ 87,073"</f>
        <v>$ 87,073</v>
      </c>
      <c r="F1073">
        <v>964</v>
      </c>
    </row>
    <row r="1074" spans="1:6">
      <c r="A1074" t="s">
        <v>1076</v>
      </c>
      <c r="B1074" t="str">
        <f>"0.01127%"</f>
        <v>0.01127%</v>
      </c>
      <c r="C1074" t="s">
        <v>10</v>
      </c>
      <c r="D1074" t="s">
        <v>10</v>
      </c>
      <c r="E1074" t="str">
        <f>"$ 87,023"</f>
        <v>$ 87,023</v>
      </c>
      <c r="F1074">
        <v>822</v>
      </c>
    </row>
    <row r="1075" spans="1:6">
      <c r="A1075" t="s">
        <v>1077</v>
      </c>
      <c r="B1075" t="str">
        <f>"0.01127%"</f>
        <v>0.01127%</v>
      </c>
      <c r="C1075" t="s">
        <v>10</v>
      </c>
      <c r="D1075" t="s">
        <v>10</v>
      </c>
      <c r="E1075" t="str">
        <f>"$ 87,055"</f>
        <v>$ 87,055</v>
      </c>
      <c r="F1075" s="1">
        <v>12311</v>
      </c>
    </row>
    <row r="1076" spans="1:6">
      <c r="A1076" t="s">
        <v>1078</v>
      </c>
      <c r="B1076" t="str">
        <f>"0.01122%"</f>
        <v>0.01122%</v>
      </c>
      <c r="C1076" t="s">
        <v>10</v>
      </c>
      <c r="D1076" t="s">
        <v>10</v>
      </c>
      <c r="E1076" t="str">
        <f>"$ 86,657"</f>
        <v>$ 86,657</v>
      </c>
      <c r="F1076" s="1">
        <v>1444</v>
      </c>
    </row>
    <row r="1077" spans="1:6">
      <c r="A1077" t="s">
        <v>1079</v>
      </c>
      <c r="B1077" t="str">
        <f>"0.01120%"</f>
        <v>0.01120%</v>
      </c>
      <c r="C1077" t="s">
        <v>10</v>
      </c>
      <c r="D1077" t="s">
        <v>10</v>
      </c>
      <c r="E1077" t="str">
        <f>"$ 86,489"</f>
        <v>$ 86,489</v>
      </c>
      <c r="F1077" s="1">
        <v>1334</v>
      </c>
    </row>
    <row r="1078" spans="1:6">
      <c r="A1078" t="s">
        <v>1080</v>
      </c>
      <c r="B1078" t="str">
        <f>"0.01120%"</f>
        <v>0.01120%</v>
      </c>
      <c r="C1078" t="s">
        <v>10</v>
      </c>
      <c r="D1078" t="s">
        <v>10</v>
      </c>
      <c r="E1078" t="str">
        <f>"$ 86,510"</f>
        <v>$ 86,510</v>
      </c>
      <c r="F1078" s="1">
        <v>9410</v>
      </c>
    </row>
    <row r="1079" spans="1:6">
      <c r="A1079" t="s">
        <v>1081</v>
      </c>
      <c r="B1079" t="str">
        <f>"0.01119%"</f>
        <v>0.01119%</v>
      </c>
      <c r="C1079" t="s">
        <v>10</v>
      </c>
      <c r="D1079" t="s">
        <v>10</v>
      </c>
      <c r="E1079" t="str">
        <f>"$ 86,394"</f>
        <v>$ 86,394</v>
      </c>
      <c r="F1079" s="1">
        <v>2321</v>
      </c>
    </row>
    <row r="1080" spans="1:6">
      <c r="A1080" t="s">
        <v>1082</v>
      </c>
      <c r="B1080" t="str">
        <f>"0.01116%"</f>
        <v>0.01116%</v>
      </c>
      <c r="C1080" t="s">
        <v>10</v>
      </c>
      <c r="D1080" t="s">
        <v>10</v>
      </c>
      <c r="E1080" t="str">
        <f>"$ 86,164"</f>
        <v>$ 86,164</v>
      </c>
      <c r="F1080">
        <v>316</v>
      </c>
    </row>
    <row r="1081" spans="1:6">
      <c r="A1081" t="s">
        <v>1083</v>
      </c>
      <c r="B1081" t="str">
        <f>"0.01114%"</f>
        <v>0.01114%</v>
      </c>
      <c r="C1081" t="s">
        <v>10</v>
      </c>
      <c r="D1081" t="s">
        <v>10</v>
      </c>
      <c r="E1081" t="str">
        <f>"$ 86,009"</f>
        <v>$ 86,009</v>
      </c>
      <c r="F1081">
        <v>237</v>
      </c>
    </row>
    <row r="1082" spans="1:6">
      <c r="A1082" t="s">
        <v>1084</v>
      </c>
      <c r="B1082" t="str">
        <f>"0.01109%"</f>
        <v>0.01109%</v>
      </c>
      <c r="C1082" t="s">
        <v>10</v>
      </c>
      <c r="D1082" t="s">
        <v>10</v>
      </c>
      <c r="E1082" t="str">
        <f>"$ 85,599"</f>
        <v>$ 85,599</v>
      </c>
      <c r="F1082" s="1">
        <v>1565</v>
      </c>
    </row>
    <row r="1083" spans="1:6">
      <c r="A1083" t="s">
        <v>1085</v>
      </c>
      <c r="B1083" t="str">
        <f>"0.01101%"</f>
        <v>0.01101%</v>
      </c>
      <c r="C1083" t="s">
        <v>10</v>
      </c>
      <c r="D1083" t="s">
        <v>10</v>
      </c>
      <c r="E1083" t="str">
        <f>"$ 85,023"</f>
        <v>$ 85,023</v>
      </c>
      <c r="F1083" s="1">
        <v>9287</v>
      </c>
    </row>
    <row r="1084" spans="1:6">
      <c r="A1084" t="s">
        <v>1086</v>
      </c>
      <c r="B1084" t="str">
        <f>"0.01100%"</f>
        <v>0.01100%</v>
      </c>
      <c r="C1084" t="s">
        <v>10</v>
      </c>
      <c r="D1084" t="s">
        <v>10</v>
      </c>
      <c r="E1084" t="str">
        <f>"$ 84,933"</f>
        <v>$ 84,933</v>
      </c>
      <c r="F1084" s="1">
        <v>2687</v>
      </c>
    </row>
    <row r="1085" spans="1:6">
      <c r="A1085" t="s">
        <v>1087</v>
      </c>
      <c r="B1085" t="str">
        <f>"0.01099%"</f>
        <v>0.01099%</v>
      </c>
      <c r="C1085" t="s">
        <v>10</v>
      </c>
      <c r="D1085" t="s">
        <v>10</v>
      </c>
      <c r="E1085" t="str">
        <f>"$ 84,881"</f>
        <v>$ 84,881</v>
      </c>
      <c r="F1085">
        <v>954</v>
      </c>
    </row>
    <row r="1086" spans="1:6">
      <c r="A1086" t="s">
        <v>1088</v>
      </c>
      <c r="B1086" t="str">
        <f>"0.01098%"</f>
        <v>0.01098%</v>
      </c>
      <c r="C1086" t="s">
        <v>10</v>
      </c>
      <c r="D1086" t="s">
        <v>10</v>
      </c>
      <c r="E1086" t="str">
        <f>"$ 84,803"</f>
        <v>$ 84,803</v>
      </c>
      <c r="F1086" s="1">
        <v>53181</v>
      </c>
    </row>
    <row r="1087" spans="1:6">
      <c r="A1087" t="s">
        <v>1089</v>
      </c>
      <c r="B1087" t="str">
        <f>"0.01097%"</f>
        <v>0.01097%</v>
      </c>
      <c r="C1087" t="s">
        <v>10</v>
      </c>
      <c r="D1087" t="s">
        <v>10</v>
      </c>
      <c r="E1087" t="str">
        <f>"$ 84,679"</f>
        <v>$ 84,679</v>
      </c>
      <c r="F1087" s="1">
        <v>2418</v>
      </c>
    </row>
    <row r="1088" spans="1:6">
      <c r="A1088" t="s">
        <v>1090</v>
      </c>
      <c r="B1088" t="str">
        <f>"0.01096%"</f>
        <v>0.01096%</v>
      </c>
      <c r="C1088" t="s">
        <v>10</v>
      </c>
      <c r="D1088" t="s">
        <v>10</v>
      </c>
      <c r="E1088" t="str">
        <f>"$ 84,615"</f>
        <v>$ 84,615</v>
      </c>
      <c r="F1088" s="1">
        <v>2805</v>
      </c>
    </row>
    <row r="1089" spans="1:6">
      <c r="A1089" t="s">
        <v>1091</v>
      </c>
      <c r="B1089" t="str">
        <f>"0.01095%"</f>
        <v>0.01095%</v>
      </c>
      <c r="C1089" t="s">
        <v>10</v>
      </c>
      <c r="D1089" t="s">
        <v>10</v>
      </c>
      <c r="E1089" t="str">
        <f>"$ 84,531"</f>
        <v>$ 84,531</v>
      </c>
      <c r="F1089">
        <v>836</v>
      </c>
    </row>
    <row r="1090" spans="1:6">
      <c r="A1090" t="s">
        <v>1092</v>
      </c>
      <c r="B1090" t="str">
        <f>"0.01093%"</f>
        <v>0.01093%</v>
      </c>
      <c r="C1090" t="s">
        <v>10</v>
      </c>
      <c r="D1090" t="s">
        <v>10</v>
      </c>
      <c r="E1090" t="str">
        <f>"$ 84,369"</f>
        <v>$ 84,369</v>
      </c>
      <c r="F1090">
        <v>512</v>
      </c>
    </row>
    <row r="1091" spans="1:6">
      <c r="A1091" t="s">
        <v>1093</v>
      </c>
      <c r="B1091" t="str">
        <f>"0.01090%"</f>
        <v>0.01090%</v>
      </c>
      <c r="C1091" t="s">
        <v>10</v>
      </c>
      <c r="D1091" t="s">
        <v>10</v>
      </c>
      <c r="E1091" t="str">
        <f>"$ 84,134"</f>
        <v>$ 84,134</v>
      </c>
      <c r="F1091" s="1">
        <v>1636</v>
      </c>
    </row>
    <row r="1092" spans="1:6">
      <c r="A1092" t="s">
        <v>1094</v>
      </c>
      <c r="B1092" t="str">
        <f>"0.01090%"</f>
        <v>0.01090%</v>
      </c>
      <c r="C1092" t="s">
        <v>10</v>
      </c>
      <c r="D1092" t="s">
        <v>10</v>
      </c>
      <c r="E1092" t="str">
        <f>"$ 84,147"</f>
        <v>$ 84,147</v>
      </c>
      <c r="F1092">
        <v>716</v>
      </c>
    </row>
    <row r="1093" spans="1:6">
      <c r="A1093" t="s">
        <v>1095</v>
      </c>
      <c r="B1093" t="str">
        <f>"0.01088%"</f>
        <v>0.01088%</v>
      </c>
      <c r="C1093" t="s">
        <v>10</v>
      </c>
      <c r="D1093" t="s">
        <v>10</v>
      </c>
      <c r="E1093" t="str">
        <f>"$ 84,031"</f>
        <v>$ 84,031</v>
      </c>
      <c r="F1093" s="1">
        <v>4305</v>
      </c>
    </row>
    <row r="1094" spans="1:6">
      <c r="A1094" t="s">
        <v>1096</v>
      </c>
      <c r="B1094" t="str">
        <f>"0.01083%"</f>
        <v>0.01083%</v>
      </c>
      <c r="C1094" t="s">
        <v>10</v>
      </c>
      <c r="D1094" t="s">
        <v>10</v>
      </c>
      <c r="E1094" t="str">
        <f>"$ 83,604"</f>
        <v>$ 83,604</v>
      </c>
      <c r="F1094" s="1">
        <v>8344</v>
      </c>
    </row>
    <row r="1095" spans="1:6">
      <c r="A1095" t="s">
        <v>1097</v>
      </c>
      <c r="B1095" t="str">
        <f>"0.01082%"</f>
        <v>0.01082%</v>
      </c>
      <c r="C1095" t="s">
        <v>10</v>
      </c>
      <c r="D1095" t="s">
        <v>10</v>
      </c>
      <c r="E1095" t="str">
        <f>"$ 83,561"</f>
        <v>$ 83,561</v>
      </c>
      <c r="F1095" s="1">
        <v>3970</v>
      </c>
    </row>
    <row r="1096" spans="1:6">
      <c r="A1096" t="s">
        <v>1098</v>
      </c>
      <c r="B1096" t="str">
        <f>"0.01080%"</f>
        <v>0.01080%</v>
      </c>
      <c r="C1096" t="s">
        <v>10</v>
      </c>
      <c r="D1096" t="s">
        <v>10</v>
      </c>
      <c r="E1096" t="str">
        <f>"$ 83,426"</f>
        <v>$ 83,426</v>
      </c>
      <c r="F1096" s="1">
        <v>1183</v>
      </c>
    </row>
    <row r="1097" spans="1:6">
      <c r="A1097" t="s">
        <v>1099</v>
      </c>
      <c r="B1097" t="str">
        <f>"0.01079%"</f>
        <v>0.01079%</v>
      </c>
      <c r="C1097" t="s">
        <v>10</v>
      </c>
      <c r="D1097" t="s">
        <v>10</v>
      </c>
      <c r="E1097" t="str">
        <f>"$ 83,344"</f>
        <v>$ 83,344</v>
      </c>
      <c r="F1097" s="1">
        <v>2058</v>
      </c>
    </row>
    <row r="1098" spans="1:6">
      <c r="A1098" t="s">
        <v>1100</v>
      </c>
      <c r="B1098" t="str">
        <f>"0.01079%"</f>
        <v>0.01079%</v>
      </c>
      <c r="C1098" t="s">
        <v>10</v>
      </c>
      <c r="D1098" t="s">
        <v>10</v>
      </c>
      <c r="E1098" t="str">
        <f>"$ 83,334"</f>
        <v>$ 83,334</v>
      </c>
      <c r="F1098" s="1">
        <v>42092</v>
      </c>
    </row>
    <row r="1099" spans="1:6">
      <c r="A1099" t="s">
        <v>1101</v>
      </c>
      <c r="B1099" t="str">
        <f>"0.01075%"</f>
        <v>0.01075%</v>
      </c>
      <c r="C1099" t="s">
        <v>10</v>
      </c>
      <c r="D1099" t="s">
        <v>10</v>
      </c>
      <c r="E1099" t="str">
        <f>"$ 82,982"</f>
        <v>$ 82,982</v>
      </c>
      <c r="F1099">
        <v>463</v>
      </c>
    </row>
    <row r="1100" spans="1:6">
      <c r="A1100" t="s">
        <v>1102</v>
      </c>
      <c r="B1100" t="str">
        <f>"0.01073%"</f>
        <v>0.01073%</v>
      </c>
      <c r="C1100" t="s">
        <v>10</v>
      </c>
      <c r="D1100" t="s">
        <v>10</v>
      </c>
      <c r="E1100" t="str">
        <f>"$ 82,829"</f>
        <v>$ 82,829</v>
      </c>
      <c r="F1100" s="1">
        <v>3827</v>
      </c>
    </row>
    <row r="1101" spans="1:6">
      <c r="A1101" t="s">
        <v>1103</v>
      </c>
      <c r="B1101" t="str">
        <f>"0.01072%"</f>
        <v>0.01072%</v>
      </c>
      <c r="C1101" t="s">
        <v>10</v>
      </c>
      <c r="D1101" t="s">
        <v>10</v>
      </c>
      <c r="E1101" t="str">
        <f>"$ 82,787"</f>
        <v>$ 82,787</v>
      </c>
      <c r="F1101" s="1">
        <v>115436</v>
      </c>
    </row>
    <row r="1102" spans="1:6">
      <c r="A1102" t="s">
        <v>1104</v>
      </c>
      <c r="B1102" t="str">
        <f>"0.01072%"</f>
        <v>0.01072%</v>
      </c>
      <c r="C1102" t="s">
        <v>10</v>
      </c>
      <c r="D1102" t="s">
        <v>10</v>
      </c>
      <c r="E1102" t="str">
        <f>"$ 82,761"</f>
        <v>$ 82,761</v>
      </c>
      <c r="F1102" s="1">
        <v>1168</v>
      </c>
    </row>
    <row r="1103" spans="1:6">
      <c r="A1103" t="s">
        <v>1105</v>
      </c>
      <c r="B1103" t="str">
        <f>"0.01071%"</f>
        <v>0.01071%</v>
      </c>
      <c r="C1103" t="s">
        <v>10</v>
      </c>
      <c r="D1103" t="s">
        <v>10</v>
      </c>
      <c r="E1103" t="str">
        <f>"$ 82,741"</f>
        <v>$ 82,741</v>
      </c>
      <c r="F1103">
        <v>305</v>
      </c>
    </row>
    <row r="1104" spans="1:6">
      <c r="A1104" t="s">
        <v>1106</v>
      </c>
      <c r="B1104" t="str">
        <f>"0.01070%"</f>
        <v>0.01070%</v>
      </c>
      <c r="C1104" t="s">
        <v>10</v>
      </c>
      <c r="D1104" t="s">
        <v>10</v>
      </c>
      <c r="E1104" t="str">
        <f>"$ 82,601"</f>
        <v>$ 82,601</v>
      </c>
      <c r="F1104">
        <v>782</v>
      </c>
    </row>
    <row r="1105" spans="1:6">
      <c r="A1105" t="s">
        <v>1107</v>
      </c>
      <c r="B1105" t="str">
        <f>"0.01069%"</f>
        <v>0.01069%</v>
      </c>
      <c r="C1105" t="s">
        <v>10</v>
      </c>
      <c r="D1105" t="s">
        <v>10</v>
      </c>
      <c r="E1105" t="str">
        <f>"$ 82,582"</f>
        <v>$ 82,582</v>
      </c>
      <c r="F1105" s="1">
        <v>2214</v>
      </c>
    </row>
    <row r="1106" spans="1:6">
      <c r="A1106" t="s">
        <v>1108</v>
      </c>
      <c r="B1106" t="str">
        <f>"0.01069%"</f>
        <v>0.01069%</v>
      </c>
      <c r="C1106" t="s">
        <v>10</v>
      </c>
      <c r="D1106" t="s">
        <v>10</v>
      </c>
      <c r="E1106" t="str">
        <f>"$ 82,538"</f>
        <v>$ 82,538</v>
      </c>
      <c r="F1106" s="1">
        <v>20011</v>
      </c>
    </row>
    <row r="1107" spans="1:6">
      <c r="A1107" t="s">
        <v>1109</v>
      </c>
      <c r="B1107" t="str">
        <f>"0.01065%"</f>
        <v>0.01065%</v>
      </c>
      <c r="C1107" t="s">
        <v>10</v>
      </c>
      <c r="D1107" t="s">
        <v>10</v>
      </c>
      <c r="E1107" t="str">
        <f>"$ 82,219"</f>
        <v>$ 82,219</v>
      </c>
      <c r="F1107">
        <v>476</v>
      </c>
    </row>
    <row r="1108" spans="1:6">
      <c r="A1108" t="s">
        <v>1110</v>
      </c>
      <c r="B1108" t="str">
        <f>"0.01064%"</f>
        <v>0.01064%</v>
      </c>
      <c r="C1108" t="s">
        <v>10</v>
      </c>
      <c r="D1108" t="s">
        <v>10</v>
      </c>
      <c r="E1108" t="str">
        <f>"$ 82,180"</f>
        <v>$ 82,180</v>
      </c>
      <c r="F1108" s="1">
        <v>6883</v>
      </c>
    </row>
    <row r="1109" spans="1:6">
      <c r="A1109" t="s">
        <v>1111</v>
      </c>
      <c r="B1109" t="str">
        <f>"0.01064%"</f>
        <v>0.01064%</v>
      </c>
      <c r="C1109" t="s">
        <v>10</v>
      </c>
      <c r="D1109" t="s">
        <v>10</v>
      </c>
      <c r="E1109" t="str">
        <f>"$ 82,141"</f>
        <v>$ 82,141</v>
      </c>
      <c r="F1109">
        <v>589</v>
      </c>
    </row>
    <row r="1110" spans="1:6">
      <c r="A1110" t="s">
        <v>1112</v>
      </c>
      <c r="B1110" t="str">
        <f>"0.01062%"</f>
        <v>0.01062%</v>
      </c>
      <c r="C1110" t="s">
        <v>10</v>
      </c>
      <c r="D1110" t="s">
        <v>10</v>
      </c>
      <c r="E1110" t="str">
        <f>"$ 81,981"</f>
        <v>$ 81,981</v>
      </c>
      <c r="F1110" s="1">
        <v>11987</v>
      </c>
    </row>
    <row r="1111" spans="1:6">
      <c r="A1111" t="s">
        <v>1113</v>
      </c>
      <c r="B1111" t="str">
        <f>"0.01060%"</f>
        <v>0.01060%</v>
      </c>
      <c r="C1111" t="s">
        <v>10</v>
      </c>
      <c r="D1111" t="s">
        <v>10</v>
      </c>
      <c r="E1111" t="str">
        <f>"$ 81,840"</f>
        <v>$ 81,840</v>
      </c>
      <c r="F1111" s="1">
        <v>13527</v>
      </c>
    </row>
    <row r="1112" spans="1:6">
      <c r="A1112" t="s">
        <v>1114</v>
      </c>
      <c r="B1112" t="str">
        <f>"0.01058%"</f>
        <v>0.01058%</v>
      </c>
      <c r="C1112" t="s">
        <v>10</v>
      </c>
      <c r="D1112" t="s">
        <v>10</v>
      </c>
      <c r="E1112" t="str">
        <f>"$ 81,666"</f>
        <v>$ 81,666</v>
      </c>
      <c r="F1112" s="1">
        <v>3885</v>
      </c>
    </row>
    <row r="1113" spans="1:6">
      <c r="A1113" t="s">
        <v>1115</v>
      </c>
      <c r="B1113" t="str">
        <f>"0.01058%"</f>
        <v>0.01058%</v>
      </c>
      <c r="C1113" t="s">
        <v>10</v>
      </c>
      <c r="D1113" t="s">
        <v>10</v>
      </c>
      <c r="E1113" t="str">
        <f>"$ 81,736"</f>
        <v>$ 81,736</v>
      </c>
      <c r="F1113" s="1">
        <v>4106</v>
      </c>
    </row>
    <row r="1114" spans="1:6">
      <c r="A1114" t="s">
        <v>1116</v>
      </c>
      <c r="B1114" t="str">
        <f>"0.01058%"</f>
        <v>0.01058%</v>
      </c>
      <c r="C1114" t="s">
        <v>10</v>
      </c>
      <c r="D1114" t="s">
        <v>10</v>
      </c>
      <c r="E1114" t="str">
        <f>"$ 81,730"</f>
        <v>$ 81,730</v>
      </c>
      <c r="F1114">
        <v>185</v>
      </c>
    </row>
    <row r="1115" spans="1:6">
      <c r="A1115" t="s">
        <v>1117</v>
      </c>
      <c r="B1115" t="str">
        <f>"0.01057%"</f>
        <v>0.01057%</v>
      </c>
      <c r="C1115" t="s">
        <v>10</v>
      </c>
      <c r="D1115" t="s">
        <v>10</v>
      </c>
      <c r="E1115" t="str">
        <f>"$ 81,592"</f>
        <v>$ 81,592</v>
      </c>
      <c r="F1115" s="1">
        <v>7918</v>
      </c>
    </row>
    <row r="1116" spans="1:6">
      <c r="A1116" t="s">
        <v>1118</v>
      </c>
      <c r="B1116" t="str">
        <f>"0.01055%"</f>
        <v>0.01055%</v>
      </c>
      <c r="C1116" t="s">
        <v>10</v>
      </c>
      <c r="D1116" t="s">
        <v>10</v>
      </c>
      <c r="E1116" t="str">
        <f>"$ 81,444"</f>
        <v>$ 81,444</v>
      </c>
      <c r="F1116" s="1">
        <v>24755</v>
      </c>
    </row>
    <row r="1117" spans="1:6">
      <c r="A1117" t="s">
        <v>1119</v>
      </c>
      <c r="B1117" t="str">
        <f>"0.01055%"</f>
        <v>0.01055%</v>
      </c>
      <c r="C1117" t="s">
        <v>10</v>
      </c>
      <c r="D1117" t="s">
        <v>10</v>
      </c>
      <c r="E1117" t="str">
        <f>"$ 81,447"</f>
        <v>$ 81,447</v>
      </c>
      <c r="F1117" s="1">
        <v>6743</v>
      </c>
    </row>
    <row r="1118" spans="1:6">
      <c r="A1118" t="s">
        <v>1120</v>
      </c>
      <c r="B1118" t="str">
        <f>"0.01054%"</f>
        <v>0.01054%</v>
      </c>
      <c r="C1118" t="s">
        <v>10</v>
      </c>
      <c r="D1118" t="s">
        <v>10</v>
      </c>
      <c r="E1118" t="str">
        <f>"$ 81,362"</f>
        <v>$ 81,362</v>
      </c>
      <c r="F1118" s="1">
        <v>11660</v>
      </c>
    </row>
    <row r="1119" spans="1:6">
      <c r="A1119" t="s">
        <v>1121</v>
      </c>
      <c r="B1119" t="str">
        <f>"0.01053%"</f>
        <v>0.01053%</v>
      </c>
      <c r="C1119" t="s">
        <v>10</v>
      </c>
      <c r="D1119" t="s">
        <v>10</v>
      </c>
      <c r="E1119" t="str">
        <f>"$ 81,338"</f>
        <v>$ 81,338</v>
      </c>
      <c r="F1119" s="1">
        <v>1561</v>
      </c>
    </row>
    <row r="1120" spans="1:6">
      <c r="A1120" t="s">
        <v>1122</v>
      </c>
      <c r="B1120" t="str">
        <f>"0.01053%"</f>
        <v>0.01053%</v>
      </c>
      <c r="C1120" t="s">
        <v>10</v>
      </c>
      <c r="D1120" t="s">
        <v>10</v>
      </c>
      <c r="E1120" t="str">
        <f>"$ 81,306"</f>
        <v>$ 81,306</v>
      </c>
      <c r="F1120" s="1">
        <v>1270</v>
      </c>
    </row>
    <row r="1121" spans="1:6">
      <c r="A1121" t="s">
        <v>1123</v>
      </c>
      <c r="B1121" t="str">
        <f>"0.01052%"</f>
        <v>0.01052%</v>
      </c>
      <c r="C1121" t="s">
        <v>10</v>
      </c>
      <c r="D1121" t="s">
        <v>10</v>
      </c>
      <c r="E1121" t="str">
        <f>"$ 81,223"</f>
        <v>$ 81,223</v>
      </c>
      <c r="F1121">
        <v>819</v>
      </c>
    </row>
    <row r="1122" spans="1:6">
      <c r="A1122" t="s">
        <v>1124</v>
      </c>
      <c r="B1122" t="str">
        <f>"0.01052%"</f>
        <v>0.01052%</v>
      </c>
      <c r="C1122" t="s">
        <v>10</v>
      </c>
      <c r="D1122" t="s">
        <v>10</v>
      </c>
      <c r="E1122" t="str">
        <f>"$ 81,212"</f>
        <v>$ 81,212</v>
      </c>
      <c r="F1122" s="1">
        <v>1051</v>
      </c>
    </row>
    <row r="1123" spans="1:6">
      <c r="A1123" t="s">
        <v>1125</v>
      </c>
      <c r="B1123" t="str">
        <f>"0.01052%"</f>
        <v>0.01052%</v>
      </c>
      <c r="C1123" t="s">
        <v>10</v>
      </c>
      <c r="D1123" t="s">
        <v>10</v>
      </c>
      <c r="E1123" t="str">
        <f>"$ 81,201"</f>
        <v>$ 81,201</v>
      </c>
      <c r="F1123" s="1">
        <v>16330</v>
      </c>
    </row>
    <row r="1124" spans="1:6">
      <c r="A1124" t="s">
        <v>1126</v>
      </c>
      <c r="B1124" t="str">
        <f>"0.01052%"</f>
        <v>0.01052%</v>
      </c>
      <c r="C1124" t="s">
        <v>10</v>
      </c>
      <c r="D1124" t="s">
        <v>10</v>
      </c>
      <c r="E1124" t="str">
        <f>"$ 81,241"</f>
        <v>$ 81,241</v>
      </c>
      <c r="F1124">
        <v>947</v>
      </c>
    </row>
    <row r="1125" spans="1:6">
      <c r="A1125" t="s">
        <v>1127</v>
      </c>
      <c r="B1125" t="str">
        <f>"0.01050%"</f>
        <v>0.01050%</v>
      </c>
      <c r="C1125" t="s">
        <v>10</v>
      </c>
      <c r="D1125" t="s">
        <v>10</v>
      </c>
      <c r="E1125" t="str">
        <f>"$ 81,068"</f>
        <v>$ 81,068</v>
      </c>
      <c r="F1125" s="1">
        <v>1749</v>
      </c>
    </row>
    <row r="1126" spans="1:6">
      <c r="A1126" t="s">
        <v>1128</v>
      </c>
      <c r="B1126" t="str">
        <f>"0.01049%"</f>
        <v>0.01049%</v>
      </c>
      <c r="C1126" t="s">
        <v>10</v>
      </c>
      <c r="D1126" t="s">
        <v>10</v>
      </c>
      <c r="E1126" t="str">
        <f>"$ 81,028"</f>
        <v>$ 81,028</v>
      </c>
      <c r="F1126" s="1">
        <v>2360</v>
      </c>
    </row>
    <row r="1127" spans="1:6">
      <c r="A1127" t="s">
        <v>1129</v>
      </c>
      <c r="B1127" t="str">
        <f>"0.01046%"</f>
        <v>0.01046%</v>
      </c>
      <c r="C1127" t="s">
        <v>10</v>
      </c>
      <c r="D1127" t="s">
        <v>10</v>
      </c>
      <c r="E1127" t="str">
        <f>"$ 80,764"</f>
        <v>$ 80,764</v>
      </c>
      <c r="F1127">
        <v>49</v>
      </c>
    </row>
    <row r="1128" spans="1:6">
      <c r="A1128" t="s">
        <v>1130</v>
      </c>
      <c r="B1128" t="str">
        <f>"0.01046%"</f>
        <v>0.01046%</v>
      </c>
      <c r="C1128" t="s">
        <v>10</v>
      </c>
      <c r="D1128" t="s">
        <v>10</v>
      </c>
      <c r="E1128" t="str">
        <f>"$ 80,786"</f>
        <v>$ 80,786</v>
      </c>
      <c r="F1128">
        <v>255</v>
      </c>
    </row>
    <row r="1129" spans="1:6">
      <c r="A1129" t="s">
        <v>1131</v>
      </c>
      <c r="B1129" t="str">
        <f>"0.01045%"</f>
        <v>0.01045%</v>
      </c>
      <c r="C1129" t="s">
        <v>10</v>
      </c>
      <c r="D1129" t="s">
        <v>10</v>
      </c>
      <c r="E1129" t="str">
        <f>"$ 80,722"</f>
        <v>$ 80,722</v>
      </c>
      <c r="F1129">
        <v>599</v>
      </c>
    </row>
    <row r="1130" spans="1:6">
      <c r="A1130" t="s">
        <v>1132</v>
      </c>
      <c r="B1130" t="str">
        <f>"0.01044%"</f>
        <v>0.01044%</v>
      </c>
      <c r="C1130" t="s">
        <v>10</v>
      </c>
      <c r="D1130" t="s">
        <v>10</v>
      </c>
      <c r="E1130" t="str">
        <f>"$ 80,652"</f>
        <v>$ 80,652</v>
      </c>
      <c r="F1130">
        <v>588</v>
      </c>
    </row>
    <row r="1131" spans="1:6">
      <c r="A1131" t="s">
        <v>1133</v>
      </c>
      <c r="B1131" t="str">
        <f>"0.01044%"</f>
        <v>0.01044%</v>
      </c>
      <c r="C1131" t="s">
        <v>10</v>
      </c>
      <c r="D1131" t="s">
        <v>10</v>
      </c>
      <c r="E1131" t="str">
        <f>"$ 80,645"</f>
        <v>$ 80,645</v>
      </c>
      <c r="F1131" s="1">
        <v>62701</v>
      </c>
    </row>
    <row r="1132" spans="1:6">
      <c r="A1132" t="s">
        <v>1134</v>
      </c>
      <c r="B1132" t="str">
        <f>"0.01043%"</f>
        <v>0.01043%</v>
      </c>
      <c r="C1132" t="s">
        <v>10</v>
      </c>
      <c r="D1132" t="s">
        <v>10</v>
      </c>
      <c r="E1132" t="str">
        <f>"$ 80,551"</f>
        <v>$ 80,551</v>
      </c>
      <c r="F1132" s="1">
        <v>20505</v>
      </c>
    </row>
    <row r="1133" spans="1:6">
      <c r="A1133" t="s">
        <v>1135</v>
      </c>
      <c r="B1133" t="str">
        <f>"0.01042%"</f>
        <v>0.01042%</v>
      </c>
      <c r="C1133" t="s">
        <v>10</v>
      </c>
      <c r="D1133" t="s">
        <v>10</v>
      </c>
      <c r="E1133" t="str">
        <f>"$ 80,486"</f>
        <v>$ 80,486</v>
      </c>
      <c r="F1133">
        <v>664</v>
      </c>
    </row>
    <row r="1134" spans="1:6">
      <c r="A1134" t="s">
        <v>1136</v>
      </c>
      <c r="B1134" t="str">
        <f>"0.01041%"</f>
        <v>0.01041%</v>
      </c>
      <c r="C1134" t="s">
        <v>10</v>
      </c>
      <c r="D1134" t="s">
        <v>10</v>
      </c>
      <c r="E1134" t="str">
        <f>"$ 80,393"</f>
        <v>$ 80,393</v>
      </c>
      <c r="F1134" s="1">
        <v>25121</v>
      </c>
    </row>
    <row r="1135" spans="1:6">
      <c r="A1135" t="s">
        <v>1137</v>
      </c>
      <c r="B1135" t="str">
        <f>"0.01039%"</f>
        <v>0.01039%</v>
      </c>
      <c r="C1135" t="s">
        <v>10</v>
      </c>
      <c r="D1135" t="s">
        <v>10</v>
      </c>
      <c r="E1135" t="str">
        <f>"$ 80,198"</f>
        <v>$ 80,198</v>
      </c>
      <c r="F1135" s="1">
        <v>4503</v>
      </c>
    </row>
    <row r="1136" spans="1:6">
      <c r="A1136" t="s">
        <v>1138</v>
      </c>
      <c r="B1136" t="str">
        <f>"0.01038%"</f>
        <v>0.01038%</v>
      </c>
      <c r="C1136" t="s">
        <v>10</v>
      </c>
      <c r="D1136" t="s">
        <v>10</v>
      </c>
      <c r="E1136" t="str">
        <f>"$ 80,168"</f>
        <v>$ 80,168</v>
      </c>
      <c r="F1136" s="1">
        <v>3364</v>
      </c>
    </row>
    <row r="1137" spans="1:6">
      <c r="A1137" t="s">
        <v>1139</v>
      </c>
      <c r="B1137" t="str">
        <f>"0.01037%"</f>
        <v>0.01037%</v>
      </c>
      <c r="C1137" t="s">
        <v>10</v>
      </c>
      <c r="D1137" t="s">
        <v>10</v>
      </c>
      <c r="E1137" t="str">
        <f>"$ 80,053"</f>
        <v>$ 80,053</v>
      </c>
      <c r="F1137" s="1">
        <v>1889</v>
      </c>
    </row>
    <row r="1138" spans="1:6">
      <c r="A1138" t="s">
        <v>1140</v>
      </c>
      <c r="B1138" t="str">
        <f>"0.01036%"</f>
        <v>0.01036%</v>
      </c>
      <c r="C1138" t="s">
        <v>10</v>
      </c>
      <c r="D1138" t="s">
        <v>10</v>
      </c>
      <c r="E1138" t="str">
        <f>"$ 79,987"</f>
        <v>$ 79,987</v>
      </c>
      <c r="F1138" s="1">
        <v>1487</v>
      </c>
    </row>
    <row r="1139" spans="1:6">
      <c r="A1139" t="s">
        <v>1141</v>
      </c>
      <c r="B1139" t="str">
        <f>"0.01036%"</f>
        <v>0.01036%</v>
      </c>
      <c r="C1139" t="s">
        <v>10</v>
      </c>
      <c r="D1139" t="s">
        <v>10</v>
      </c>
      <c r="E1139" t="str">
        <f>"$ 79,962"</f>
        <v>$ 79,962</v>
      </c>
      <c r="F1139">
        <v>445</v>
      </c>
    </row>
    <row r="1140" spans="1:6">
      <c r="A1140" t="s">
        <v>1142</v>
      </c>
      <c r="B1140" t="str">
        <f>"0.01036%"</f>
        <v>0.01036%</v>
      </c>
      <c r="C1140" t="s">
        <v>10</v>
      </c>
      <c r="D1140" t="s">
        <v>10</v>
      </c>
      <c r="E1140" t="str">
        <f>"$ 80,000"</f>
        <v>$ 80,000</v>
      </c>
      <c r="F1140" s="1">
        <v>18648</v>
      </c>
    </row>
    <row r="1141" spans="1:6">
      <c r="A1141" t="s">
        <v>1143</v>
      </c>
      <c r="B1141" t="str">
        <f>"0.01035%"</f>
        <v>0.01035%</v>
      </c>
      <c r="C1141" t="s">
        <v>10</v>
      </c>
      <c r="D1141" t="s">
        <v>10</v>
      </c>
      <c r="E1141" t="str">
        <f>"$ 79,916"</f>
        <v>$ 79,916</v>
      </c>
      <c r="F1141" s="1">
        <v>14087</v>
      </c>
    </row>
    <row r="1142" spans="1:6">
      <c r="A1142" t="s">
        <v>1144</v>
      </c>
      <c r="B1142" t="str">
        <f>"0.01034%"</f>
        <v>0.01034%</v>
      </c>
      <c r="C1142" t="s">
        <v>10</v>
      </c>
      <c r="D1142" t="s">
        <v>10</v>
      </c>
      <c r="E1142" t="str">
        <f>"$ 79,808"</f>
        <v>$ 79,808</v>
      </c>
      <c r="F1142">
        <v>679</v>
      </c>
    </row>
    <row r="1143" spans="1:6">
      <c r="A1143" t="s">
        <v>1145</v>
      </c>
      <c r="B1143" t="str">
        <f>"0.01033%"</f>
        <v>0.01033%</v>
      </c>
      <c r="C1143" t="s">
        <v>10</v>
      </c>
      <c r="D1143" t="s">
        <v>10</v>
      </c>
      <c r="E1143" t="str">
        <f>"$ 79,770"</f>
        <v>$ 79,770</v>
      </c>
      <c r="F1143">
        <v>538</v>
      </c>
    </row>
    <row r="1144" spans="1:6">
      <c r="A1144" t="s">
        <v>1146</v>
      </c>
      <c r="B1144" t="str">
        <f>"0.01033%"</f>
        <v>0.01033%</v>
      </c>
      <c r="C1144" t="s">
        <v>10</v>
      </c>
      <c r="D1144" t="s">
        <v>10</v>
      </c>
      <c r="E1144" t="str">
        <f>"$ 79,762"</f>
        <v>$ 79,762</v>
      </c>
      <c r="F1144">
        <v>253</v>
      </c>
    </row>
    <row r="1145" spans="1:6">
      <c r="A1145" t="s">
        <v>1147</v>
      </c>
      <c r="B1145" t="str">
        <f>"0.01032%"</f>
        <v>0.01032%</v>
      </c>
      <c r="C1145" t="s">
        <v>10</v>
      </c>
      <c r="D1145" t="s">
        <v>10</v>
      </c>
      <c r="E1145" t="str">
        <f>"$ 79,728"</f>
        <v>$ 79,728</v>
      </c>
      <c r="F1145" s="1">
        <v>1844</v>
      </c>
    </row>
    <row r="1146" spans="1:6">
      <c r="A1146" t="s">
        <v>1148</v>
      </c>
      <c r="B1146" t="str">
        <f>"0.01032%"</f>
        <v>0.01032%</v>
      </c>
      <c r="C1146" t="s">
        <v>10</v>
      </c>
      <c r="D1146" t="s">
        <v>10</v>
      </c>
      <c r="E1146" t="str">
        <f>"$ 79,687"</f>
        <v>$ 79,687</v>
      </c>
      <c r="F1146" s="1">
        <v>2142</v>
      </c>
    </row>
    <row r="1147" spans="1:6">
      <c r="A1147" t="s">
        <v>1149</v>
      </c>
      <c r="B1147" t="str">
        <f>"0.01031%"</f>
        <v>0.01031%</v>
      </c>
      <c r="C1147" t="s">
        <v>10</v>
      </c>
      <c r="D1147" t="s">
        <v>10</v>
      </c>
      <c r="E1147" t="str">
        <f>"$ 79,581"</f>
        <v>$ 79,581</v>
      </c>
      <c r="F1147" s="1">
        <v>16271</v>
      </c>
    </row>
    <row r="1148" spans="1:6">
      <c r="A1148" t="s">
        <v>1150</v>
      </c>
      <c r="B1148" t="str">
        <f>"0.01030%"</f>
        <v>0.01030%</v>
      </c>
      <c r="C1148" t="s">
        <v>10</v>
      </c>
      <c r="D1148" t="s">
        <v>10</v>
      </c>
      <c r="E1148" t="str">
        <f>"$ 79,509"</f>
        <v>$ 79,509</v>
      </c>
      <c r="F1148" s="1">
        <v>1452</v>
      </c>
    </row>
    <row r="1149" spans="1:6">
      <c r="A1149" t="s">
        <v>1151</v>
      </c>
      <c r="B1149" t="str">
        <f>"0.01030%"</f>
        <v>0.01030%</v>
      </c>
      <c r="C1149" t="s">
        <v>10</v>
      </c>
      <c r="D1149" t="s">
        <v>10</v>
      </c>
      <c r="E1149" t="str">
        <f>"$ 79,518"</f>
        <v>$ 79,518</v>
      </c>
      <c r="F1149">
        <v>509</v>
      </c>
    </row>
    <row r="1150" spans="1:6">
      <c r="A1150" t="s">
        <v>1152</v>
      </c>
      <c r="B1150" t="str">
        <f>"0.01029%"</f>
        <v>0.01029%</v>
      </c>
      <c r="C1150" t="s">
        <v>10</v>
      </c>
      <c r="D1150" t="s">
        <v>10</v>
      </c>
      <c r="E1150" t="str">
        <f>"$ 79,434"</f>
        <v>$ 79,434</v>
      </c>
      <c r="F1150" s="1">
        <v>3179</v>
      </c>
    </row>
    <row r="1151" spans="1:6">
      <c r="A1151" t="s">
        <v>1153</v>
      </c>
      <c r="B1151" t="str">
        <f>"0.01028%"</f>
        <v>0.01028%</v>
      </c>
      <c r="C1151" t="s">
        <v>10</v>
      </c>
      <c r="D1151" t="s">
        <v>10</v>
      </c>
      <c r="E1151" t="str">
        <f>"$ 79,347"</f>
        <v>$ 79,347</v>
      </c>
      <c r="F1151" s="1">
        <v>2568</v>
      </c>
    </row>
    <row r="1152" spans="1:6">
      <c r="A1152" t="s">
        <v>1154</v>
      </c>
      <c r="B1152" t="str">
        <f>"0.01027%"</f>
        <v>0.01027%</v>
      </c>
      <c r="C1152" t="s">
        <v>10</v>
      </c>
      <c r="D1152" t="s">
        <v>10</v>
      </c>
      <c r="E1152" t="str">
        <f>"$ 79,286"</f>
        <v>$ 79,286</v>
      </c>
      <c r="F1152">
        <v>391</v>
      </c>
    </row>
    <row r="1153" spans="1:6">
      <c r="A1153" t="s">
        <v>1155</v>
      </c>
      <c r="B1153" t="str">
        <f>"0.01026%"</f>
        <v>0.01026%</v>
      </c>
      <c r="C1153" t="s">
        <v>10</v>
      </c>
      <c r="D1153" t="s">
        <v>10</v>
      </c>
      <c r="E1153" t="str">
        <f>"$ 79,219"</f>
        <v>$ 79,219</v>
      </c>
      <c r="F1153" s="1">
        <v>1265</v>
      </c>
    </row>
    <row r="1154" spans="1:6">
      <c r="A1154" t="s">
        <v>1156</v>
      </c>
      <c r="B1154" t="str">
        <f>"0.01026%"</f>
        <v>0.01026%</v>
      </c>
      <c r="C1154" t="s">
        <v>10</v>
      </c>
      <c r="D1154" t="s">
        <v>10</v>
      </c>
      <c r="E1154" t="str">
        <f>"$ 79,194"</f>
        <v>$ 79,194</v>
      </c>
      <c r="F1154">
        <v>495</v>
      </c>
    </row>
    <row r="1155" spans="1:6">
      <c r="A1155" t="s">
        <v>1157</v>
      </c>
      <c r="B1155" t="str">
        <f>"0.01026%"</f>
        <v>0.01026%</v>
      </c>
      <c r="C1155" t="s">
        <v>10</v>
      </c>
      <c r="D1155" t="s">
        <v>10</v>
      </c>
      <c r="E1155" t="str">
        <f>"$ 79,215"</f>
        <v>$ 79,215</v>
      </c>
      <c r="F1155" s="1">
        <v>1085</v>
      </c>
    </row>
    <row r="1156" spans="1:6">
      <c r="A1156" t="s">
        <v>1158</v>
      </c>
      <c r="B1156" t="str">
        <f>"0.01026%"</f>
        <v>0.01026%</v>
      </c>
      <c r="C1156" t="s">
        <v>10</v>
      </c>
      <c r="D1156" t="s">
        <v>10</v>
      </c>
      <c r="E1156" t="str">
        <f>"$ 79,209"</f>
        <v>$ 79,209</v>
      </c>
      <c r="F1156">
        <v>292</v>
      </c>
    </row>
    <row r="1157" spans="1:6">
      <c r="A1157" t="s">
        <v>1159</v>
      </c>
      <c r="B1157" t="str">
        <f>"0.01023%"</f>
        <v>0.01023%</v>
      </c>
      <c r="C1157" t="s">
        <v>10</v>
      </c>
      <c r="D1157" t="s">
        <v>10</v>
      </c>
      <c r="E1157" t="str">
        <f>"$ 78,984"</f>
        <v>$ 78,984</v>
      </c>
      <c r="F1157" s="1">
        <v>2745</v>
      </c>
    </row>
    <row r="1158" spans="1:6">
      <c r="A1158" t="s">
        <v>1160</v>
      </c>
      <c r="B1158" t="str">
        <f>"0.01019%"</f>
        <v>0.01019%</v>
      </c>
      <c r="C1158" t="s">
        <v>10</v>
      </c>
      <c r="D1158" t="s">
        <v>10</v>
      </c>
      <c r="E1158" t="str">
        <f>"$ 78,690"</f>
        <v>$ 78,690</v>
      </c>
      <c r="F1158" s="1">
        <v>2707</v>
      </c>
    </row>
    <row r="1159" spans="1:6">
      <c r="A1159" t="s">
        <v>1161</v>
      </c>
      <c r="B1159" t="str">
        <f>"0.01019%"</f>
        <v>0.01019%</v>
      </c>
      <c r="C1159" t="s">
        <v>10</v>
      </c>
      <c r="D1159" t="s">
        <v>10</v>
      </c>
      <c r="E1159" t="str">
        <f>"$ 78,718"</f>
        <v>$ 78,718</v>
      </c>
      <c r="F1159">
        <v>569</v>
      </c>
    </row>
    <row r="1160" spans="1:6">
      <c r="A1160" t="s">
        <v>1162</v>
      </c>
      <c r="B1160" t="str">
        <f>"0.01017%"</f>
        <v>0.01017%</v>
      </c>
      <c r="C1160" t="s">
        <v>10</v>
      </c>
      <c r="D1160" t="s">
        <v>10</v>
      </c>
      <c r="E1160" t="str">
        <f>"$ 78,498"</f>
        <v>$ 78,498</v>
      </c>
      <c r="F1160">
        <v>351</v>
      </c>
    </row>
    <row r="1161" spans="1:6">
      <c r="A1161" t="s">
        <v>1163</v>
      </c>
      <c r="B1161" t="str">
        <f>"0.01016%"</f>
        <v>0.01016%</v>
      </c>
      <c r="C1161" t="s">
        <v>10</v>
      </c>
      <c r="D1161" t="s">
        <v>10</v>
      </c>
      <c r="E1161" t="str">
        <f>"$ 78,448"</f>
        <v>$ 78,448</v>
      </c>
      <c r="F1161" s="1">
        <v>1187</v>
      </c>
    </row>
    <row r="1162" spans="1:6">
      <c r="A1162" t="s">
        <v>1164</v>
      </c>
      <c r="B1162" t="str">
        <f>"0.01013%"</f>
        <v>0.01013%</v>
      </c>
      <c r="C1162" t="s">
        <v>10</v>
      </c>
      <c r="D1162" t="s">
        <v>10</v>
      </c>
      <c r="E1162" t="str">
        <f>"$ 78,242"</f>
        <v>$ 78,242</v>
      </c>
      <c r="F1162">
        <v>372</v>
      </c>
    </row>
    <row r="1163" spans="1:6">
      <c r="A1163" t="s">
        <v>1165</v>
      </c>
      <c r="B1163" t="str">
        <f>"0.01012%"</f>
        <v>0.01012%</v>
      </c>
      <c r="C1163" t="s">
        <v>10</v>
      </c>
      <c r="D1163" t="s">
        <v>10</v>
      </c>
      <c r="E1163" t="str">
        <f>"$ 78,128"</f>
        <v>$ 78,128</v>
      </c>
      <c r="F1163" s="1">
        <v>8330</v>
      </c>
    </row>
    <row r="1164" spans="1:6">
      <c r="A1164" t="s">
        <v>1166</v>
      </c>
      <c r="B1164" t="str">
        <f>"0.01011%"</f>
        <v>0.01011%</v>
      </c>
      <c r="C1164" t="s">
        <v>10</v>
      </c>
      <c r="D1164" t="s">
        <v>10</v>
      </c>
      <c r="E1164" t="str">
        <f>"$ 78,066"</f>
        <v>$ 78,066</v>
      </c>
      <c r="F1164">
        <v>588</v>
      </c>
    </row>
    <row r="1165" spans="1:6">
      <c r="A1165" t="s">
        <v>1167</v>
      </c>
      <c r="B1165" t="str">
        <f>"0.01011%"</f>
        <v>0.01011%</v>
      </c>
      <c r="C1165" t="s">
        <v>10</v>
      </c>
      <c r="D1165" t="s">
        <v>10</v>
      </c>
      <c r="E1165" t="str">
        <f>"$ 78,102"</f>
        <v>$ 78,102</v>
      </c>
      <c r="F1165">
        <v>588</v>
      </c>
    </row>
    <row r="1166" spans="1:6">
      <c r="A1166" t="s">
        <v>1168</v>
      </c>
      <c r="B1166" t="str">
        <f>"0.01011%"</f>
        <v>0.01011%</v>
      </c>
      <c r="C1166" t="s">
        <v>10</v>
      </c>
      <c r="D1166" t="s">
        <v>10</v>
      </c>
      <c r="E1166" t="str">
        <f>"$ 78,033"</f>
        <v>$ 78,033</v>
      </c>
      <c r="F1166" s="1">
        <v>1310</v>
      </c>
    </row>
    <row r="1167" spans="1:6">
      <c r="A1167" t="s">
        <v>1169</v>
      </c>
      <c r="B1167" t="str">
        <f>"0.01010%"</f>
        <v>0.01010%</v>
      </c>
      <c r="C1167" t="s">
        <v>10</v>
      </c>
      <c r="D1167" t="s">
        <v>10</v>
      </c>
      <c r="E1167" t="str">
        <f>"$ 77,978"</f>
        <v>$ 77,978</v>
      </c>
      <c r="F1167" s="1">
        <v>8182</v>
      </c>
    </row>
    <row r="1168" spans="1:6">
      <c r="A1168" t="s">
        <v>1170</v>
      </c>
      <c r="B1168" t="str">
        <f>"0.01010%"</f>
        <v>0.01010%</v>
      </c>
      <c r="C1168" t="s">
        <v>10</v>
      </c>
      <c r="D1168" t="s">
        <v>10</v>
      </c>
      <c r="E1168" t="str">
        <f>"$ 77,961"</f>
        <v>$ 77,961</v>
      </c>
      <c r="F1168" s="1">
        <v>6587</v>
      </c>
    </row>
    <row r="1169" spans="1:6">
      <c r="A1169" t="s">
        <v>1171</v>
      </c>
      <c r="B1169" t="str">
        <f>"0.01010%"</f>
        <v>0.01010%</v>
      </c>
      <c r="C1169" t="s">
        <v>10</v>
      </c>
      <c r="D1169" t="s">
        <v>10</v>
      </c>
      <c r="E1169" t="str">
        <f>"$ 78,024"</f>
        <v>$ 78,024</v>
      </c>
      <c r="F1169" s="1">
        <v>1793</v>
      </c>
    </row>
    <row r="1170" spans="1:6">
      <c r="A1170" t="s">
        <v>1172</v>
      </c>
      <c r="B1170" t="str">
        <f>"0.01010%"</f>
        <v>0.01010%</v>
      </c>
      <c r="C1170" t="s">
        <v>10</v>
      </c>
      <c r="D1170" t="s">
        <v>10</v>
      </c>
      <c r="E1170" t="str">
        <f>"$ 77,969"</f>
        <v>$ 77,969</v>
      </c>
      <c r="F1170">
        <v>371</v>
      </c>
    </row>
    <row r="1171" spans="1:6">
      <c r="A1171" t="s">
        <v>1173</v>
      </c>
      <c r="B1171" t="str">
        <f>"0.01008%"</f>
        <v>0.01008%</v>
      </c>
      <c r="C1171" t="s">
        <v>10</v>
      </c>
      <c r="D1171" t="s">
        <v>10</v>
      </c>
      <c r="E1171" t="str">
        <f>"$ 77,837"</f>
        <v>$ 77,837</v>
      </c>
      <c r="F1171">
        <v>345</v>
      </c>
    </row>
    <row r="1172" spans="1:6">
      <c r="A1172" t="s">
        <v>1174</v>
      </c>
      <c r="B1172" t="str">
        <f>"0.01007%"</f>
        <v>0.01007%</v>
      </c>
      <c r="C1172" t="s">
        <v>10</v>
      </c>
      <c r="D1172" t="s">
        <v>10</v>
      </c>
      <c r="E1172" t="str">
        <f>"$ 77,772"</f>
        <v>$ 77,772</v>
      </c>
      <c r="F1172">
        <v>349</v>
      </c>
    </row>
    <row r="1173" spans="1:6">
      <c r="A1173" t="s">
        <v>1175</v>
      </c>
      <c r="B1173" t="str">
        <f>"0.01004%"</f>
        <v>0.01004%</v>
      </c>
      <c r="C1173" t="s">
        <v>10</v>
      </c>
      <c r="D1173" t="s">
        <v>10</v>
      </c>
      <c r="E1173" t="str">
        <f>"$ 77,533"</f>
        <v>$ 77,533</v>
      </c>
      <c r="F1173" s="1">
        <v>5938</v>
      </c>
    </row>
    <row r="1174" spans="1:6">
      <c r="A1174" t="s">
        <v>1176</v>
      </c>
      <c r="B1174" t="str">
        <f>"0.01004%"</f>
        <v>0.01004%</v>
      </c>
      <c r="C1174" t="s">
        <v>10</v>
      </c>
      <c r="D1174" t="s">
        <v>10</v>
      </c>
      <c r="E1174" t="str">
        <f>"$ 77,506"</f>
        <v>$ 77,506</v>
      </c>
      <c r="F1174" s="1">
        <v>1567</v>
      </c>
    </row>
    <row r="1175" spans="1:6">
      <c r="A1175" t="s">
        <v>1177</v>
      </c>
      <c r="B1175" t="str">
        <f>"0.01004%"</f>
        <v>0.01004%</v>
      </c>
      <c r="C1175" t="s">
        <v>10</v>
      </c>
      <c r="D1175" t="s">
        <v>10</v>
      </c>
      <c r="E1175" t="str">
        <f>"$ 77,556"</f>
        <v>$ 77,556</v>
      </c>
      <c r="F1175">
        <v>727</v>
      </c>
    </row>
    <row r="1176" spans="1:6">
      <c r="A1176" t="s">
        <v>1178</v>
      </c>
      <c r="B1176" t="str">
        <f>"0.01004%"</f>
        <v>0.01004%</v>
      </c>
      <c r="C1176" t="s">
        <v>10</v>
      </c>
      <c r="D1176" t="s">
        <v>10</v>
      </c>
      <c r="E1176" t="str">
        <f>"$ 77,498"</f>
        <v>$ 77,498</v>
      </c>
      <c r="F1176">
        <v>765</v>
      </c>
    </row>
    <row r="1177" spans="1:6">
      <c r="A1177" t="s">
        <v>1179</v>
      </c>
      <c r="B1177" t="str">
        <f>"0.01003%"</f>
        <v>0.01003%</v>
      </c>
      <c r="C1177" t="s">
        <v>10</v>
      </c>
      <c r="D1177" t="s">
        <v>10</v>
      </c>
      <c r="E1177" t="str">
        <f>"$ 77,425"</f>
        <v>$ 77,425</v>
      </c>
      <c r="F1177" s="1">
        <v>3365</v>
      </c>
    </row>
    <row r="1178" spans="1:6">
      <c r="A1178" t="s">
        <v>1180</v>
      </c>
      <c r="B1178" t="str">
        <f>"0.01001%"</f>
        <v>0.01001%</v>
      </c>
      <c r="C1178" t="s">
        <v>10</v>
      </c>
      <c r="D1178" t="s">
        <v>10</v>
      </c>
      <c r="E1178" t="str">
        <f>"$ 77,266"</f>
        <v>$ 77,266</v>
      </c>
      <c r="F1178" s="1">
        <v>105862</v>
      </c>
    </row>
    <row r="1179" spans="1:6">
      <c r="A1179" t="s">
        <v>1181</v>
      </c>
      <c r="B1179" t="str">
        <f>"0.01000%"</f>
        <v>0.01000%</v>
      </c>
      <c r="C1179" t="s">
        <v>10</v>
      </c>
      <c r="D1179" t="s">
        <v>10</v>
      </c>
      <c r="E1179" t="str">
        <f>"$ 77,216"</f>
        <v>$ 77,216</v>
      </c>
      <c r="F1179" s="1">
        <v>22062</v>
      </c>
    </row>
    <row r="1180" spans="1:6">
      <c r="A1180" t="s">
        <v>1182</v>
      </c>
      <c r="B1180" t="str">
        <f>"0.01000%"</f>
        <v>0.01000%</v>
      </c>
      <c r="C1180" t="s">
        <v>10</v>
      </c>
      <c r="D1180" t="s">
        <v>10</v>
      </c>
      <c r="E1180" t="str">
        <f>"$ 77,188"</f>
        <v>$ 77,188</v>
      </c>
      <c r="F1180" s="1">
        <v>6488</v>
      </c>
    </row>
    <row r="1181" spans="1:6">
      <c r="A1181" t="s">
        <v>1183</v>
      </c>
      <c r="B1181" t="str">
        <f>"0.00999%"</f>
        <v>0.00999%</v>
      </c>
      <c r="C1181" t="s">
        <v>10</v>
      </c>
      <c r="D1181" t="s">
        <v>10</v>
      </c>
      <c r="E1181" t="str">
        <f>"$ 77,143"</f>
        <v>$ 77,143</v>
      </c>
      <c r="F1181">
        <v>252</v>
      </c>
    </row>
    <row r="1182" spans="1:6">
      <c r="A1182" t="s">
        <v>1184</v>
      </c>
      <c r="B1182" t="str">
        <f>"0.00998%"</f>
        <v>0.00998%</v>
      </c>
      <c r="C1182" t="s">
        <v>10</v>
      </c>
      <c r="D1182" t="s">
        <v>10</v>
      </c>
      <c r="E1182" t="str">
        <f>"$ 77,095"</f>
        <v>$ 77,095</v>
      </c>
      <c r="F1182" s="1">
        <v>34640</v>
      </c>
    </row>
    <row r="1183" spans="1:6">
      <c r="A1183" t="s">
        <v>1185</v>
      </c>
      <c r="B1183" t="str">
        <f>"0.00997%"</f>
        <v>0.00997%</v>
      </c>
      <c r="C1183" t="s">
        <v>10</v>
      </c>
      <c r="D1183" t="s">
        <v>10</v>
      </c>
      <c r="E1183" t="str">
        <f>"$ 77,012"</f>
        <v>$ 77,012</v>
      </c>
      <c r="F1183">
        <v>258</v>
      </c>
    </row>
    <row r="1184" spans="1:6">
      <c r="A1184" t="s">
        <v>1186</v>
      </c>
      <c r="B1184" t="str">
        <f>"0.00996%"</f>
        <v>0.00996%</v>
      </c>
      <c r="C1184" t="s">
        <v>10</v>
      </c>
      <c r="D1184" t="s">
        <v>10</v>
      </c>
      <c r="E1184" t="str">
        <f>"$ 76,948"</f>
        <v>$ 76,948</v>
      </c>
      <c r="F1184">
        <v>320</v>
      </c>
    </row>
    <row r="1185" spans="1:6">
      <c r="A1185" t="s">
        <v>1187</v>
      </c>
      <c r="B1185" t="str">
        <f>"0.00995%"</f>
        <v>0.00995%</v>
      </c>
      <c r="C1185" t="s">
        <v>10</v>
      </c>
      <c r="D1185" t="s">
        <v>10</v>
      </c>
      <c r="E1185" t="str">
        <f>"$ 76,838"</f>
        <v>$ 76,838</v>
      </c>
      <c r="F1185">
        <v>772</v>
      </c>
    </row>
    <row r="1186" spans="1:6">
      <c r="A1186" t="s">
        <v>1188</v>
      </c>
      <c r="B1186" t="str">
        <f>"0.00993%"</f>
        <v>0.00993%</v>
      </c>
      <c r="C1186" t="s">
        <v>10</v>
      </c>
      <c r="D1186" t="s">
        <v>10</v>
      </c>
      <c r="E1186" t="str">
        <f>"$ 76,654"</f>
        <v>$ 76,654</v>
      </c>
      <c r="F1186" s="1">
        <v>1567</v>
      </c>
    </row>
    <row r="1187" spans="1:6">
      <c r="A1187" t="s">
        <v>1189</v>
      </c>
      <c r="B1187" t="str">
        <f>"0.00991%"</f>
        <v>0.00991%</v>
      </c>
      <c r="C1187" t="s">
        <v>10</v>
      </c>
      <c r="D1187" t="s">
        <v>10</v>
      </c>
      <c r="E1187" t="str">
        <f>"$ 76,563"</f>
        <v>$ 76,563</v>
      </c>
      <c r="F1187">
        <v>658</v>
      </c>
    </row>
    <row r="1188" spans="1:6">
      <c r="A1188" t="s">
        <v>1190</v>
      </c>
      <c r="B1188" t="str">
        <f>"0.00991%"</f>
        <v>0.00991%</v>
      </c>
      <c r="C1188" t="s">
        <v>10</v>
      </c>
      <c r="D1188" t="s">
        <v>10</v>
      </c>
      <c r="E1188" t="str">
        <f>"$ 76,510"</f>
        <v>$ 76,510</v>
      </c>
      <c r="F1188">
        <v>461</v>
      </c>
    </row>
    <row r="1189" spans="1:6">
      <c r="A1189" t="s">
        <v>1191</v>
      </c>
      <c r="B1189" t="str">
        <f>"0.00991%"</f>
        <v>0.00991%</v>
      </c>
      <c r="C1189" t="s">
        <v>10</v>
      </c>
      <c r="D1189" t="s">
        <v>10</v>
      </c>
      <c r="E1189" t="str">
        <f>"$ 76,513"</f>
        <v>$ 76,513</v>
      </c>
      <c r="F1189" s="1">
        <v>2424</v>
      </c>
    </row>
    <row r="1190" spans="1:6">
      <c r="A1190" t="s">
        <v>1192</v>
      </c>
      <c r="B1190" t="str">
        <f>"0.00991%"</f>
        <v>0.00991%</v>
      </c>
      <c r="C1190" t="s">
        <v>10</v>
      </c>
      <c r="D1190" t="s">
        <v>10</v>
      </c>
      <c r="E1190" t="str">
        <f>"$ 76,561"</f>
        <v>$ 76,561</v>
      </c>
      <c r="F1190" s="1">
        <v>2601</v>
      </c>
    </row>
    <row r="1191" spans="1:6">
      <c r="A1191" t="s">
        <v>1193</v>
      </c>
      <c r="B1191" t="str">
        <f>"0.00990%"</f>
        <v>0.00990%</v>
      </c>
      <c r="C1191" t="s">
        <v>10</v>
      </c>
      <c r="D1191" t="s">
        <v>10</v>
      </c>
      <c r="E1191" t="str">
        <f>"$ 76,444"</f>
        <v>$ 76,444</v>
      </c>
      <c r="F1191" s="1">
        <v>70619</v>
      </c>
    </row>
    <row r="1192" spans="1:6">
      <c r="A1192" t="s">
        <v>1194</v>
      </c>
      <c r="B1192" t="str">
        <f>"0.00990%"</f>
        <v>0.00990%</v>
      </c>
      <c r="C1192" t="s">
        <v>10</v>
      </c>
      <c r="D1192" t="s">
        <v>10</v>
      </c>
      <c r="E1192" t="str">
        <f>"$ 76,409"</f>
        <v>$ 76,409</v>
      </c>
      <c r="F1192">
        <v>412</v>
      </c>
    </row>
    <row r="1193" spans="1:6">
      <c r="A1193" t="s">
        <v>1195</v>
      </c>
      <c r="B1193" t="str">
        <f>"0.00989%"</f>
        <v>0.00989%</v>
      </c>
      <c r="C1193" t="s">
        <v>10</v>
      </c>
      <c r="D1193" t="s">
        <v>10</v>
      </c>
      <c r="E1193" t="str">
        <f>"$ 76,371"</f>
        <v>$ 76,371</v>
      </c>
      <c r="F1193" s="1">
        <v>2233</v>
      </c>
    </row>
    <row r="1194" spans="1:6">
      <c r="A1194" t="s">
        <v>1196</v>
      </c>
      <c r="B1194" t="str">
        <f>"0.00989%"</f>
        <v>0.00989%</v>
      </c>
      <c r="C1194" t="s">
        <v>10</v>
      </c>
      <c r="D1194" t="s">
        <v>10</v>
      </c>
      <c r="E1194" t="str">
        <f>"$ 76,346"</f>
        <v>$ 76,346</v>
      </c>
      <c r="F1194">
        <v>87</v>
      </c>
    </row>
    <row r="1195" spans="1:6">
      <c r="A1195" t="s">
        <v>1197</v>
      </c>
      <c r="B1195" t="str">
        <f>"0.00989%"</f>
        <v>0.00989%</v>
      </c>
      <c r="C1195" t="s">
        <v>10</v>
      </c>
      <c r="D1195" t="s">
        <v>10</v>
      </c>
      <c r="E1195" t="str">
        <f>"$ 76,365"</f>
        <v>$ 76,365</v>
      </c>
      <c r="F1195" s="1">
        <v>3497</v>
      </c>
    </row>
    <row r="1196" spans="1:6">
      <c r="A1196" t="s">
        <v>1198</v>
      </c>
      <c r="B1196" t="str">
        <f>"0.00987%"</f>
        <v>0.00987%</v>
      </c>
      <c r="C1196" t="s">
        <v>10</v>
      </c>
      <c r="D1196" t="s">
        <v>10</v>
      </c>
      <c r="E1196" t="str">
        <f>"$ 76,233"</f>
        <v>$ 76,233</v>
      </c>
      <c r="F1196">
        <v>472</v>
      </c>
    </row>
    <row r="1197" spans="1:6">
      <c r="A1197" t="s">
        <v>1199</v>
      </c>
      <c r="B1197" t="str">
        <f>"0.00986%"</f>
        <v>0.00986%</v>
      </c>
      <c r="C1197" t="s">
        <v>10</v>
      </c>
      <c r="D1197" t="s">
        <v>10</v>
      </c>
      <c r="E1197" t="str">
        <f>"$ 76,174"</f>
        <v>$ 76,174</v>
      </c>
      <c r="F1197" s="1">
        <v>7835</v>
      </c>
    </row>
    <row r="1198" spans="1:6">
      <c r="A1198" t="s">
        <v>1200</v>
      </c>
      <c r="B1198" t="str">
        <f>"0.00984%"</f>
        <v>0.00984%</v>
      </c>
      <c r="C1198" t="s">
        <v>10</v>
      </c>
      <c r="D1198" t="s">
        <v>10</v>
      </c>
      <c r="E1198" t="str">
        <f>"$ 75,949"</f>
        <v>$ 75,949</v>
      </c>
      <c r="F1198">
        <v>632</v>
      </c>
    </row>
    <row r="1199" spans="1:6">
      <c r="A1199" t="s">
        <v>1201</v>
      </c>
      <c r="B1199" t="str">
        <f>"0.00983%"</f>
        <v>0.00983%</v>
      </c>
      <c r="C1199" t="s">
        <v>10</v>
      </c>
      <c r="D1199" t="s">
        <v>10</v>
      </c>
      <c r="E1199" t="str">
        <f>"$ 75,898"</f>
        <v>$ 75,898</v>
      </c>
      <c r="F1199" s="1">
        <v>1882</v>
      </c>
    </row>
    <row r="1200" spans="1:6">
      <c r="A1200" t="s">
        <v>1202</v>
      </c>
      <c r="B1200" t="str">
        <f>"0.00983%"</f>
        <v>0.00983%</v>
      </c>
      <c r="C1200" t="s">
        <v>10</v>
      </c>
      <c r="D1200" t="s">
        <v>10</v>
      </c>
      <c r="E1200" t="str">
        <f>"$ 75,927"</f>
        <v>$ 75,927</v>
      </c>
      <c r="F1200" s="1">
        <v>3814</v>
      </c>
    </row>
    <row r="1201" spans="1:6">
      <c r="A1201" t="s">
        <v>1203</v>
      </c>
      <c r="B1201" t="str">
        <f>"0.00980%"</f>
        <v>0.00980%</v>
      </c>
      <c r="C1201" t="s">
        <v>10</v>
      </c>
      <c r="D1201" t="s">
        <v>10</v>
      </c>
      <c r="E1201" t="str">
        <f>"$ 75,672"</f>
        <v>$ 75,672</v>
      </c>
      <c r="F1201">
        <v>269</v>
      </c>
    </row>
    <row r="1202" spans="1:6">
      <c r="A1202" t="s">
        <v>1204</v>
      </c>
      <c r="B1202" t="str">
        <f>"0.00979%"</f>
        <v>0.00979%</v>
      </c>
      <c r="C1202" t="s">
        <v>10</v>
      </c>
      <c r="D1202" t="s">
        <v>10</v>
      </c>
      <c r="E1202" t="str">
        <f>"$ 75,589"</f>
        <v>$ 75,589</v>
      </c>
      <c r="F1202">
        <v>216</v>
      </c>
    </row>
    <row r="1203" spans="1:6">
      <c r="A1203" t="s">
        <v>1205</v>
      </c>
      <c r="B1203" t="str">
        <f>"0.00977%"</f>
        <v>0.00977%</v>
      </c>
      <c r="C1203" t="s">
        <v>10</v>
      </c>
      <c r="D1203" t="s">
        <v>10</v>
      </c>
      <c r="E1203" t="str">
        <f>"$ 75,415"</f>
        <v>$ 75,415</v>
      </c>
      <c r="F1203">
        <v>347</v>
      </c>
    </row>
    <row r="1204" spans="1:6">
      <c r="A1204" t="s">
        <v>1206</v>
      </c>
      <c r="B1204" t="str">
        <f>"0.00975%"</f>
        <v>0.00975%</v>
      </c>
      <c r="C1204" t="s">
        <v>10</v>
      </c>
      <c r="D1204" t="s">
        <v>10</v>
      </c>
      <c r="E1204" t="str">
        <f>"$ 75,321"</f>
        <v>$ 75,321</v>
      </c>
      <c r="F1204" s="1">
        <v>9930</v>
      </c>
    </row>
    <row r="1205" spans="1:6">
      <c r="A1205" t="s">
        <v>1207</v>
      </c>
      <c r="B1205" t="str">
        <f>"0.00975%"</f>
        <v>0.00975%</v>
      </c>
      <c r="C1205" t="s">
        <v>10</v>
      </c>
      <c r="D1205" t="s">
        <v>10</v>
      </c>
      <c r="E1205" t="str">
        <f>"$ 75,275"</f>
        <v>$ 75,275</v>
      </c>
      <c r="F1205" s="1">
        <v>1972</v>
      </c>
    </row>
    <row r="1206" spans="1:6">
      <c r="A1206" t="s">
        <v>1208</v>
      </c>
      <c r="B1206" t="str">
        <f>"0.00970%"</f>
        <v>0.00970%</v>
      </c>
      <c r="C1206" t="s">
        <v>10</v>
      </c>
      <c r="D1206" t="s">
        <v>10</v>
      </c>
      <c r="E1206" t="str">
        <f>"$ 74,878"</f>
        <v>$ 74,878</v>
      </c>
      <c r="F1206" s="1">
        <v>5345</v>
      </c>
    </row>
    <row r="1207" spans="1:6">
      <c r="A1207" t="s">
        <v>1209</v>
      </c>
      <c r="B1207" t="str">
        <f>"0.00969%"</f>
        <v>0.00969%</v>
      </c>
      <c r="C1207" t="s">
        <v>10</v>
      </c>
      <c r="D1207" t="s">
        <v>10</v>
      </c>
      <c r="E1207" t="str">
        <f>"$ 74,790"</f>
        <v>$ 74,790</v>
      </c>
      <c r="F1207">
        <v>402</v>
      </c>
    </row>
    <row r="1208" spans="1:6">
      <c r="A1208" t="s">
        <v>1210</v>
      </c>
      <c r="B1208" t="str">
        <f>"0.00969%"</f>
        <v>0.00969%</v>
      </c>
      <c r="C1208" t="s">
        <v>10</v>
      </c>
      <c r="D1208" t="s">
        <v>10</v>
      </c>
      <c r="E1208" t="str">
        <f>"$ 74,797"</f>
        <v>$ 74,797</v>
      </c>
      <c r="F1208" s="1">
        <v>1908</v>
      </c>
    </row>
    <row r="1209" spans="1:6">
      <c r="A1209" t="s">
        <v>1211</v>
      </c>
      <c r="B1209" t="str">
        <f>"0.00969%"</f>
        <v>0.00969%</v>
      </c>
      <c r="C1209" t="s">
        <v>10</v>
      </c>
      <c r="D1209" t="s">
        <v>10</v>
      </c>
      <c r="E1209" t="str">
        <f>"$ 74,860"</f>
        <v>$ 74,860</v>
      </c>
      <c r="F1209" s="1">
        <v>2429</v>
      </c>
    </row>
    <row r="1210" spans="1:6">
      <c r="A1210" t="s">
        <v>1212</v>
      </c>
      <c r="B1210" t="str">
        <f>"0.00968%"</f>
        <v>0.00968%</v>
      </c>
      <c r="C1210" t="s">
        <v>10</v>
      </c>
      <c r="D1210" t="s">
        <v>10</v>
      </c>
      <c r="E1210" t="str">
        <f>"$ 74,765"</f>
        <v>$ 74,765</v>
      </c>
      <c r="F1210" s="1">
        <v>13399</v>
      </c>
    </row>
    <row r="1211" spans="1:6">
      <c r="A1211" t="s">
        <v>1213</v>
      </c>
      <c r="B1211" t="str">
        <f>"0.00968%"</f>
        <v>0.00968%</v>
      </c>
      <c r="C1211" t="s">
        <v>10</v>
      </c>
      <c r="D1211" t="s">
        <v>10</v>
      </c>
      <c r="E1211" t="str">
        <f>"$ 74,786"</f>
        <v>$ 74,786</v>
      </c>
      <c r="F1211" s="1">
        <v>1270</v>
      </c>
    </row>
    <row r="1212" spans="1:6">
      <c r="A1212" t="s">
        <v>1214</v>
      </c>
      <c r="B1212" t="str">
        <f>"0.00967%"</f>
        <v>0.00967%</v>
      </c>
      <c r="C1212" t="s">
        <v>10</v>
      </c>
      <c r="D1212" t="s">
        <v>10</v>
      </c>
      <c r="E1212" t="str">
        <f>"$ 74,690"</f>
        <v>$ 74,690</v>
      </c>
      <c r="F1212" s="1">
        <v>27677</v>
      </c>
    </row>
    <row r="1213" spans="1:6">
      <c r="A1213" t="s">
        <v>1215</v>
      </c>
      <c r="B1213" t="str">
        <f>"0.00965%"</f>
        <v>0.00965%</v>
      </c>
      <c r="C1213" t="s">
        <v>10</v>
      </c>
      <c r="D1213" t="s">
        <v>10</v>
      </c>
      <c r="E1213" t="str">
        <f>"$ 74,520"</f>
        <v>$ 74,520</v>
      </c>
      <c r="F1213">
        <v>389</v>
      </c>
    </row>
    <row r="1214" spans="1:6">
      <c r="A1214" t="s">
        <v>1216</v>
      </c>
      <c r="B1214" t="str">
        <f>"0.00963%"</f>
        <v>0.00963%</v>
      </c>
      <c r="C1214" t="s">
        <v>10</v>
      </c>
      <c r="D1214" t="s">
        <v>10</v>
      </c>
      <c r="E1214" t="str">
        <f>"$ 74,370"</f>
        <v>$ 74,370</v>
      </c>
      <c r="F1214">
        <v>850</v>
      </c>
    </row>
    <row r="1215" spans="1:6">
      <c r="A1215" t="s">
        <v>1217</v>
      </c>
      <c r="B1215" t="str">
        <f>"0.00960%"</f>
        <v>0.00960%</v>
      </c>
      <c r="C1215" t="s">
        <v>10</v>
      </c>
      <c r="D1215" t="s">
        <v>10</v>
      </c>
      <c r="E1215" t="str">
        <f>"$ 74,106"</f>
        <v>$ 74,106</v>
      </c>
      <c r="F1215">
        <v>287</v>
      </c>
    </row>
    <row r="1216" spans="1:6">
      <c r="A1216" t="s">
        <v>1218</v>
      </c>
      <c r="B1216" t="str">
        <f t="shared" ref="B1216:B1221" si="0">"0.00959%"</f>
        <v>0.00959%</v>
      </c>
      <c r="C1216" t="s">
        <v>10</v>
      </c>
      <c r="D1216" t="s">
        <v>10</v>
      </c>
      <c r="E1216" t="str">
        <f>"$ 74,054"</f>
        <v>$ 74,054</v>
      </c>
      <c r="F1216">
        <v>973</v>
      </c>
    </row>
    <row r="1217" spans="1:6">
      <c r="A1217" t="s">
        <v>1219</v>
      </c>
      <c r="B1217" t="str">
        <f t="shared" si="0"/>
        <v>0.00959%</v>
      </c>
      <c r="C1217" t="s">
        <v>10</v>
      </c>
      <c r="D1217" t="s">
        <v>10</v>
      </c>
      <c r="E1217" t="str">
        <f>"$ 74,018"</f>
        <v>$ 74,018</v>
      </c>
      <c r="F1217" s="1">
        <v>1188</v>
      </c>
    </row>
    <row r="1218" spans="1:6">
      <c r="A1218" t="s">
        <v>1220</v>
      </c>
      <c r="B1218" t="str">
        <f t="shared" si="0"/>
        <v>0.00959%</v>
      </c>
      <c r="C1218" t="s">
        <v>10</v>
      </c>
      <c r="D1218" t="s">
        <v>10</v>
      </c>
      <c r="E1218" t="str">
        <f>"$ 74,077"</f>
        <v>$ 74,077</v>
      </c>
      <c r="F1218" s="1">
        <v>4114</v>
      </c>
    </row>
    <row r="1219" spans="1:6">
      <c r="A1219" t="s">
        <v>1221</v>
      </c>
      <c r="B1219" t="str">
        <f t="shared" si="0"/>
        <v>0.00959%</v>
      </c>
      <c r="C1219" t="s">
        <v>10</v>
      </c>
      <c r="D1219" t="s">
        <v>10</v>
      </c>
      <c r="E1219" t="str">
        <f>"$ 74,030"</f>
        <v>$ 74,030</v>
      </c>
      <c r="F1219" s="1">
        <v>9715</v>
      </c>
    </row>
    <row r="1220" spans="1:6">
      <c r="A1220" t="s">
        <v>1222</v>
      </c>
      <c r="B1220" t="str">
        <f t="shared" si="0"/>
        <v>0.00959%</v>
      </c>
      <c r="C1220" t="s">
        <v>10</v>
      </c>
      <c r="D1220" t="s">
        <v>10</v>
      </c>
      <c r="E1220" t="str">
        <f>"$ 74,025"</f>
        <v>$ 74,025</v>
      </c>
      <c r="F1220" s="1">
        <v>5084</v>
      </c>
    </row>
    <row r="1221" spans="1:6">
      <c r="A1221" t="s">
        <v>1223</v>
      </c>
      <c r="B1221" t="str">
        <f t="shared" si="0"/>
        <v>0.00959%</v>
      </c>
      <c r="C1221" t="s">
        <v>10</v>
      </c>
      <c r="D1221" t="s">
        <v>10</v>
      </c>
      <c r="E1221" t="str">
        <f>"$ 74,050"</f>
        <v>$ 74,050</v>
      </c>
      <c r="F1221" s="1">
        <v>10550</v>
      </c>
    </row>
    <row r="1222" spans="1:6">
      <c r="A1222" t="s">
        <v>1224</v>
      </c>
      <c r="B1222" t="str">
        <f>"0.00957%"</f>
        <v>0.00957%</v>
      </c>
      <c r="C1222" t="s">
        <v>10</v>
      </c>
      <c r="D1222" t="s">
        <v>10</v>
      </c>
      <c r="E1222" t="str">
        <f>"$ 73,921"</f>
        <v>$ 73,921</v>
      </c>
      <c r="F1222" s="1">
        <v>2603</v>
      </c>
    </row>
    <row r="1223" spans="1:6">
      <c r="A1223" t="s">
        <v>1225</v>
      </c>
      <c r="B1223" t="str">
        <f>"0.00951%"</f>
        <v>0.00951%</v>
      </c>
      <c r="C1223" t="s">
        <v>10</v>
      </c>
      <c r="D1223" t="s">
        <v>10</v>
      </c>
      <c r="E1223" t="str">
        <f>"$ 73,438"</f>
        <v>$ 73,438</v>
      </c>
      <c r="F1223" s="1">
        <v>2327</v>
      </c>
    </row>
    <row r="1224" spans="1:6">
      <c r="A1224" t="s">
        <v>1226</v>
      </c>
      <c r="B1224" t="str">
        <f>"0.00951%"</f>
        <v>0.00951%</v>
      </c>
      <c r="C1224" t="s">
        <v>10</v>
      </c>
      <c r="D1224" t="s">
        <v>10</v>
      </c>
      <c r="E1224" t="str">
        <f>"$ 73,439"</f>
        <v>$ 73,439</v>
      </c>
      <c r="F1224" s="1">
        <v>1906</v>
      </c>
    </row>
    <row r="1225" spans="1:6">
      <c r="A1225" t="s">
        <v>1227</v>
      </c>
      <c r="B1225" t="str">
        <f>"0.00949%"</f>
        <v>0.00949%</v>
      </c>
      <c r="C1225" t="s">
        <v>10</v>
      </c>
      <c r="D1225" t="s">
        <v>10</v>
      </c>
      <c r="E1225" t="str">
        <f>"$ 73,299"</f>
        <v>$ 73,299</v>
      </c>
      <c r="F1225">
        <v>804</v>
      </c>
    </row>
    <row r="1226" spans="1:6">
      <c r="A1226" t="s">
        <v>1228</v>
      </c>
      <c r="B1226" t="str">
        <f>"0.00949%"</f>
        <v>0.00949%</v>
      </c>
      <c r="C1226" t="s">
        <v>10</v>
      </c>
      <c r="D1226" t="s">
        <v>10</v>
      </c>
      <c r="E1226" t="str">
        <f>"$ 73,261"</f>
        <v>$ 73,261</v>
      </c>
      <c r="F1226">
        <v>362</v>
      </c>
    </row>
    <row r="1227" spans="1:6">
      <c r="A1227" t="s">
        <v>1229</v>
      </c>
      <c r="B1227" t="str">
        <f>"0.00949%"</f>
        <v>0.00949%</v>
      </c>
      <c r="C1227" t="s">
        <v>10</v>
      </c>
      <c r="D1227" t="s">
        <v>10</v>
      </c>
      <c r="E1227" t="str">
        <f>"$ 73,300"</f>
        <v>$ 73,300</v>
      </c>
      <c r="F1227">
        <v>624</v>
      </c>
    </row>
    <row r="1228" spans="1:6">
      <c r="A1228" t="s">
        <v>1230</v>
      </c>
      <c r="B1228" t="str">
        <f>"0.00947%"</f>
        <v>0.00947%</v>
      </c>
      <c r="C1228" t="s">
        <v>10</v>
      </c>
      <c r="D1228" t="s">
        <v>10</v>
      </c>
      <c r="E1228" t="str">
        <f>"$ 73,140"</f>
        <v>$ 73,140</v>
      </c>
      <c r="F1228" s="1">
        <v>1114</v>
      </c>
    </row>
    <row r="1229" spans="1:6">
      <c r="A1229" t="s">
        <v>1231</v>
      </c>
      <c r="B1229" t="str">
        <f>"0.00946%"</f>
        <v>0.00946%</v>
      </c>
      <c r="C1229" t="s">
        <v>10</v>
      </c>
      <c r="D1229" t="s">
        <v>10</v>
      </c>
      <c r="E1229" t="str">
        <f>"$ 73,081"</f>
        <v>$ 73,081</v>
      </c>
      <c r="F1229">
        <v>42</v>
      </c>
    </row>
    <row r="1230" spans="1:6">
      <c r="A1230" t="s">
        <v>1232</v>
      </c>
      <c r="B1230" t="str">
        <f>"0.00944%"</f>
        <v>0.00944%</v>
      </c>
      <c r="C1230" t="s">
        <v>10</v>
      </c>
      <c r="D1230" t="s">
        <v>10</v>
      </c>
      <c r="E1230" t="str">
        <f>"$ 72,866"</f>
        <v>$ 72,866</v>
      </c>
      <c r="F1230">
        <v>447</v>
      </c>
    </row>
    <row r="1231" spans="1:6">
      <c r="A1231" t="s">
        <v>1233</v>
      </c>
      <c r="B1231" t="str">
        <f>"0.00943%"</f>
        <v>0.00943%</v>
      </c>
      <c r="C1231" t="s">
        <v>10</v>
      </c>
      <c r="D1231" t="s">
        <v>10</v>
      </c>
      <c r="E1231" t="str">
        <f>"$ 72,797"</f>
        <v>$ 72,797</v>
      </c>
      <c r="F1231" s="1">
        <v>1006</v>
      </c>
    </row>
    <row r="1232" spans="1:6">
      <c r="A1232" t="s">
        <v>1234</v>
      </c>
      <c r="B1232" t="str">
        <f>"0.00943%"</f>
        <v>0.00943%</v>
      </c>
      <c r="C1232" t="s">
        <v>10</v>
      </c>
      <c r="D1232" t="s">
        <v>10</v>
      </c>
      <c r="E1232" t="str">
        <f>"$ 72,813"</f>
        <v>$ 72,813</v>
      </c>
      <c r="F1232" s="1">
        <v>9355</v>
      </c>
    </row>
    <row r="1233" spans="1:6">
      <c r="A1233" t="s">
        <v>1235</v>
      </c>
      <c r="B1233" t="str">
        <f>"0.00942%"</f>
        <v>0.00942%</v>
      </c>
      <c r="C1233" t="s">
        <v>10</v>
      </c>
      <c r="D1233" t="s">
        <v>10</v>
      </c>
      <c r="E1233" t="str">
        <f>"$ 72,726"</f>
        <v>$ 72,726</v>
      </c>
      <c r="F1233" s="1">
        <v>1243</v>
      </c>
    </row>
    <row r="1234" spans="1:6">
      <c r="A1234" t="s">
        <v>1236</v>
      </c>
      <c r="B1234" t="str">
        <f>"0.00942%"</f>
        <v>0.00942%</v>
      </c>
      <c r="C1234" t="s">
        <v>10</v>
      </c>
      <c r="D1234" t="s">
        <v>10</v>
      </c>
      <c r="E1234" t="str">
        <f>"$ 72,759"</f>
        <v>$ 72,759</v>
      </c>
      <c r="F1234" s="1">
        <v>1452</v>
      </c>
    </row>
    <row r="1235" spans="1:6">
      <c r="A1235" t="s">
        <v>1237</v>
      </c>
      <c r="B1235" t="str">
        <f>"0.00941%"</f>
        <v>0.00941%</v>
      </c>
      <c r="C1235" t="s">
        <v>10</v>
      </c>
      <c r="D1235" t="s">
        <v>10</v>
      </c>
      <c r="E1235" t="str">
        <f>"$ 72,646"</f>
        <v>$ 72,646</v>
      </c>
      <c r="F1235" s="1">
        <v>4470</v>
      </c>
    </row>
    <row r="1236" spans="1:6">
      <c r="A1236" t="s">
        <v>1238</v>
      </c>
      <c r="B1236" t="str">
        <f>"0.00940%"</f>
        <v>0.00940%</v>
      </c>
      <c r="C1236" t="s">
        <v>10</v>
      </c>
      <c r="D1236" t="s">
        <v>10</v>
      </c>
      <c r="E1236" t="str">
        <f>"$ 72,612"</f>
        <v>$ 72,612</v>
      </c>
      <c r="F1236" s="1">
        <v>1026</v>
      </c>
    </row>
    <row r="1237" spans="1:6">
      <c r="A1237" t="s">
        <v>1239</v>
      </c>
      <c r="B1237" t="str">
        <f>"0.00940%"</f>
        <v>0.00940%</v>
      </c>
      <c r="C1237" t="s">
        <v>10</v>
      </c>
      <c r="D1237" t="s">
        <v>10</v>
      </c>
      <c r="E1237" t="str">
        <f>"$ 72,579"</f>
        <v>$ 72,579</v>
      </c>
      <c r="F1237" s="1">
        <v>2604</v>
      </c>
    </row>
    <row r="1238" spans="1:6">
      <c r="A1238" t="s">
        <v>1240</v>
      </c>
      <c r="B1238" t="str">
        <f>"0.00940%"</f>
        <v>0.00940%</v>
      </c>
      <c r="C1238" t="s">
        <v>10</v>
      </c>
      <c r="D1238" t="s">
        <v>10</v>
      </c>
      <c r="E1238" t="str">
        <f>"$ 72,572"</f>
        <v>$ 72,572</v>
      </c>
      <c r="F1238" s="1">
        <v>200085</v>
      </c>
    </row>
    <row r="1239" spans="1:6">
      <c r="A1239" t="s">
        <v>1241</v>
      </c>
      <c r="B1239" t="str">
        <f>"0.00938%"</f>
        <v>0.00938%</v>
      </c>
      <c r="C1239" t="s">
        <v>10</v>
      </c>
      <c r="D1239" t="s">
        <v>10</v>
      </c>
      <c r="E1239" t="str">
        <f>"$ 72,423"</f>
        <v>$ 72,423</v>
      </c>
      <c r="F1239" s="1">
        <v>1484</v>
      </c>
    </row>
    <row r="1240" spans="1:6">
      <c r="A1240" t="s">
        <v>1242</v>
      </c>
      <c r="B1240" t="str">
        <f>"0.00938%"</f>
        <v>0.00938%</v>
      </c>
      <c r="C1240" t="s">
        <v>10</v>
      </c>
      <c r="D1240" t="s">
        <v>10</v>
      </c>
      <c r="E1240" t="str">
        <f>"$ 72,437"</f>
        <v>$ 72,437</v>
      </c>
      <c r="F1240" s="1">
        <v>2983</v>
      </c>
    </row>
    <row r="1241" spans="1:6">
      <c r="A1241" t="s">
        <v>1243</v>
      </c>
      <c r="B1241" t="str">
        <f>"0.00936%"</f>
        <v>0.00936%</v>
      </c>
      <c r="C1241" t="s">
        <v>10</v>
      </c>
      <c r="D1241" t="s">
        <v>10</v>
      </c>
      <c r="E1241" t="str">
        <f>"$ 72,309"</f>
        <v>$ 72,309</v>
      </c>
      <c r="F1241" s="1">
        <v>1292</v>
      </c>
    </row>
    <row r="1242" spans="1:6">
      <c r="A1242" t="s">
        <v>1244</v>
      </c>
      <c r="B1242" t="str">
        <f>"0.00935%"</f>
        <v>0.00935%</v>
      </c>
      <c r="C1242" t="s">
        <v>10</v>
      </c>
      <c r="D1242" t="s">
        <v>10</v>
      </c>
      <c r="E1242" t="str">
        <f>"$ 72,172"</f>
        <v>$ 72,172</v>
      </c>
      <c r="F1242" s="1">
        <v>1039</v>
      </c>
    </row>
    <row r="1243" spans="1:6">
      <c r="A1243" t="s">
        <v>1245</v>
      </c>
      <c r="B1243" t="str">
        <f>"0.00934%"</f>
        <v>0.00934%</v>
      </c>
      <c r="C1243" t="s">
        <v>10</v>
      </c>
      <c r="D1243" t="s">
        <v>10</v>
      </c>
      <c r="E1243" t="str">
        <f>"$ 72,118"</f>
        <v>$ 72,118</v>
      </c>
      <c r="F1243" s="1">
        <v>10594</v>
      </c>
    </row>
    <row r="1244" spans="1:6">
      <c r="A1244" t="s">
        <v>1246</v>
      </c>
      <c r="B1244" t="str">
        <f>"0.00932%"</f>
        <v>0.00932%</v>
      </c>
      <c r="C1244" t="s">
        <v>10</v>
      </c>
      <c r="D1244" t="s">
        <v>10</v>
      </c>
      <c r="E1244" t="str">
        <f>"$ 71,985"</f>
        <v>$ 71,985</v>
      </c>
      <c r="F1244" s="1">
        <v>8990</v>
      </c>
    </row>
    <row r="1245" spans="1:6">
      <c r="A1245" t="s">
        <v>1247</v>
      </c>
      <c r="B1245" t="str">
        <f>"0.00931%"</f>
        <v>0.00931%</v>
      </c>
      <c r="C1245" t="s">
        <v>10</v>
      </c>
      <c r="D1245" t="s">
        <v>10</v>
      </c>
      <c r="E1245" t="str">
        <f>"$ 71,917"</f>
        <v>$ 71,917</v>
      </c>
      <c r="F1245">
        <v>600</v>
      </c>
    </row>
    <row r="1246" spans="1:6">
      <c r="A1246" t="s">
        <v>1248</v>
      </c>
      <c r="B1246" t="str">
        <f>"0.00931%"</f>
        <v>0.00931%</v>
      </c>
      <c r="C1246" t="s">
        <v>10</v>
      </c>
      <c r="D1246" t="s">
        <v>10</v>
      </c>
      <c r="E1246" t="str">
        <f>"$ 71,922"</f>
        <v>$ 71,922</v>
      </c>
      <c r="F1246">
        <v>195</v>
      </c>
    </row>
    <row r="1247" spans="1:6">
      <c r="A1247" t="s">
        <v>1249</v>
      </c>
      <c r="B1247" t="str">
        <f>"0.00929%"</f>
        <v>0.00929%</v>
      </c>
      <c r="C1247" t="s">
        <v>10</v>
      </c>
      <c r="D1247" t="s">
        <v>10</v>
      </c>
      <c r="E1247" t="str">
        <f>"$ 71,771"</f>
        <v>$ 71,771</v>
      </c>
      <c r="F1247">
        <v>503</v>
      </c>
    </row>
    <row r="1248" spans="1:6">
      <c r="A1248" t="s">
        <v>1250</v>
      </c>
      <c r="B1248" t="str">
        <f>"0.00928%"</f>
        <v>0.00928%</v>
      </c>
      <c r="C1248" t="s">
        <v>10</v>
      </c>
      <c r="D1248" t="s">
        <v>10</v>
      </c>
      <c r="E1248" t="str">
        <f>"$ 71,676"</f>
        <v>$ 71,676</v>
      </c>
      <c r="F1248" s="1">
        <v>9730</v>
      </c>
    </row>
    <row r="1249" spans="1:6">
      <c r="A1249" t="s">
        <v>1251</v>
      </c>
      <c r="B1249" t="str">
        <f>"0.00928%"</f>
        <v>0.00928%</v>
      </c>
      <c r="C1249" t="s">
        <v>10</v>
      </c>
      <c r="D1249" t="s">
        <v>10</v>
      </c>
      <c r="E1249" t="str">
        <f>"$ 71,651"</f>
        <v>$ 71,651</v>
      </c>
      <c r="F1249">
        <v>66</v>
      </c>
    </row>
    <row r="1250" spans="1:6">
      <c r="A1250" t="s">
        <v>1252</v>
      </c>
      <c r="B1250" t="str">
        <f>"0.00928%"</f>
        <v>0.00928%</v>
      </c>
      <c r="C1250" t="s">
        <v>10</v>
      </c>
      <c r="D1250" t="s">
        <v>10</v>
      </c>
      <c r="E1250" t="str">
        <f>"$ 71,682"</f>
        <v>$ 71,682</v>
      </c>
      <c r="F1250" s="1">
        <v>9993</v>
      </c>
    </row>
    <row r="1251" spans="1:6">
      <c r="A1251" t="s">
        <v>1253</v>
      </c>
      <c r="B1251" t="str">
        <f>"0.00927%"</f>
        <v>0.00927%</v>
      </c>
      <c r="C1251" t="s">
        <v>10</v>
      </c>
      <c r="D1251" t="s">
        <v>10</v>
      </c>
      <c r="E1251" t="str">
        <f>"$ 71,555"</f>
        <v>$ 71,555</v>
      </c>
      <c r="F1251">
        <v>598</v>
      </c>
    </row>
    <row r="1252" spans="1:6">
      <c r="A1252" t="s">
        <v>1254</v>
      </c>
      <c r="B1252" t="str">
        <f>"0.00926%"</f>
        <v>0.00926%</v>
      </c>
      <c r="C1252" t="s">
        <v>10</v>
      </c>
      <c r="D1252" t="s">
        <v>10</v>
      </c>
      <c r="E1252" t="str">
        <f>"$ 71,526"</f>
        <v>$ 71,526</v>
      </c>
      <c r="F1252" s="1">
        <v>1378</v>
      </c>
    </row>
    <row r="1253" spans="1:6">
      <c r="A1253" t="s">
        <v>1255</v>
      </c>
      <c r="B1253" t="str">
        <f>"0.00926%"</f>
        <v>0.00926%</v>
      </c>
      <c r="C1253" t="s">
        <v>10</v>
      </c>
      <c r="D1253" t="s">
        <v>10</v>
      </c>
      <c r="E1253" t="str">
        <f>"$ 71,500"</f>
        <v>$ 71,500</v>
      </c>
      <c r="F1253" s="1">
        <v>2745</v>
      </c>
    </row>
    <row r="1254" spans="1:6">
      <c r="A1254" t="s">
        <v>1256</v>
      </c>
      <c r="B1254" t="str">
        <f>"0.00924%"</f>
        <v>0.00924%</v>
      </c>
      <c r="C1254" t="s">
        <v>10</v>
      </c>
      <c r="D1254" t="s">
        <v>10</v>
      </c>
      <c r="E1254" t="str">
        <f>"$ 71,345"</f>
        <v>$ 71,345</v>
      </c>
      <c r="F1254">
        <v>437</v>
      </c>
    </row>
    <row r="1255" spans="1:6">
      <c r="A1255" t="s">
        <v>1257</v>
      </c>
      <c r="B1255" t="str">
        <f>"0.00922%"</f>
        <v>0.00922%</v>
      </c>
      <c r="C1255" t="s">
        <v>10</v>
      </c>
      <c r="D1255" t="s">
        <v>10</v>
      </c>
      <c r="E1255" t="str">
        <f>"$ 71,200"</f>
        <v>$ 71,200</v>
      </c>
      <c r="F1255">
        <v>316</v>
      </c>
    </row>
    <row r="1256" spans="1:6">
      <c r="A1256" t="s">
        <v>1258</v>
      </c>
      <c r="B1256" t="str">
        <f>"0.00921%"</f>
        <v>0.00921%</v>
      </c>
      <c r="C1256" t="s">
        <v>10</v>
      </c>
      <c r="D1256" t="s">
        <v>10</v>
      </c>
      <c r="E1256" t="str">
        <f>"$ 71,153"</f>
        <v>$ 71,153</v>
      </c>
      <c r="F1256">
        <v>214</v>
      </c>
    </row>
    <row r="1257" spans="1:6">
      <c r="A1257" t="s">
        <v>1259</v>
      </c>
      <c r="B1257" t="str">
        <f>"0.00921%"</f>
        <v>0.00921%</v>
      </c>
      <c r="C1257" t="s">
        <v>10</v>
      </c>
      <c r="D1257" t="s">
        <v>10</v>
      </c>
      <c r="E1257" t="str">
        <f>"$ 71,094"</f>
        <v>$ 71,094</v>
      </c>
      <c r="F1257" s="1">
        <v>1035</v>
      </c>
    </row>
    <row r="1258" spans="1:6">
      <c r="A1258" t="s">
        <v>1260</v>
      </c>
      <c r="B1258" t="str">
        <f>"0.00921%"</f>
        <v>0.00921%</v>
      </c>
      <c r="C1258" t="s">
        <v>10</v>
      </c>
      <c r="D1258" t="s">
        <v>10</v>
      </c>
      <c r="E1258" t="str">
        <f>"$ 71,131"</f>
        <v>$ 71,131</v>
      </c>
      <c r="F1258" s="1">
        <v>5159</v>
      </c>
    </row>
    <row r="1259" spans="1:6">
      <c r="A1259" t="s">
        <v>1261</v>
      </c>
      <c r="B1259" t="str">
        <f>"0.00919%"</f>
        <v>0.00919%</v>
      </c>
      <c r="C1259" t="s">
        <v>10</v>
      </c>
      <c r="D1259" t="s">
        <v>10</v>
      </c>
      <c r="E1259" t="str">
        <f>"$ 70,989"</f>
        <v>$ 70,989</v>
      </c>
      <c r="F1259" s="1">
        <v>7571</v>
      </c>
    </row>
    <row r="1260" spans="1:6">
      <c r="A1260" t="s">
        <v>1262</v>
      </c>
      <c r="B1260" t="str">
        <f>"0.00918%"</f>
        <v>0.00918%</v>
      </c>
      <c r="C1260" t="s">
        <v>10</v>
      </c>
      <c r="D1260" t="s">
        <v>10</v>
      </c>
      <c r="E1260" t="str">
        <f>"$ 70,862"</f>
        <v>$ 70,862</v>
      </c>
      <c r="F1260" s="1">
        <v>2405</v>
      </c>
    </row>
    <row r="1261" spans="1:6">
      <c r="A1261" t="s">
        <v>1263</v>
      </c>
      <c r="B1261" t="str">
        <f>"0.00918%"</f>
        <v>0.00918%</v>
      </c>
      <c r="C1261" t="s">
        <v>10</v>
      </c>
      <c r="D1261" t="s">
        <v>10</v>
      </c>
      <c r="E1261" t="str">
        <f>"$ 70,904"</f>
        <v>$ 70,904</v>
      </c>
      <c r="F1261" s="1">
        <v>3110</v>
      </c>
    </row>
    <row r="1262" spans="1:6">
      <c r="A1262" t="s">
        <v>1264</v>
      </c>
      <c r="B1262" t="str">
        <f>"0.00917%"</f>
        <v>0.00917%</v>
      </c>
      <c r="C1262" t="s">
        <v>10</v>
      </c>
      <c r="D1262" t="s">
        <v>10</v>
      </c>
      <c r="E1262" t="str">
        <f>"$ 70,823"</f>
        <v>$ 70,823</v>
      </c>
      <c r="F1262">
        <v>552</v>
      </c>
    </row>
    <row r="1263" spans="1:6">
      <c r="A1263" t="s">
        <v>1265</v>
      </c>
      <c r="B1263" t="str">
        <f>"0.00917%"</f>
        <v>0.00917%</v>
      </c>
      <c r="C1263" t="s">
        <v>10</v>
      </c>
      <c r="D1263" t="s">
        <v>10</v>
      </c>
      <c r="E1263" t="str">
        <f>"$ 70,775"</f>
        <v>$ 70,775</v>
      </c>
      <c r="F1263" s="1">
        <v>1004</v>
      </c>
    </row>
    <row r="1264" spans="1:6">
      <c r="A1264" t="s">
        <v>1266</v>
      </c>
      <c r="B1264" t="str">
        <f>"0.00916%"</f>
        <v>0.00916%</v>
      </c>
      <c r="C1264" t="s">
        <v>10</v>
      </c>
      <c r="D1264" t="s">
        <v>10</v>
      </c>
      <c r="E1264" t="str">
        <f>"$ 70,754"</f>
        <v>$ 70,754</v>
      </c>
      <c r="F1264" s="1">
        <v>12772</v>
      </c>
    </row>
    <row r="1265" spans="1:6">
      <c r="A1265" t="s">
        <v>1267</v>
      </c>
      <c r="B1265" t="str">
        <f>"0.00916%"</f>
        <v>0.00916%</v>
      </c>
      <c r="C1265" t="s">
        <v>10</v>
      </c>
      <c r="D1265" t="s">
        <v>10</v>
      </c>
      <c r="E1265" t="str">
        <f>"$ 70,714"</f>
        <v>$ 70,714</v>
      </c>
      <c r="F1265">
        <v>861</v>
      </c>
    </row>
    <row r="1266" spans="1:6">
      <c r="A1266" t="s">
        <v>1268</v>
      </c>
      <c r="B1266" t="str">
        <f>"0.00914%"</f>
        <v>0.00914%</v>
      </c>
      <c r="C1266" t="s">
        <v>10</v>
      </c>
      <c r="D1266" t="s">
        <v>10</v>
      </c>
      <c r="E1266" t="str">
        <f>"$ 70,554"</f>
        <v>$ 70,554</v>
      </c>
      <c r="F1266">
        <v>227</v>
      </c>
    </row>
    <row r="1267" spans="1:6">
      <c r="A1267" t="s">
        <v>1269</v>
      </c>
      <c r="B1267" t="str">
        <f>"0.00912%"</f>
        <v>0.00912%</v>
      </c>
      <c r="C1267" t="s">
        <v>10</v>
      </c>
      <c r="D1267" t="s">
        <v>10</v>
      </c>
      <c r="E1267" t="str">
        <f>"$ 70,386"</f>
        <v>$ 70,386</v>
      </c>
      <c r="F1267" s="1">
        <v>4322</v>
      </c>
    </row>
    <row r="1268" spans="1:6">
      <c r="A1268" t="s">
        <v>1270</v>
      </c>
      <c r="B1268" t="str">
        <f>"0.00911%"</f>
        <v>0.00911%</v>
      </c>
      <c r="C1268" t="s">
        <v>10</v>
      </c>
      <c r="D1268" t="s">
        <v>10</v>
      </c>
      <c r="E1268" t="str">
        <f>"$ 70,313"</f>
        <v>$ 70,313</v>
      </c>
      <c r="F1268">
        <v>957</v>
      </c>
    </row>
    <row r="1269" spans="1:6">
      <c r="A1269" t="s">
        <v>1271</v>
      </c>
      <c r="B1269" t="str">
        <f>"0.00908%"</f>
        <v>0.00908%</v>
      </c>
      <c r="C1269" t="s">
        <v>10</v>
      </c>
      <c r="D1269" t="s">
        <v>10</v>
      </c>
      <c r="E1269" t="str">
        <f>"$ 70,083"</f>
        <v>$ 70,083</v>
      </c>
      <c r="F1269" s="1">
        <v>1236</v>
      </c>
    </row>
    <row r="1270" spans="1:6">
      <c r="A1270" t="s">
        <v>1272</v>
      </c>
      <c r="B1270" t="str">
        <f>"0.00908%"</f>
        <v>0.00908%</v>
      </c>
      <c r="C1270" t="s">
        <v>10</v>
      </c>
      <c r="D1270" t="s">
        <v>10</v>
      </c>
      <c r="E1270" t="str">
        <f>"$ 70,124"</f>
        <v>$ 70,124</v>
      </c>
      <c r="F1270" s="1">
        <v>4701</v>
      </c>
    </row>
    <row r="1271" spans="1:6">
      <c r="A1271" t="s">
        <v>1273</v>
      </c>
      <c r="B1271" t="str">
        <f>"0.00907%"</f>
        <v>0.00907%</v>
      </c>
      <c r="C1271" t="s">
        <v>10</v>
      </c>
      <c r="D1271" t="s">
        <v>10</v>
      </c>
      <c r="E1271" t="str">
        <f>"$ 70,054"</f>
        <v>$ 70,054</v>
      </c>
      <c r="F1271" s="1">
        <v>24360</v>
      </c>
    </row>
    <row r="1272" spans="1:6">
      <c r="A1272" t="s">
        <v>1274</v>
      </c>
      <c r="B1272" t="str">
        <f>"0.00906%"</f>
        <v>0.00906%</v>
      </c>
      <c r="C1272" t="s">
        <v>10</v>
      </c>
      <c r="D1272" t="s">
        <v>10</v>
      </c>
      <c r="E1272" t="str">
        <f>"$ 69,996"</f>
        <v>$ 69,996</v>
      </c>
      <c r="F1272">
        <v>808</v>
      </c>
    </row>
    <row r="1273" spans="1:6">
      <c r="A1273" t="s">
        <v>1275</v>
      </c>
      <c r="B1273" t="str">
        <f>"0.00906%"</f>
        <v>0.00906%</v>
      </c>
      <c r="C1273" t="s">
        <v>10</v>
      </c>
      <c r="D1273" t="s">
        <v>10</v>
      </c>
      <c r="E1273" t="str">
        <f>"$ 69,970"</f>
        <v>$ 69,970</v>
      </c>
      <c r="F1273" s="1">
        <v>2101</v>
      </c>
    </row>
    <row r="1274" spans="1:6">
      <c r="A1274" t="s">
        <v>1276</v>
      </c>
      <c r="B1274" t="str">
        <f>"0.00905%"</f>
        <v>0.00905%</v>
      </c>
      <c r="C1274" t="s">
        <v>10</v>
      </c>
      <c r="D1274" t="s">
        <v>10</v>
      </c>
      <c r="E1274" t="str">
        <f>"$ 69,882"</f>
        <v>$ 69,882</v>
      </c>
      <c r="F1274" s="1">
        <v>3096</v>
      </c>
    </row>
    <row r="1275" spans="1:6">
      <c r="A1275" t="s">
        <v>1277</v>
      </c>
      <c r="B1275" t="str">
        <f>"0.00905%"</f>
        <v>0.00905%</v>
      </c>
      <c r="C1275" t="s">
        <v>10</v>
      </c>
      <c r="D1275" t="s">
        <v>10</v>
      </c>
      <c r="E1275" t="str">
        <f>"$ 69,913"</f>
        <v>$ 69,913</v>
      </c>
      <c r="F1275" s="1">
        <v>4647</v>
      </c>
    </row>
    <row r="1276" spans="1:6">
      <c r="A1276" t="s">
        <v>1278</v>
      </c>
      <c r="B1276" t="str">
        <f>"0.00905%"</f>
        <v>0.00905%</v>
      </c>
      <c r="C1276" t="s">
        <v>10</v>
      </c>
      <c r="D1276" t="s">
        <v>10</v>
      </c>
      <c r="E1276" t="str">
        <f>"$ 69,881"</f>
        <v>$ 69,881</v>
      </c>
      <c r="F1276" s="1">
        <v>4317</v>
      </c>
    </row>
    <row r="1277" spans="1:6">
      <c r="A1277" t="s">
        <v>1279</v>
      </c>
      <c r="B1277" t="str">
        <f>"0.00901%"</f>
        <v>0.00901%</v>
      </c>
      <c r="C1277" t="s">
        <v>10</v>
      </c>
      <c r="D1277" t="s">
        <v>10</v>
      </c>
      <c r="E1277" t="str">
        <f>"$ 69,591"</f>
        <v>$ 69,591</v>
      </c>
      <c r="F1277" s="1">
        <v>15961</v>
      </c>
    </row>
    <row r="1278" spans="1:6">
      <c r="A1278" t="s">
        <v>1280</v>
      </c>
      <c r="B1278" t="str">
        <f>"0.00901%"</f>
        <v>0.00901%</v>
      </c>
      <c r="C1278" t="s">
        <v>10</v>
      </c>
      <c r="D1278" t="s">
        <v>10</v>
      </c>
      <c r="E1278" t="str">
        <f>"$ 69,603"</f>
        <v>$ 69,603</v>
      </c>
      <c r="F1278" s="1">
        <v>2771</v>
      </c>
    </row>
    <row r="1279" spans="1:6">
      <c r="A1279" t="s">
        <v>1281</v>
      </c>
      <c r="B1279" t="str">
        <f>"0.00899%"</f>
        <v>0.00899%</v>
      </c>
      <c r="C1279" t="s">
        <v>10</v>
      </c>
      <c r="D1279" t="s">
        <v>10</v>
      </c>
      <c r="E1279" t="str">
        <f>"$ 69,390"</f>
        <v>$ 69,390</v>
      </c>
      <c r="F1279" s="1">
        <v>1334</v>
      </c>
    </row>
    <row r="1280" spans="1:6">
      <c r="A1280" t="s">
        <v>1282</v>
      </c>
      <c r="B1280" t="str">
        <f>"0.00899%"</f>
        <v>0.00899%</v>
      </c>
      <c r="C1280" t="s">
        <v>10</v>
      </c>
      <c r="D1280" t="s">
        <v>10</v>
      </c>
      <c r="E1280" t="str">
        <f>"$ 69,402"</f>
        <v>$ 69,402</v>
      </c>
      <c r="F1280" s="1">
        <v>13624</v>
      </c>
    </row>
    <row r="1281" spans="1:6">
      <c r="A1281" t="s">
        <v>1283</v>
      </c>
      <c r="B1281" t="str">
        <f>"0.00896%"</f>
        <v>0.00896%</v>
      </c>
      <c r="C1281" t="s">
        <v>10</v>
      </c>
      <c r="D1281" t="s">
        <v>10</v>
      </c>
      <c r="E1281" t="str">
        <f>"$ 69,155"</f>
        <v>$ 69,155</v>
      </c>
      <c r="F1281">
        <v>940</v>
      </c>
    </row>
    <row r="1282" spans="1:6">
      <c r="A1282" t="s">
        <v>1284</v>
      </c>
      <c r="B1282" t="str">
        <f>"0.00895%"</f>
        <v>0.00895%</v>
      </c>
      <c r="C1282" t="s">
        <v>10</v>
      </c>
      <c r="D1282" t="s">
        <v>10</v>
      </c>
      <c r="E1282" t="str">
        <f>"$ 69,144"</f>
        <v>$ 69,144</v>
      </c>
      <c r="F1282">
        <v>345</v>
      </c>
    </row>
    <row r="1283" spans="1:6">
      <c r="A1283" t="s">
        <v>1285</v>
      </c>
      <c r="B1283" t="str">
        <f>"0.00893%"</f>
        <v>0.00893%</v>
      </c>
      <c r="C1283" t="s">
        <v>10</v>
      </c>
      <c r="D1283" t="s">
        <v>10</v>
      </c>
      <c r="E1283" t="str">
        <f>"$ 68,969"</f>
        <v>$ 68,969</v>
      </c>
      <c r="F1283" s="1">
        <v>2583</v>
      </c>
    </row>
    <row r="1284" spans="1:6">
      <c r="A1284" t="s">
        <v>1286</v>
      </c>
      <c r="B1284" t="str">
        <f>"0.00892%"</f>
        <v>0.00892%</v>
      </c>
      <c r="C1284" t="s">
        <v>10</v>
      </c>
      <c r="D1284" t="s">
        <v>10</v>
      </c>
      <c r="E1284" t="str">
        <f>"$ 68,847"</f>
        <v>$ 68,847</v>
      </c>
      <c r="F1284" s="1">
        <v>2881</v>
      </c>
    </row>
    <row r="1285" spans="1:6">
      <c r="A1285" t="s">
        <v>1287</v>
      </c>
      <c r="B1285" t="str">
        <f>"0.00889%"</f>
        <v>0.00889%</v>
      </c>
      <c r="C1285" t="s">
        <v>10</v>
      </c>
      <c r="D1285" t="s">
        <v>10</v>
      </c>
      <c r="E1285" t="str">
        <f>"$ 68,672"</f>
        <v>$ 68,672</v>
      </c>
      <c r="F1285">
        <v>543</v>
      </c>
    </row>
    <row r="1286" spans="1:6">
      <c r="A1286" t="s">
        <v>1288</v>
      </c>
      <c r="B1286" t="str">
        <f>"0.00889%"</f>
        <v>0.00889%</v>
      </c>
      <c r="C1286" t="s">
        <v>10</v>
      </c>
      <c r="D1286" t="s">
        <v>10</v>
      </c>
      <c r="E1286" t="str">
        <f>"$ 68,635"</f>
        <v>$ 68,635</v>
      </c>
      <c r="F1286" s="1">
        <v>1312</v>
      </c>
    </row>
    <row r="1287" spans="1:6">
      <c r="A1287" t="s">
        <v>1289</v>
      </c>
      <c r="B1287" t="str">
        <f>"0.00889%"</f>
        <v>0.00889%</v>
      </c>
      <c r="C1287" t="s">
        <v>10</v>
      </c>
      <c r="D1287" t="s">
        <v>10</v>
      </c>
      <c r="E1287" t="str">
        <f>"$ 68,643"</f>
        <v>$ 68,643</v>
      </c>
      <c r="F1287" s="1">
        <v>1518</v>
      </c>
    </row>
    <row r="1288" spans="1:6">
      <c r="A1288" t="s">
        <v>1290</v>
      </c>
      <c r="B1288" t="str">
        <f>"0.00887%"</f>
        <v>0.00887%</v>
      </c>
      <c r="C1288" t="s">
        <v>10</v>
      </c>
      <c r="D1288" t="s">
        <v>10</v>
      </c>
      <c r="E1288" t="str">
        <f>"$ 68,493"</f>
        <v>$ 68,493</v>
      </c>
      <c r="F1288" s="1">
        <v>1355</v>
      </c>
    </row>
    <row r="1289" spans="1:6">
      <c r="A1289" t="s">
        <v>1291</v>
      </c>
      <c r="B1289" t="str">
        <f>"0.00887%"</f>
        <v>0.00887%</v>
      </c>
      <c r="C1289" t="s">
        <v>10</v>
      </c>
      <c r="D1289" t="s">
        <v>10</v>
      </c>
      <c r="E1289" t="str">
        <f>"$ 68,467"</f>
        <v>$ 68,467</v>
      </c>
      <c r="F1289" s="1">
        <v>1023</v>
      </c>
    </row>
    <row r="1290" spans="1:6">
      <c r="A1290" t="s">
        <v>1292</v>
      </c>
      <c r="B1290" t="str">
        <f>"0.00885%"</f>
        <v>0.00885%</v>
      </c>
      <c r="C1290" t="s">
        <v>10</v>
      </c>
      <c r="D1290" t="s">
        <v>10</v>
      </c>
      <c r="E1290" t="str">
        <f>"$ 68,378"</f>
        <v>$ 68,378</v>
      </c>
      <c r="F1290" s="1">
        <v>8497</v>
      </c>
    </row>
    <row r="1291" spans="1:6">
      <c r="A1291" t="s">
        <v>1293</v>
      </c>
      <c r="B1291" t="str">
        <f>"0.00884%"</f>
        <v>0.00884%</v>
      </c>
      <c r="C1291" t="s">
        <v>10</v>
      </c>
      <c r="D1291" t="s">
        <v>10</v>
      </c>
      <c r="E1291" t="str">
        <f>"$ 68,294"</f>
        <v>$ 68,294</v>
      </c>
      <c r="F1291" s="1">
        <v>1011</v>
      </c>
    </row>
    <row r="1292" spans="1:6">
      <c r="A1292" t="s">
        <v>1294</v>
      </c>
      <c r="B1292" t="str">
        <f>"0.00884%"</f>
        <v>0.00884%</v>
      </c>
      <c r="C1292" t="s">
        <v>10</v>
      </c>
      <c r="D1292" t="s">
        <v>10</v>
      </c>
      <c r="E1292" t="str">
        <f>"$ 68,298"</f>
        <v>$ 68,298</v>
      </c>
      <c r="F1292">
        <v>374</v>
      </c>
    </row>
    <row r="1293" spans="1:6">
      <c r="A1293" t="s">
        <v>1295</v>
      </c>
      <c r="B1293" t="str">
        <f>"0.00884%"</f>
        <v>0.00884%</v>
      </c>
      <c r="C1293" t="s">
        <v>10</v>
      </c>
      <c r="D1293" t="s">
        <v>10</v>
      </c>
      <c r="E1293" t="str">
        <f>"$ 68,239"</f>
        <v>$ 68,239</v>
      </c>
      <c r="F1293" s="1">
        <v>1261</v>
      </c>
    </row>
    <row r="1294" spans="1:6">
      <c r="A1294" t="s">
        <v>1296</v>
      </c>
      <c r="B1294" t="str">
        <f>"0.00882%"</f>
        <v>0.00882%</v>
      </c>
      <c r="C1294" t="s">
        <v>10</v>
      </c>
      <c r="D1294" t="s">
        <v>10</v>
      </c>
      <c r="E1294" t="str">
        <f>"$ 68,107"</f>
        <v>$ 68,107</v>
      </c>
      <c r="F1294">
        <v>347</v>
      </c>
    </row>
    <row r="1295" spans="1:6">
      <c r="A1295" t="s">
        <v>1297</v>
      </c>
      <c r="B1295" t="str">
        <f>"0.00881%"</f>
        <v>0.00881%</v>
      </c>
      <c r="C1295" t="s">
        <v>10</v>
      </c>
      <c r="D1295" t="s">
        <v>10</v>
      </c>
      <c r="E1295" t="str">
        <f>"$ 68,039"</f>
        <v>$ 68,039</v>
      </c>
      <c r="F1295">
        <v>470</v>
      </c>
    </row>
    <row r="1296" spans="1:6">
      <c r="A1296" t="s">
        <v>1298</v>
      </c>
      <c r="B1296" t="str">
        <f>"0.00880%"</f>
        <v>0.00880%</v>
      </c>
      <c r="C1296" t="s">
        <v>10</v>
      </c>
      <c r="D1296" t="s">
        <v>10</v>
      </c>
      <c r="E1296" t="str">
        <f>"$ 67,948"</f>
        <v>$ 67,948</v>
      </c>
      <c r="F1296" s="1">
        <v>1038</v>
      </c>
    </row>
    <row r="1297" spans="1:6">
      <c r="A1297" t="s">
        <v>1299</v>
      </c>
      <c r="B1297" t="str">
        <f>"0.00878%"</f>
        <v>0.00878%</v>
      </c>
      <c r="C1297" t="s">
        <v>10</v>
      </c>
      <c r="D1297" t="s">
        <v>10</v>
      </c>
      <c r="E1297" t="str">
        <f>"$ 67,793"</f>
        <v>$ 67,793</v>
      </c>
      <c r="F1297" s="1">
        <v>1120</v>
      </c>
    </row>
    <row r="1298" spans="1:6">
      <c r="A1298" t="s">
        <v>1300</v>
      </c>
      <c r="B1298" t="str">
        <f>"0.00878%"</f>
        <v>0.00878%</v>
      </c>
      <c r="C1298" t="s">
        <v>10</v>
      </c>
      <c r="D1298" t="s">
        <v>10</v>
      </c>
      <c r="E1298" t="str">
        <f>"$ 67,828"</f>
        <v>$ 67,828</v>
      </c>
      <c r="F1298" s="1">
        <v>36403</v>
      </c>
    </row>
    <row r="1299" spans="1:6">
      <c r="A1299" t="s">
        <v>1301</v>
      </c>
      <c r="B1299" t="str">
        <f>"0.00876%"</f>
        <v>0.00876%</v>
      </c>
      <c r="C1299" t="s">
        <v>10</v>
      </c>
      <c r="D1299" t="s">
        <v>10</v>
      </c>
      <c r="E1299" t="str">
        <f>"$ 67,607"</f>
        <v>$ 67,607</v>
      </c>
      <c r="F1299">
        <v>357</v>
      </c>
    </row>
    <row r="1300" spans="1:6">
      <c r="A1300" t="s">
        <v>1302</v>
      </c>
      <c r="B1300" t="str">
        <f>"0.00876%"</f>
        <v>0.00876%</v>
      </c>
      <c r="C1300" t="s">
        <v>10</v>
      </c>
      <c r="D1300" t="s">
        <v>10</v>
      </c>
      <c r="E1300" t="str">
        <f>"$ 67,642"</f>
        <v>$ 67,642</v>
      </c>
      <c r="F1300" s="1">
        <v>1195</v>
      </c>
    </row>
    <row r="1301" spans="1:6">
      <c r="A1301" t="s">
        <v>1303</v>
      </c>
      <c r="B1301" t="str">
        <f>"0.00875%"</f>
        <v>0.00875%</v>
      </c>
      <c r="C1301" t="s">
        <v>10</v>
      </c>
      <c r="D1301" t="s">
        <v>10</v>
      </c>
      <c r="E1301" t="str">
        <f>"$ 67,532"</f>
        <v>$ 67,532</v>
      </c>
      <c r="F1301">
        <v>743</v>
      </c>
    </row>
    <row r="1302" spans="1:6">
      <c r="A1302" t="s">
        <v>1304</v>
      </c>
      <c r="B1302" t="str">
        <f>"0.00875%"</f>
        <v>0.00875%</v>
      </c>
      <c r="C1302" t="s">
        <v>10</v>
      </c>
      <c r="D1302" t="s">
        <v>10</v>
      </c>
      <c r="E1302" t="str">
        <f>"$ 67,552"</f>
        <v>$ 67,552</v>
      </c>
      <c r="F1302" s="1">
        <v>2764</v>
      </c>
    </row>
    <row r="1303" spans="1:6">
      <c r="A1303" t="s">
        <v>1305</v>
      </c>
      <c r="B1303" t="str">
        <f>"0.00874%"</f>
        <v>0.00874%</v>
      </c>
      <c r="C1303" t="s">
        <v>10</v>
      </c>
      <c r="D1303" t="s">
        <v>10</v>
      </c>
      <c r="E1303" t="str">
        <f>"$ 67,514"</f>
        <v>$ 67,514</v>
      </c>
      <c r="F1303" s="1">
        <v>1103</v>
      </c>
    </row>
    <row r="1304" spans="1:6">
      <c r="A1304" t="s">
        <v>1306</v>
      </c>
      <c r="B1304" t="str">
        <f>"0.00873%"</f>
        <v>0.00873%</v>
      </c>
      <c r="C1304" t="s">
        <v>10</v>
      </c>
      <c r="D1304" t="s">
        <v>10</v>
      </c>
      <c r="E1304" t="str">
        <f>"$ 67,406"</f>
        <v>$ 67,406</v>
      </c>
      <c r="F1304" s="1">
        <v>4406</v>
      </c>
    </row>
    <row r="1305" spans="1:6">
      <c r="A1305" t="s">
        <v>1307</v>
      </c>
      <c r="B1305" t="str">
        <f>"0.00872%"</f>
        <v>0.00872%</v>
      </c>
      <c r="C1305" t="s">
        <v>10</v>
      </c>
      <c r="D1305" t="s">
        <v>10</v>
      </c>
      <c r="E1305" t="str">
        <f>"$ 67,322"</f>
        <v>$ 67,322</v>
      </c>
      <c r="F1305">
        <v>929</v>
      </c>
    </row>
    <row r="1306" spans="1:6">
      <c r="A1306" t="s">
        <v>1308</v>
      </c>
      <c r="B1306" t="str">
        <f>"0.00871%"</f>
        <v>0.00871%</v>
      </c>
      <c r="C1306" t="s">
        <v>10</v>
      </c>
      <c r="D1306" t="s">
        <v>10</v>
      </c>
      <c r="E1306" t="str">
        <f>"$ 67,268"</f>
        <v>$ 67,268</v>
      </c>
      <c r="F1306" s="1">
        <v>1686</v>
      </c>
    </row>
    <row r="1307" spans="1:6">
      <c r="A1307" t="s">
        <v>1309</v>
      </c>
      <c r="B1307" t="str">
        <f>"0.00871%"</f>
        <v>0.00871%</v>
      </c>
      <c r="C1307" t="s">
        <v>10</v>
      </c>
      <c r="D1307" t="s">
        <v>10</v>
      </c>
      <c r="E1307" t="str">
        <f>"$ 67,224"</f>
        <v>$ 67,224</v>
      </c>
      <c r="F1307">
        <v>164</v>
      </c>
    </row>
    <row r="1308" spans="1:6">
      <c r="A1308" t="s">
        <v>1310</v>
      </c>
      <c r="B1308" t="str">
        <f>"0.00869%"</f>
        <v>0.00869%</v>
      </c>
      <c r="C1308" t="s">
        <v>10</v>
      </c>
      <c r="D1308" t="s">
        <v>10</v>
      </c>
      <c r="E1308" t="str">
        <f>"$ 67,108"</f>
        <v>$ 67,108</v>
      </c>
      <c r="F1308" s="1">
        <v>1295</v>
      </c>
    </row>
    <row r="1309" spans="1:6">
      <c r="A1309" t="s">
        <v>1311</v>
      </c>
      <c r="B1309" t="str">
        <f>"0.00867%"</f>
        <v>0.00867%</v>
      </c>
      <c r="C1309" t="s">
        <v>10</v>
      </c>
      <c r="D1309" t="s">
        <v>10</v>
      </c>
      <c r="E1309" t="str">
        <f>"$ 66,927"</f>
        <v>$ 66,927</v>
      </c>
      <c r="F1309" s="1">
        <v>21039</v>
      </c>
    </row>
    <row r="1310" spans="1:6">
      <c r="A1310" t="s">
        <v>1312</v>
      </c>
      <c r="B1310" t="str">
        <f>"0.00864%"</f>
        <v>0.00864%</v>
      </c>
      <c r="C1310" t="s">
        <v>10</v>
      </c>
      <c r="D1310" t="s">
        <v>10</v>
      </c>
      <c r="E1310" t="str">
        <f>"$ 66,749"</f>
        <v>$ 66,749</v>
      </c>
      <c r="F1310">
        <v>821</v>
      </c>
    </row>
    <row r="1311" spans="1:6">
      <c r="A1311" t="s">
        <v>1313</v>
      </c>
      <c r="B1311" t="str">
        <f>"0.00864%"</f>
        <v>0.00864%</v>
      </c>
      <c r="C1311" t="s">
        <v>10</v>
      </c>
      <c r="D1311" t="s">
        <v>10</v>
      </c>
      <c r="E1311" t="str">
        <f>"$ 66,707"</f>
        <v>$ 66,707</v>
      </c>
      <c r="F1311" s="1">
        <v>6028</v>
      </c>
    </row>
    <row r="1312" spans="1:6">
      <c r="A1312" t="s">
        <v>1314</v>
      </c>
      <c r="B1312" t="str">
        <f>"0.00863%"</f>
        <v>0.00863%</v>
      </c>
      <c r="C1312" t="s">
        <v>10</v>
      </c>
      <c r="D1312" t="s">
        <v>10</v>
      </c>
      <c r="E1312" t="str">
        <f>"$ 66,666"</f>
        <v>$ 66,666</v>
      </c>
      <c r="F1312">
        <v>882</v>
      </c>
    </row>
    <row r="1313" spans="1:6">
      <c r="A1313" t="s">
        <v>1315</v>
      </c>
      <c r="B1313" t="str">
        <f>"0.00863%"</f>
        <v>0.00863%</v>
      </c>
      <c r="C1313" t="s">
        <v>10</v>
      </c>
      <c r="D1313" t="s">
        <v>10</v>
      </c>
      <c r="E1313" t="str">
        <f>"$ 66,615"</f>
        <v>$ 66,615</v>
      </c>
      <c r="F1313">
        <v>429</v>
      </c>
    </row>
    <row r="1314" spans="1:6">
      <c r="A1314" t="s">
        <v>1316</v>
      </c>
      <c r="B1314" t="str">
        <f>"0.00859%"</f>
        <v>0.00859%</v>
      </c>
      <c r="C1314" t="s">
        <v>10</v>
      </c>
      <c r="D1314" t="s">
        <v>10</v>
      </c>
      <c r="E1314" t="str">
        <f>"$ 66,313"</f>
        <v>$ 66,313</v>
      </c>
      <c r="F1314">
        <v>659</v>
      </c>
    </row>
    <row r="1315" spans="1:6">
      <c r="A1315" t="s">
        <v>1317</v>
      </c>
      <c r="B1315" t="str">
        <f>"0.00859%"</f>
        <v>0.00859%</v>
      </c>
      <c r="C1315" t="s">
        <v>10</v>
      </c>
      <c r="D1315" t="s">
        <v>10</v>
      </c>
      <c r="E1315" t="str">
        <f>"$ 66,352"</f>
        <v>$ 66,352</v>
      </c>
      <c r="F1315" s="1">
        <v>38831</v>
      </c>
    </row>
    <row r="1316" spans="1:6">
      <c r="A1316" t="s">
        <v>1318</v>
      </c>
      <c r="B1316" t="str">
        <f>"0.00857%"</f>
        <v>0.00857%</v>
      </c>
      <c r="C1316" t="s">
        <v>10</v>
      </c>
      <c r="D1316" t="s">
        <v>10</v>
      </c>
      <c r="E1316" t="str">
        <f>"$ 66,157"</f>
        <v>$ 66,157</v>
      </c>
      <c r="F1316">
        <v>833</v>
      </c>
    </row>
    <row r="1317" spans="1:6">
      <c r="A1317" t="s">
        <v>1319</v>
      </c>
      <c r="B1317" t="str">
        <f>"0.00857%"</f>
        <v>0.00857%</v>
      </c>
      <c r="C1317" t="s">
        <v>10</v>
      </c>
      <c r="D1317" t="s">
        <v>10</v>
      </c>
      <c r="E1317" t="str">
        <f>"$ 66,209"</f>
        <v>$ 66,209</v>
      </c>
      <c r="F1317" s="1">
        <v>1352</v>
      </c>
    </row>
    <row r="1318" spans="1:6">
      <c r="A1318" t="s">
        <v>1320</v>
      </c>
      <c r="B1318" t="str">
        <f>"0.00857%"</f>
        <v>0.00857%</v>
      </c>
      <c r="C1318" t="s">
        <v>10</v>
      </c>
      <c r="D1318" t="s">
        <v>10</v>
      </c>
      <c r="E1318" t="str">
        <f>"$ 66,147"</f>
        <v>$ 66,147</v>
      </c>
      <c r="F1318">
        <v>422</v>
      </c>
    </row>
    <row r="1319" spans="1:6">
      <c r="A1319" t="s">
        <v>1321</v>
      </c>
      <c r="B1319" t="str">
        <f>"0.00853%"</f>
        <v>0.00853%</v>
      </c>
      <c r="C1319" t="s">
        <v>10</v>
      </c>
      <c r="D1319" t="s">
        <v>10</v>
      </c>
      <c r="E1319" t="str">
        <f>"$ 65,838"</f>
        <v>$ 65,838</v>
      </c>
      <c r="F1319">
        <v>938</v>
      </c>
    </row>
    <row r="1320" spans="1:6">
      <c r="A1320" t="s">
        <v>1322</v>
      </c>
      <c r="B1320" t="str">
        <f>"0.00852%"</f>
        <v>0.00852%</v>
      </c>
      <c r="C1320" t="s">
        <v>10</v>
      </c>
      <c r="D1320" t="s">
        <v>10</v>
      </c>
      <c r="E1320" t="str">
        <f>"$ 65,759"</f>
        <v>$ 65,759</v>
      </c>
      <c r="F1320" s="1">
        <v>7220</v>
      </c>
    </row>
    <row r="1321" spans="1:6">
      <c r="A1321" t="s">
        <v>1323</v>
      </c>
      <c r="B1321" t="str">
        <f>"0.00849%"</f>
        <v>0.00849%</v>
      </c>
      <c r="C1321" t="s">
        <v>10</v>
      </c>
      <c r="D1321" t="s">
        <v>10</v>
      </c>
      <c r="E1321" t="str">
        <f>"$ 65,588"</f>
        <v>$ 65,588</v>
      </c>
      <c r="F1321" s="1">
        <v>59624</v>
      </c>
    </row>
    <row r="1322" spans="1:6">
      <c r="A1322" t="s">
        <v>1324</v>
      </c>
      <c r="B1322" t="str">
        <f>"0.00848%"</f>
        <v>0.00848%</v>
      </c>
      <c r="C1322" t="s">
        <v>10</v>
      </c>
      <c r="D1322" t="s">
        <v>10</v>
      </c>
      <c r="E1322" t="str">
        <f>"$ 65,517"</f>
        <v>$ 65,517</v>
      </c>
      <c r="F1322" s="1">
        <v>1904</v>
      </c>
    </row>
    <row r="1323" spans="1:6">
      <c r="A1323" t="s">
        <v>1325</v>
      </c>
      <c r="B1323" t="str">
        <f>"0.00848%"</f>
        <v>0.00848%</v>
      </c>
      <c r="C1323" t="s">
        <v>10</v>
      </c>
      <c r="D1323" t="s">
        <v>10</v>
      </c>
      <c r="E1323" t="str">
        <f>"$ 65,482"</f>
        <v>$ 65,482</v>
      </c>
      <c r="F1323" s="1">
        <v>3398</v>
      </c>
    </row>
    <row r="1324" spans="1:6">
      <c r="A1324" t="s">
        <v>1326</v>
      </c>
      <c r="B1324" t="str">
        <f>"0.00848%"</f>
        <v>0.00848%</v>
      </c>
      <c r="C1324" t="s">
        <v>10</v>
      </c>
      <c r="D1324" t="s">
        <v>10</v>
      </c>
      <c r="E1324" t="str">
        <f>"$ 65,507"</f>
        <v>$ 65,507</v>
      </c>
      <c r="F1324">
        <v>369</v>
      </c>
    </row>
    <row r="1325" spans="1:6">
      <c r="A1325" t="s">
        <v>1327</v>
      </c>
      <c r="B1325" t="str">
        <f>"0.00847%"</f>
        <v>0.00847%</v>
      </c>
      <c r="C1325" t="s">
        <v>10</v>
      </c>
      <c r="D1325" t="s">
        <v>10</v>
      </c>
      <c r="E1325" t="str">
        <f>"$ 65,409"</f>
        <v>$ 65,409</v>
      </c>
      <c r="F1325">
        <v>344</v>
      </c>
    </row>
    <row r="1326" spans="1:6">
      <c r="A1326" t="s">
        <v>1328</v>
      </c>
      <c r="B1326" t="str">
        <f>"0.00846%"</f>
        <v>0.00846%</v>
      </c>
      <c r="C1326" t="s">
        <v>10</v>
      </c>
      <c r="D1326" t="s">
        <v>10</v>
      </c>
      <c r="E1326" t="str">
        <f>"$ 65,294"</f>
        <v>$ 65,294</v>
      </c>
      <c r="F1326" s="1">
        <v>9645</v>
      </c>
    </row>
    <row r="1327" spans="1:6">
      <c r="A1327" t="s">
        <v>1329</v>
      </c>
      <c r="B1327" t="str">
        <f>"0.00846%"</f>
        <v>0.00846%</v>
      </c>
      <c r="C1327" t="s">
        <v>10</v>
      </c>
      <c r="D1327" t="s">
        <v>10</v>
      </c>
      <c r="E1327" t="str">
        <f>"$ 65,291"</f>
        <v>$ 65,291</v>
      </c>
      <c r="F1327">
        <v>838</v>
      </c>
    </row>
    <row r="1328" spans="1:6">
      <c r="A1328" t="s">
        <v>1330</v>
      </c>
      <c r="B1328" t="str">
        <f>"0.00846%"</f>
        <v>0.00846%</v>
      </c>
      <c r="C1328" t="s">
        <v>10</v>
      </c>
      <c r="D1328" t="s">
        <v>10</v>
      </c>
      <c r="E1328" t="str">
        <f>"$ 65,328"</f>
        <v>$ 65,328</v>
      </c>
      <c r="F1328" s="1">
        <v>1550</v>
      </c>
    </row>
    <row r="1329" spans="1:6">
      <c r="A1329" t="s">
        <v>1331</v>
      </c>
      <c r="B1329" t="str">
        <f>"0.00843%"</f>
        <v>0.00843%</v>
      </c>
      <c r="C1329" t="s">
        <v>10</v>
      </c>
      <c r="D1329" t="s">
        <v>10</v>
      </c>
      <c r="E1329" t="str">
        <f>"$ 65,086"</f>
        <v>$ 65,086</v>
      </c>
      <c r="F1329" s="1">
        <v>1181</v>
      </c>
    </row>
    <row r="1330" spans="1:6">
      <c r="A1330" t="s">
        <v>1332</v>
      </c>
      <c r="B1330" t="str">
        <f>"0.00843%"</f>
        <v>0.00843%</v>
      </c>
      <c r="C1330" t="s">
        <v>10</v>
      </c>
      <c r="D1330" t="s">
        <v>10</v>
      </c>
      <c r="E1330" t="str">
        <f>"$ 65,102"</f>
        <v>$ 65,102</v>
      </c>
      <c r="F1330">
        <v>632</v>
      </c>
    </row>
    <row r="1331" spans="1:6">
      <c r="A1331" t="s">
        <v>1333</v>
      </c>
      <c r="B1331" t="str">
        <f>"0.00842%"</f>
        <v>0.00842%</v>
      </c>
      <c r="C1331" t="s">
        <v>10</v>
      </c>
      <c r="D1331" t="s">
        <v>10</v>
      </c>
      <c r="E1331" t="str">
        <f>"$ 65,048"</f>
        <v>$ 65,048</v>
      </c>
      <c r="F1331" s="1">
        <v>4061</v>
      </c>
    </row>
    <row r="1332" spans="1:6">
      <c r="A1332" t="s">
        <v>1334</v>
      </c>
      <c r="B1332" t="str">
        <f>"0.00841%"</f>
        <v>0.00841%</v>
      </c>
      <c r="C1332" t="s">
        <v>10</v>
      </c>
      <c r="D1332" t="s">
        <v>10</v>
      </c>
      <c r="E1332" t="str">
        <f>"$ 64,913"</f>
        <v>$ 64,913</v>
      </c>
      <c r="F1332">
        <v>7</v>
      </c>
    </row>
    <row r="1333" spans="1:6">
      <c r="A1333" t="s">
        <v>1335</v>
      </c>
      <c r="B1333" t="str">
        <f>"0.00839%"</f>
        <v>0.00839%</v>
      </c>
      <c r="C1333" t="s">
        <v>10</v>
      </c>
      <c r="D1333" t="s">
        <v>10</v>
      </c>
      <c r="E1333" t="str">
        <f>"$ 64,775"</f>
        <v>$ 64,775</v>
      </c>
      <c r="F1333" s="1">
        <v>6556</v>
      </c>
    </row>
    <row r="1334" spans="1:6">
      <c r="A1334" t="s">
        <v>1336</v>
      </c>
      <c r="B1334" t="str">
        <f>"0.00838%"</f>
        <v>0.00838%</v>
      </c>
      <c r="C1334" t="s">
        <v>10</v>
      </c>
      <c r="D1334" t="s">
        <v>10</v>
      </c>
      <c r="E1334" t="str">
        <f>"$ 64,748"</f>
        <v>$ 64,748</v>
      </c>
      <c r="F1334">
        <v>916</v>
      </c>
    </row>
    <row r="1335" spans="1:6">
      <c r="A1335" t="s">
        <v>1337</v>
      </c>
      <c r="B1335" t="str">
        <f>"0.00838%"</f>
        <v>0.00838%</v>
      </c>
      <c r="C1335" t="s">
        <v>10</v>
      </c>
      <c r="D1335" t="s">
        <v>10</v>
      </c>
      <c r="E1335" t="str">
        <f>"$ 64,702"</f>
        <v>$ 64,702</v>
      </c>
      <c r="F1335" s="1">
        <v>25021</v>
      </c>
    </row>
    <row r="1336" spans="1:6">
      <c r="A1336" t="s">
        <v>1338</v>
      </c>
      <c r="B1336" t="str">
        <f>"0.00838%"</f>
        <v>0.00838%</v>
      </c>
      <c r="C1336" t="s">
        <v>10</v>
      </c>
      <c r="D1336" t="s">
        <v>10</v>
      </c>
      <c r="E1336" t="str">
        <f>"$ 64,673"</f>
        <v>$ 64,673</v>
      </c>
      <c r="F1336" s="1">
        <v>13964</v>
      </c>
    </row>
    <row r="1337" spans="1:6">
      <c r="A1337" t="s">
        <v>1339</v>
      </c>
      <c r="B1337" t="str">
        <f>"0.00838%"</f>
        <v>0.00838%</v>
      </c>
      <c r="C1337" t="s">
        <v>10</v>
      </c>
      <c r="D1337" t="s">
        <v>10</v>
      </c>
      <c r="E1337" t="str">
        <f>"$ 64,672"</f>
        <v>$ 64,672</v>
      </c>
      <c r="F1337">
        <v>281</v>
      </c>
    </row>
    <row r="1338" spans="1:6">
      <c r="A1338" t="s">
        <v>1340</v>
      </c>
      <c r="B1338" t="str">
        <f>"0.00837%"</f>
        <v>0.00837%</v>
      </c>
      <c r="C1338" t="s">
        <v>10</v>
      </c>
      <c r="D1338" t="s">
        <v>10</v>
      </c>
      <c r="E1338" t="str">
        <f>"$ 64,597"</f>
        <v>$ 64,597</v>
      </c>
      <c r="F1338" s="1">
        <v>6856</v>
      </c>
    </row>
    <row r="1339" spans="1:6">
      <c r="A1339" t="s">
        <v>1341</v>
      </c>
      <c r="B1339" t="str">
        <f>"0.00837%"</f>
        <v>0.00837%</v>
      </c>
      <c r="C1339" t="s">
        <v>10</v>
      </c>
      <c r="D1339" t="s">
        <v>10</v>
      </c>
      <c r="E1339" t="str">
        <f>"$ 64,620"</f>
        <v>$ 64,620</v>
      </c>
      <c r="F1339" s="1">
        <v>2953</v>
      </c>
    </row>
    <row r="1340" spans="1:6">
      <c r="A1340" t="s">
        <v>1342</v>
      </c>
      <c r="B1340" t="str">
        <f>"0.00836%"</f>
        <v>0.00836%</v>
      </c>
      <c r="C1340" t="s">
        <v>10</v>
      </c>
      <c r="D1340" t="s">
        <v>10</v>
      </c>
      <c r="E1340" t="str">
        <f>"$ 64,537"</f>
        <v>$ 64,537</v>
      </c>
      <c r="F1340">
        <v>235</v>
      </c>
    </row>
    <row r="1341" spans="1:6">
      <c r="A1341" t="s">
        <v>1343</v>
      </c>
      <c r="B1341" t="str">
        <f>"0.00836%"</f>
        <v>0.00836%</v>
      </c>
      <c r="C1341" t="s">
        <v>10</v>
      </c>
      <c r="D1341" t="s">
        <v>10</v>
      </c>
      <c r="E1341" t="str">
        <f>"$ 64,592"</f>
        <v>$ 64,592</v>
      </c>
      <c r="F1341" s="1">
        <v>1901</v>
      </c>
    </row>
    <row r="1342" spans="1:6">
      <c r="A1342" t="s">
        <v>1344</v>
      </c>
      <c r="B1342" t="str">
        <f>"0.00835%"</f>
        <v>0.00835%</v>
      </c>
      <c r="C1342" t="s">
        <v>10</v>
      </c>
      <c r="D1342" t="s">
        <v>10</v>
      </c>
      <c r="E1342" t="str">
        <f>"$ 64,458"</f>
        <v>$ 64,458</v>
      </c>
      <c r="F1342">
        <v>712</v>
      </c>
    </row>
    <row r="1343" spans="1:6">
      <c r="A1343" t="s">
        <v>1345</v>
      </c>
      <c r="B1343" t="str">
        <f>"0.00835%"</f>
        <v>0.00835%</v>
      </c>
      <c r="C1343" t="s">
        <v>10</v>
      </c>
      <c r="D1343" t="s">
        <v>10</v>
      </c>
      <c r="E1343" t="str">
        <f>"$ 64,451"</f>
        <v>$ 64,451</v>
      </c>
      <c r="F1343" s="1">
        <v>4124</v>
      </c>
    </row>
    <row r="1344" spans="1:6">
      <c r="A1344" t="s">
        <v>1346</v>
      </c>
      <c r="B1344" t="str">
        <f>"0.00834%"</f>
        <v>0.00834%</v>
      </c>
      <c r="C1344" t="s">
        <v>10</v>
      </c>
      <c r="D1344" t="s">
        <v>10</v>
      </c>
      <c r="E1344" t="str">
        <f>"$ 64,406"</f>
        <v>$ 64,406</v>
      </c>
      <c r="F1344" s="1">
        <v>2210</v>
      </c>
    </row>
    <row r="1345" spans="1:6">
      <c r="A1345" t="s">
        <v>1347</v>
      </c>
      <c r="B1345" t="str">
        <f>"0.00833%"</f>
        <v>0.00833%</v>
      </c>
      <c r="C1345" t="s">
        <v>10</v>
      </c>
      <c r="D1345" t="s">
        <v>10</v>
      </c>
      <c r="E1345" t="str">
        <f>"$ 64,291"</f>
        <v>$ 64,291</v>
      </c>
      <c r="F1345" s="1">
        <v>6092</v>
      </c>
    </row>
    <row r="1346" spans="1:6">
      <c r="A1346" t="s">
        <v>1348</v>
      </c>
      <c r="B1346" t="str">
        <f>"0.00833%"</f>
        <v>0.00833%</v>
      </c>
      <c r="C1346" t="s">
        <v>10</v>
      </c>
      <c r="D1346" t="s">
        <v>10</v>
      </c>
      <c r="E1346" t="str">
        <f>"$ 64,333"</f>
        <v>$ 64,333</v>
      </c>
      <c r="F1346" s="1">
        <v>1921</v>
      </c>
    </row>
    <row r="1347" spans="1:6">
      <c r="A1347" t="s">
        <v>1349</v>
      </c>
      <c r="B1347" t="str">
        <f>"0.00832%"</f>
        <v>0.00832%</v>
      </c>
      <c r="C1347" t="s">
        <v>10</v>
      </c>
      <c r="D1347" t="s">
        <v>10</v>
      </c>
      <c r="E1347" t="str">
        <f>"$ 64,282"</f>
        <v>$ 64,282</v>
      </c>
      <c r="F1347" s="1">
        <v>2969</v>
      </c>
    </row>
    <row r="1348" spans="1:6">
      <c r="A1348" t="s">
        <v>1350</v>
      </c>
      <c r="B1348" t="str">
        <f>"0.00832%"</f>
        <v>0.00832%</v>
      </c>
      <c r="C1348" t="s">
        <v>10</v>
      </c>
      <c r="D1348" t="s">
        <v>10</v>
      </c>
      <c r="E1348" t="str">
        <f>"$ 64,244"</f>
        <v>$ 64,244</v>
      </c>
      <c r="F1348">
        <v>370</v>
      </c>
    </row>
    <row r="1349" spans="1:6">
      <c r="A1349" t="s">
        <v>1351</v>
      </c>
      <c r="B1349" t="str">
        <f>"0.00832%"</f>
        <v>0.00832%</v>
      </c>
      <c r="C1349" t="s">
        <v>10</v>
      </c>
      <c r="D1349" t="s">
        <v>10</v>
      </c>
      <c r="E1349" t="str">
        <f>"$ 64,284"</f>
        <v>$ 64,284</v>
      </c>
      <c r="F1349" s="1">
        <v>11688</v>
      </c>
    </row>
    <row r="1350" spans="1:6">
      <c r="A1350" t="s">
        <v>1352</v>
      </c>
      <c r="B1350" t="str">
        <f>"0.00831%"</f>
        <v>0.00831%</v>
      </c>
      <c r="C1350" t="s">
        <v>10</v>
      </c>
      <c r="D1350" t="s">
        <v>10</v>
      </c>
      <c r="E1350" t="str">
        <f>"$ 64,192"</f>
        <v>$ 64,192</v>
      </c>
      <c r="F1350">
        <v>171</v>
      </c>
    </row>
    <row r="1351" spans="1:6">
      <c r="A1351" t="s">
        <v>1353</v>
      </c>
      <c r="B1351" t="str">
        <f>"0.00828%"</f>
        <v>0.00828%</v>
      </c>
      <c r="C1351" t="s">
        <v>10</v>
      </c>
      <c r="D1351" t="s">
        <v>10</v>
      </c>
      <c r="E1351" t="str">
        <f>"$ 63,908"</f>
        <v>$ 63,908</v>
      </c>
      <c r="F1351" s="1">
        <v>1072</v>
      </c>
    </row>
    <row r="1352" spans="1:6">
      <c r="A1352" t="s">
        <v>1354</v>
      </c>
      <c r="B1352" t="str">
        <f>"0.00828%"</f>
        <v>0.00828%</v>
      </c>
      <c r="C1352" t="s">
        <v>10</v>
      </c>
      <c r="D1352" t="s">
        <v>10</v>
      </c>
      <c r="E1352" t="str">
        <f>"$ 63,959"</f>
        <v>$ 63,959</v>
      </c>
      <c r="F1352">
        <v>409</v>
      </c>
    </row>
    <row r="1353" spans="1:6">
      <c r="A1353" t="s">
        <v>1355</v>
      </c>
      <c r="B1353" t="str">
        <f>"0.00827%"</f>
        <v>0.00827%</v>
      </c>
      <c r="C1353" t="s">
        <v>10</v>
      </c>
      <c r="D1353" t="s">
        <v>10</v>
      </c>
      <c r="E1353" t="str">
        <f>"$ 63,847"</f>
        <v>$ 63,847</v>
      </c>
      <c r="F1353" s="1">
        <v>1533</v>
      </c>
    </row>
    <row r="1354" spans="1:6">
      <c r="A1354" t="s">
        <v>1356</v>
      </c>
      <c r="B1354" t="str">
        <f>"0.00826%"</f>
        <v>0.00826%</v>
      </c>
      <c r="C1354" t="s">
        <v>10</v>
      </c>
      <c r="D1354" t="s">
        <v>10</v>
      </c>
      <c r="E1354" t="str">
        <f>"$ 63,801"</f>
        <v>$ 63,801</v>
      </c>
      <c r="F1354">
        <v>181</v>
      </c>
    </row>
    <row r="1355" spans="1:6">
      <c r="A1355" t="s">
        <v>1357</v>
      </c>
      <c r="B1355" t="str">
        <f>"0.00826%"</f>
        <v>0.00826%</v>
      </c>
      <c r="C1355" t="s">
        <v>10</v>
      </c>
      <c r="D1355" t="s">
        <v>10</v>
      </c>
      <c r="E1355" t="str">
        <f>"$ 63,778"</f>
        <v>$ 63,778</v>
      </c>
      <c r="F1355">
        <v>216</v>
      </c>
    </row>
    <row r="1356" spans="1:6">
      <c r="A1356" t="s">
        <v>1358</v>
      </c>
      <c r="B1356" t="str">
        <f>"0.00825%"</f>
        <v>0.00825%</v>
      </c>
      <c r="C1356" t="s">
        <v>10</v>
      </c>
      <c r="D1356" t="s">
        <v>10</v>
      </c>
      <c r="E1356" t="str">
        <f>"$ 63,705"</f>
        <v>$ 63,705</v>
      </c>
      <c r="F1356">
        <v>220</v>
      </c>
    </row>
    <row r="1357" spans="1:6">
      <c r="A1357" t="s">
        <v>1359</v>
      </c>
      <c r="B1357" t="str">
        <f>"0.00824%"</f>
        <v>0.00824%</v>
      </c>
      <c r="C1357" t="s">
        <v>10</v>
      </c>
      <c r="D1357" t="s">
        <v>10</v>
      </c>
      <c r="E1357" t="str">
        <f>"$ 63,645"</f>
        <v>$ 63,645</v>
      </c>
      <c r="F1357">
        <v>808</v>
      </c>
    </row>
    <row r="1358" spans="1:6">
      <c r="A1358" t="s">
        <v>1360</v>
      </c>
      <c r="B1358" t="str">
        <f>"0.00824%"</f>
        <v>0.00824%</v>
      </c>
      <c r="C1358" t="s">
        <v>10</v>
      </c>
      <c r="D1358" t="s">
        <v>10</v>
      </c>
      <c r="E1358" t="str">
        <f>"$ 63,657"</f>
        <v>$ 63,657</v>
      </c>
      <c r="F1358" s="1">
        <v>3237</v>
      </c>
    </row>
    <row r="1359" spans="1:6">
      <c r="A1359" t="s">
        <v>1361</v>
      </c>
      <c r="B1359" t="str">
        <f>"0.00823%"</f>
        <v>0.00823%</v>
      </c>
      <c r="C1359" t="s">
        <v>10</v>
      </c>
      <c r="D1359" t="s">
        <v>10</v>
      </c>
      <c r="E1359" t="str">
        <f>"$ 63,515"</f>
        <v>$ 63,515</v>
      </c>
      <c r="F1359">
        <v>766</v>
      </c>
    </row>
    <row r="1360" spans="1:6">
      <c r="A1360" t="s">
        <v>1362</v>
      </c>
      <c r="B1360" t="str">
        <f>"0.00823%"</f>
        <v>0.00823%</v>
      </c>
      <c r="C1360" t="s">
        <v>10</v>
      </c>
      <c r="D1360" t="s">
        <v>10</v>
      </c>
      <c r="E1360" t="str">
        <f>"$ 63,536"</f>
        <v>$ 63,536</v>
      </c>
      <c r="F1360" s="1">
        <v>2012</v>
      </c>
    </row>
    <row r="1361" spans="1:6">
      <c r="A1361" t="s">
        <v>1363</v>
      </c>
      <c r="B1361" t="str">
        <f>"0.00822%"</f>
        <v>0.00822%</v>
      </c>
      <c r="C1361" t="s">
        <v>10</v>
      </c>
      <c r="D1361" t="s">
        <v>10</v>
      </c>
      <c r="E1361" t="str">
        <f>"$ 63,446"</f>
        <v>$ 63,446</v>
      </c>
      <c r="F1361">
        <v>214</v>
      </c>
    </row>
    <row r="1362" spans="1:6">
      <c r="A1362" t="s">
        <v>1364</v>
      </c>
      <c r="B1362" t="str">
        <f>"0.00822%"</f>
        <v>0.00822%</v>
      </c>
      <c r="C1362" t="s">
        <v>10</v>
      </c>
      <c r="D1362" t="s">
        <v>10</v>
      </c>
      <c r="E1362" t="str">
        <f>"$ 63,460"</f>
        <v>$ 63,460</v>
      </c>
      <c r="F1362" s="1">
        <v>2557</v>
      </c>
    </row>
    <row r="1363" spans="1:6">
      <c r="A1363" t="s">
        <v>1365</v>
      </c>
      <c r="B1363" t="str">
        <f>"0.00821%"</f>
        <v>0.00821%</v>
      </c>
      <c r="C1363" t="s">
        <v>10</v>
      </c>
      <c r="D1363" t="s">
        <v>10</v>
      </c>
      <c r="E1363" t="str">
        <f>"$ 63,366"</f>
        <v>$ 63,366</v>
      </c>
      <c r="F1363">
        <v>695</v>
      </c>
    </row>
    <row r="1364" spans="1:6">
      <c r="A1364" t="s">
        <v>1366</v>
      </c>
      <c r="B1364" t="str">
        <f>"0.00821%"</f>
        <v>0.00821%</v>
      </c>
      <c r="C1364" t="s">
        <v>10</v>
      </c>
      <c r="D1364" t="s">
        <v>10</v>
      </c>
      <c r="E1364" t="str">
        <f>"$ 63,404"</f>
        <v>$ 63,404</v>
      </c>
      <c r="F1364">
        <v>869</v>
      </c>
    </row>
    <row r="1365" spans="1:6">
      <c r="A1365" t="s">
        <v>1367</v>
      </c>
      <c r="B1365" t="str">
        <f>"0.00819%"</f>
        <v>0.00819%</v>
      </c>
      <c r="C1365" t="s">
        <v>10</v>
      </c>
      <c r="D1365" t="s">
        <v>10</v>
      </c>
      <c r="E1365" t="str">
        <f>"$ 63,217"</f>
        <v>$ 63,217</v>
      </c>
      <c r="F1365">
        <v>323</v>
      </c>
    </row>
    <row r="1366" spans="1:6">
      <c r="A1366" t="s">
        <v>1368</v>
      </c>
      <c r="B1366" t="str">
        <f>"0.00819%"</f>
        <v>0.00819%</v>
      </c>
      <c r="C1366" t="s">
        <v>10</v>
      </c>
      <c r="D1366" t="s">
        <v>10</v>
      </c>
      <c r="E1366" t="str">
        <f>"$ 63,208"</f>
        <v>$ 63,208</v>
      </c>
      <c r="F1366">
        <v>405</v>
      </c>
    </row>
    <row r="1367" spans="1:6">
      <c r="A1367" t="s">
        <v>1369</v>
      </c>
      <c r="B1367" t="str">
        <f>"0.00817%"</f>
        <v>0.00817%</v>
      </c>
      <c r="C1367" t="s">
        <v>10</v>
      </c>
      <c r="D1367" t="s">
        <v>10</v>
      </c>
      <c r="E1367" t="str">
        <f>"$ 63,103"</f>
        <v>$ 63,103</v>
      </c>
      <c r="F1367">
        <v>535</v>
      </c>
    </row>
    <row r="1368" spans="1:6">
      <c r="A1368" t="s">
        <v>1370</v>
      </c>
      <c r="B1368" t="str">
        <f>"0.00817%"</f>
        <v>0.00817%</v>
      </c>
      <c r="C1368" t="s">
        <v>10</v>
      </c>
      <c r="D1368" t="s">
        <v>10</v>
      </c>
      <c r="E1368" t="str">
        <f>"$ 63,117"</f>
        <v>$ 63,117</v>
      </c>
      <c r="F1368" s="1">
        <v>8472</v>
      </c>
    </row>
    <row r="1369" spans="1:6">
      <c r="A1369" t="s">
        <v>1371</v>
      </c>
      <c r="B1369" t="str">
        <f>"0.00816%"</f>
        <v>0.00816%</v>
      </c>
      <c r="C1369" t="s">
        <v>10</v>
      </c>
      <c r="D1369" t="s">
        <v>10</v>
      </c>
      <c r="E1369" t="str">
        <f>"$ 63,021"</f>
        <v>$ 63,021</v>
      </c>
      <c r="F1369">
        <v>533</v>
      </c>
    </row>
    <row r="1370" spans="1:6">
      <c r="A1370" t="s">
        <v>1372</v>
      </c>
      <c r="B1370" t="str">
        <f>"0.00815%"</f>
        <v>0.00815%</v>
      </c>
      <c r="C1370" t="s">
        <v>10</v>
      </c>
      <c r="D1370" t="s">
        <v>10</v>
      </c>
      <c r="E1370" t="str">
        <f>"$ 62,903"</f>
        <v>$ 62,903</v>
      </c>
      <c r="F1370">
        <v>448</v>
      </c>
    </row>
    <row r="1371" spans="1:6">
      <c r="A1371" t="s">
        <v>1373</v>
      </c>
      <c r="B1371" t="str">
        <f>"0.00815%"</f>
        <v>0.00815%</v>
      </c>
      <c r="C1371" t="s">
        <v>10</v>
      </c>
      <c r="D1371" t="s">
        <v>10</v>
      </c>
      <c r="E1371" t="str">
        <f>"$ 62,960"</f>
        <v>$ 62,960</v>
      </c>
      <c r="F1371" s="1">
        <v>1480</v>
      </c>
    </row>
    <row r="1372" spans="1:6">
      <c r="A1372" t="s">
        <v>1374</v>
      </c>
      <c r="B1372" t="str">
        <f>"0.00815%"</f>
        <v>0.00815%</v>
      </c>
      <c r="C1372" t="s">
        <v>10</v>
      </c>
      <c r="D1372" t="s">
        <v>10</v>
      </c>
      <c r="E1372" t="str">
        <f>"$ 62,916"</f>
        <v>$ 62,916</v>
      </c>
      <c r="F1372">
        <v>779</v>
      </c>
    </row>
    <row r="1373" spans="1:6">
      <c r="A1373" t="s">
        <v>1375</v>
      </c>
      <c r="B1373" t="str">
        <f>"0.00814%"</f>
        <v>0.00814%</v>
      </c>
      <c r="C1373" t="s">
        <v>10</v>
      </c>
      <c r="D1373" t="s">
        <v>10</v>
      </c>
      <c r="E1373" t="str">
        <f>"$ 62,849"</f>
        <v>$ 62,849</v>
      </c>
      <c r="F1373">
        <v>911</v>
      </c>
    </row>
    <row r="1374" spans="1:6">
      <c r="A1374" t="s">
        <v>1376</v>
      </c>
      <c r="B1374" t="str">
        <f>"0.00814%"</f>
        <v>0.00814%</v>
      </c>
      <c r="C1374" t="s">
        <v>10</v>
      </c>
      <c r="D1374" t="s">
        <v>10</v>
      </c>
      <c r="E1374" t="str">
        <f>"$ 62,864"</f>
        <v>$ 62,864</v>
      </c>
      <c r="F1374" s="1">
        <v>5935</v>
      </c>
    </row>
    <row r="1375" spans="1:6">
      <c r="A1375" t="s">
        <v>1377</v>
      </c>
      <c r="B1375" t="str">
        <f>"0.00811%"</f>
        <v>0.00811%</v>
      </c>
      <c r="C1375" t="s">
        <v>10</v>
      </c>
      <c r="D1375" t="s">
        <v>10</v>
      </c>
      <c r="E1375" t="str">
        <f>"$ 62,647"</f>
        <v>$ 62,647</v>
      </c>
      <c r="F1375">
        <v>103</v>
      </c>
    </row>
    <row r="1376" spans="1:6">
      <c r="A1376" t="s">
        <v>1378</v>
      </c>
      <c r="B1376" t="str">
        <f>"0.00810%"</f>
        <v>0.00810%</v>
      </c>
      <c r="C1376" t="s">
        <v>10</v>
      </c>
      <c r="D1376" t="s">
        <v>10</v>
      </c>
      <c r="E1376" t="str">
        <f>"$ 62,549"</f>
        <v>$ 62,549</v>
      </c>
      <c r="F1376" s="1">
        <v>2006</v>
      </c>
    </row>
    <row r="1377" spans="1:6">
      <c r="A1377" t="s">
        <v>1379</v>
      </c>
      <c r="B1377" t="str">
        <f>"0.00810%"</f>
        <v>0.00810%</v>
      </c>
      <c r="C1377" t="s">
        <v>10</v>
      </c>
      <c r="D1377" t="s">
        <v>10</v>
      </c>
      <c r="E1377" t="str">
        <f>"$ 62,553"</f>
        <v>$ 62,553</v>
      </c>
      <c r="F1377" s="1">
        <v>1984</v>
      </c>
    </row>
    <row r="1378" spans="1:6">
      <c r="A1378" t="s">
        <v>1380</v>
      </c>
      <c r="B1378" t="str">
        <f>"0.00809%"</f>
        <v>0.00809%</v>
      </c>
      <c r="C1378" t="s">
        <v>10</v>
      </c>
      <c r="D1378" t="s">
        <v>10</v>
      </c>
      <c r="E1378" t="str">
        <f>"$ 62,491"</f>
        <v>$ 62,491</v>
      </c>
      <c r="F1378" s="1">
        <v>1789</v>
      </c>
    </row>
    <row r="1379" spans="1:6">
      <c r="A1379" t="s">
        <v>1381</v>
      </c>
      <c r="B1379" t="str">
        <f>"0.00809%"</f>
        <v>0.00809%</v>
      </c>
      <c r="C1379" t="s">
        <v>10</v>
      </c>
      <c r="D1379" t="s">
        <v>10</v>
      </c>
      <c r="E1379" t="str">
        <f>"$ 62,486"</f>
        <v>$ 62,486</v>
      </c>
      <c r="F1379">
        <v>826</v>
      </c>
    </row>
    <row r="1380" spans="1:6">
      <c r="A1380" t="s">
        <v>1382</v>
      </c>
      <c r="B1380" t="str">
        <f>"0.00809%"</f>
        <v>0.00809%</v>
      </c>
      <c r="C1380" t="s">
        <v>10</v>
      </c>
      <c r="D1380" t="s">
        <v>10</v>
      </c>
      <c r="E1380" t="str">
        <f>"$ 62,493"</f>
        <v>$ 62,493</v>
      </c>
      <c r="F1380" s="1">
        <v>4049</v>
      </c>
    </row>
    <row r="1381" spans="1:6">
      <c r="A1381" t="s">
        <v>1383</v>
      </c>
      <c r="B1381" t="str">
        <f>"0.00808%"</f>
        <v>0.00808%</v>
      </c>
      <c r="C1381" t="s">
        <v>10</v>
      </c>
      <c r="D1381" t="s">
        <v>10</v>
      </c>
      <c r="E1381" t="str">
        <f>"$ 62,384"</f>
        <v>$ 62,384</v>
      </c>
      <c r="F1381">
        <v>291</v>
      </c>
    </row>
    <row r="1382" spans="1:6">
      <c r="A1382" t="s">
        <v>1384</v>
      </c>
      <c r="B1382" t="str">
        <f>"0.00808%"</f>
        <v>0.00808%</v>
      </c>
      <c r="C1382" t="s">
        <v>10</v>
      </c>
      <c r="D1382" t="s">
        <v>10</v>
      </c>
      <c r="E1382" t="str">
        <f>"$ 62,377"</f>
        <v>$ 62,377</v>
      </c>
      <c r="F1382">
        <v>882</v>
      </c>
    </row>
    <row r="1383" spans="1:6">
      <c r="A1383" t="s">
        <v>1385</v>
      </c>
      <c r="B1383" t="str">
        <f>"0.00807%"</f>
        <v>0.00807%</v>
      </c>
      <c r="C1383" t="s">
        <v>10</v>
      </c>
      <c r="D1383" t="s">
        <v>10</v>
      </c>
      <c r="E1383" t="str">
        <f>"$ 62,303"</f>
        <v>$ 62,303</v>
      </c>
      <c r="F1383">
        <v>885</v>
      </c>
    </row>
    <row r="1384" spans="1:6">
      <c r="A1384" t="s">
        <v>1386</v>
      </c>
      <c r="B1384" t="str">
        <f>"0.00806%"</f>
        <v>0.00806%</v>
      </c>
      <c r="C1384" t="s">
        <v>10</v>
      </c>
      <c r="D1384" t="s">
        <v>10</v>
      </c>
      <c r="E1384" t="str">
        <f>"$ 62,269"</f>
        <v>$ 62,269</v>
      </c>
      <c r="F1384">
        <v>363</v>
      </c>
    </row>
    <row r="1385" spans="1:6">
      <c r="A1385" t="s">
        <v>1387</v>
      </c>
      <c r="B1385" t="str">
        <f>"0.00805%"</f>
        <v>0.00805%</v>
      </c>
      <c r="C1385" t="s">
        <v>10</v>
      </c>
      <c r="D1385" t="s">
        <v>10</v>
      </c>
      <c r="E1385" t="str">
        <f>"$ 62,199"</f>
        <v>$ 62,199</v>
      </c>
      <c r="F1385" s="1">
        <v>4586</v>
      </c>
    </row>
    <row r="1386" spans="1:6">
      <c r="A1386" t="s">
        <v>1388</v>
      </c>
      <c r="B1386" t="str">
        <f>"0.00804%"</f>
        <v>0.00804%</v>
      </c>
      <c r="C1386" t="s">
        <v>10</v>
      </c>
      <c r="D1386" t="s">
        <v>10</v>
      </c>
      <c r="E1386" t="str">
        <f>"$ 62,091"</f>
        <v>$ 62,091</v>
      </c>
      <c r="F1386">
        <v>863</v>
      </c>
    </row>
    <row r="1387" spans="1:6">
      <c r="A1387" t="s">
        <v>1389</v>
      </c>
      <c r="B1387" t="str">
        <f>"0.00804%"</f>
        <v>0.00804%</v>
      </c>
      <c r="C1387" t="s">
        <v>10</v>
      </c>
      <c r="D1387" t="s">
        <v>10</v>
      </c>
      <c r="E1387" t="str">
        <f>"$ 62,068"</f>
        <v>$ 62,068</v>
      </c>
      <c r="F1387">
        <v>450</v>
      </c>
    </row>
    <row r="1388" spans="1:6">
      <c r="A1388" t="s">
        <v>1390</v>
      </c>
      <c r="B1388" t="str">
        <f>"0.00804%"</f>
        <v>0.00804%</v>
      </c>
      <c r="C1388" t="s">
        <v>10</v>
      </c>
      <c r="D1388" t="s">
        <v>10</v>
      </c>
      <c r="E1388" t="str">
        <f>"$ 62,109"</f>
        <v>$ 62,109</v>
      </c>
      <c r="F1388">
        <v>357</v>
      </c>
    </row>
    <row r="1389" spans="1:6">
      <c r="A1389" t="s">
        <v>1391</v>
      </c>
      <c r="B1389" t="str">
        <f>"0.00803%"</f>
        <v>0.00803%</v>
      </c>
      <c r="C1389" t="s">
        <v>10</v>
      </c>
      <c r="D1389" t="s">
        <v>10</v>
      </c>
      <c r="E1389" t="str">
        <f>"$ 62,013"</f>
        <v>$ 62,013</v>
      </c>
      <c r="F1389" s="1">
        <v>2606</v>
      </c>
    </row>
    <row r="1390" spans="1:6">
      <c r="A1390" t="s">
        <v>1392</v>
      </c>
      <c r="B1390" t="str">
        <f>"0.00802%"</f>
        <v>0.00802%</v>
      </c>
      <c r="C1390" t="s">
        <v>10</v>
      </c>
      <c r="D1390" t="s">
        <v>10</v>
      </c>
      <c r="E1390" t="str">
        <f>"$ 61,926"</f>
        <v>$ 61,926</v>
      </c>
      <c r="F1390" s="1">
        <v>1565</v>
      </c>
    </row>
    <row r="1391" spans="1:6">
      <c r="A1391" t="s">
        <v>1393</v>
      </c>
      <c r="B1391" t="str">
        <f>"0.00800%"</f>
        <v>0.00800%</v>
      </c>
      <c r="C1391" t="s">
        <v>10</v>
      </c>
      <c r="D1391" t="s">
        <v>10</v>
      </c>
      <c r="E1391" t="str">
        <f>"$ 61,757"</f>
        <v>$ 61,757</v>
      </c>
      <c r="F1391" s="1">
        <v>1455</v>
      </c>
    </row>
    <row r="1392" spans="1:6">
      <c r="A1392" t="s">
        <v>1394</v>
      </c>
      <c r="B1392" t="str">
        <f>"0.00800%"</f>
        <v>0.00800%</v>
      </c>
      <c r="C1392" t="s">
        <v>10</v>
      </c>
      <c r="D1392" t="s">
        <v>10</v>
      </c>
      <c r="E1392" t="str">
        <f>"$ 61,754"</f>
        <v>$ 61,754</v>
      </c>
      <c r="F1392" s="1">
        <v>1188</v>
      </c>
    </row>
    <row r="1393" spans="1:6">
      <c r="A1393" t="s">
        <v>1395</v>
      </c>
      <c r="B1393" t="str">
        <f>"0.00799%"</f>
        <v>0.00799%</v>
      </c>
      <c r="C1393" t="s">
        <v>10</v>
      </c>
      <c r="D1393" t="s">
        <v>10</v>
      </c>
      <c r="E1393" t="str">
        <f>"$ 61,723"</f>
        <v>$ 61,723</v>
      </c>
      <c r="F1393" s="1">
        <v>4332</v>
      </c>
    </row>
    <row r="1394" spans="1:6">
      <c r="A1394" t="s">
        <v>1396</v>
      </c>
      <c r="B1394" t="str">
        <f>"0.00798%"</f>
        <v>0.00798%</v>
      </c>
      <c r="C1394" t="s">
        <v>10</v>
      </c>
      <c r="D1394" t="s">
        <v>10</v>
      </c>
      <c r="E1394" t="str">
        <f>"$ 61,600"</f>
        <v>$ 61,600</v>
      </c>
      <c r="F1394" s="1">
        <v>3693</v>
      </c>
    </row>
    <row r="1395" spans="1:6">
      <c r="A1395" t="s">
        <v>1397</v>
      </c>
      <c r="B1395" t="str">
        <f>"0.00797%"</f>
        <v>0.00797%</v>
      </c>
      <c r="C1395" t="s">
        <v>10</v>
      </c>
      <c r="D1395" t="s">
        <v>10</v>
      </c>
      <c r="E1395" t="str">
        <f>"$ 61,544"</f>
        <v>$ 61,544</v>
      </c>
      <c r="F1395">
        <v>628</v>
      </c>
    </row>
    <row r="1396" spans="1:6">
      <c r="A1396" t="s">
        <v>1398</v>
      </c>
      <c r="B1396" t="str">
        <f>"0.00796%"</f>
        <v>0.00796%</v>
      </c>
      <c r="C1396" t="s">
        <v>10</v>
      </c>
      <c r="D1396" t="s">
        <v>10</v>
      </c>
      <c r="E1396" t="str">
        <f>"$ 61,479"</f>
        <v>$ 61,479</v>
      </c>
      <c r="F1396">
        <v>347</v>
      </c>
    </row>
    <row r="1397" spans="1:6">
      <c r="A1397" t="s">
        <v>1399</v>
      </c>
      <c r="B1397" t="str">
        <f>"0.00795%"</f>
        <v>0.00795%</v>
      </c>
      <c r="C1397" t="s">
        <v>10</v>
      </c>
      <c r="D1397" t="s">
        <v>10</v>
      </c>
      <c r="E1397" t="str">
        <f>"$ 61,418"</f>
        <v>$ 61,418</v>
      </c>
      <c r="F1397">
        <v>960</v>
      </c>
    </row>
    <row r="1398" spans="1:6">
      <c r="A1398" t="s">
        <v>1400</v>
      </c>
      <c r="B1398" t="str">
        <f>"0.00795%"</f>
        <v>0.00795%</v>
      </c>
      <c r="C1398" t="s">
        <v>10</v>
      </c>
      <c r="D1398" t="s">
        <v>10</v>
      </c>
      <c r="E1398" t="str">
        <f>"$ 61,355"</f>
        <v>$ 61,355</v>
      </c>
      <c r="F1398">
        <v>248</v>
      </c>
    </row>
    <row r="1399" spans="1:6">
      <c r="A1399" t="s">
        <v>1401</v>
      </c>
      <c r="B1399" t="str">
        <f>"0.00793%"</f>
        <v>0.00793%</v>
      </c>
      <c r="C1399" t="s">
        <v>10</v>
      </c>
      <c r="D1399" t="s">
        <v>10</v>
      </c>
      <c r="E1399" t="str">
        <f>"$ 61,210"</f>
        <v>$ 61,210</v>
      </c>
      <c r="F1399" s="1">
        <v>10872</v>
      </c>
    </row>
    <row r="1400" spans="1:6">
      <c r="A1400" t="s">
        <v>1402</v>
      </c>
      <c r="B1400" t="str">
        <f>"0.00793%"</f>
        <v>0.00793%</v>
      </c>
      <c r="C1400" t="s">
        <v>10</v>
      </c>
      <c r="D1400" t="s">
        <v>10</v>
      </c>
      <c r="E1400" t="str">
        <f>"$ 61,212"</f>
        <v>$ 61,212</v>
      </c>
      <c r="F1400" s="1">
        <v>6174</v>
      </c>
    </row>
    <row r="1401" spans="1:6">
      <c r="A1401" t="s">
        <v>1403</v>
      </c>
      <c r="B1401" t="str">
        <f>"0.00792%"</f>
        <v>0.00792%</v>
      </c>
      <c r="C1401" t="s">
        <v>10</v>
      </c>
      <c r="D1401" t="s">
        <v>10</v>
      </c>
      <c r="E1401" t="str">
        <f>"$ 61,135"</f>
        <v>$ 61,135</v>
      </c>
      <c r="F1401">
        <v>925</v>
      </c>
    </row>
    <row r="1402" spans="1:6">
      <c r="A1402" t="s">
        <v>1404</v>
      </c>
      <c r="B1402" t="str">
        <f>"0.00791%"</f>
        <v>0.00791%</v>
      </c>
      <c r="C1402" t="s">
        <v>10</v>
      </c>
      <c r="D1402" t="s">
        <v>10</v>
      </c>
      <c r="E1402" t="str">
        <f>"$ 61,054"</f>
        <v>$ 61,054</v>
      </c>
      <c r="F1402" s="1">
        <v>3725</v>
      </c>
    </row>
    <row r="1403" spans="1:6">
      <c r="A1403" t="s">
        <v>1405</v>
      </c>
      <c r="B1403" t="str">
        <f>"0.00791%"</f>
        <v>0.00791%</v>
      </c>
      <c r="C1403" t="s">
        <v>10</v>
      </c>
      <c r="D1403" t="s">
        <v>10</v>
      </c>
      <c r="E1403" t="str">
        <f>"$ 61,079"</f>
        <v>$ 61,079</v>
      </c>
      <c r="F1403">
        <v>304</v>
      </c>
    </row>
    <row r="1404" spans="1:6">
      <c r="A1404" t="s">
        <v>1406</v>
      </c>
      <c r="B1404" t="str">
        <f>"0.00791%"</f>
        <v>0.00791%</v>
      </c>
      <c r="C1404" t="s">
        <v>10</v>
      </c>
      <c r="D1404" t="s">
        <v>10</v>
      </c>
      <c r="E1404" t="str">
        <f>"$ 61,114"</f>
        <v>$ 61,114</v>
      </c>
      <c r="F1404">
        <v>919</v>
      </c>
    </row>
    <row r="1405" spans="1:6">
      <c r="A1405" t="s">
        <v>1407</v>
      </c>
      <c r="B1405" t="str">
        <f>"0.00790%"</f>
        <v>0.00790%</v>
      </c>
      <c r="C1405" t="s">
        <v>10</v>
      </c>
      <c r="D1405" t="s">
        <v>10</v>
      </c>
      <c r="E1405" t="str">
        <f>"$ 61,036"</f>
        <v>$ 61,036</v>
      </c>
      <c r="F1405" s="1">
        <v>9155</v>
      </c>
    </row>
    <row r="1406" spans="1:6">
      <c r="A1406" t="s">
        <v>1408</v>
      </c>
      <c r="B1406" t="str">
        <f>"0.00790%"</f>
        <v>0.00790%</v>
      </c>
      <c r="C1406" t="s">
        <v>10</v>
      </c>
      <c r="D1406" t="s">
        <v>10</v>
      </c>
      <c r="E1406" t="str">
        <f>"$ 61,012"</f>
        <v>$ 61,012</v>
      </c>
      <c r="F1406">
        <v>860</v>
      </c>
    </row>
    <row r="1407" spans="1:6">
      <c r="A1407" t="s">
        <v>1409</v>
      </c>
      <c r="B1407" t="str">
        <f>"0.00790%"</f>
        <v>0.00790%</v>
      </c>
      <c r="C1407" t="s">
        <v>10</v>
      </c>
      <c r="D1407" t="s">
        <v>10</v>
      </c>
      <c r="E1407" t="str">
        <f>"$ 61,035"</f>
        <v>$ 61,035</v>
      </c>
      <c r="F1407" s="1">
        <v>4199</v>
      </c>
    </row>
    <row r="1408" spans="1:6">
      <c r="A1408" t="s">
        <v>1410</v>
      </c>
      <c r="B1408" t="str">
        <f>"0.00789%"</f>
        <v>0.00789%</v>
      </c>
      <c r="C1408" t="s">
        <v>10</v>
      </c>
      <c r="D1408" t="s">
        <v>10</v>
      </c>
      <c r="E1408" t="str">
        <f>"$ 60,936"</f>
        <v>$ 60,936</v>
      </c>
      <c r="F1408">
        <v>341</v>
      </c>
    </row>
    <row r="1409" spans="1:6">
      <c r="A1409" t="s">
        <v>1411</v>
      </c>
      <c r="B1409" t="str">
        <f>"0.00789%"</f>
        <v>0.00789%</v>
      </c>
      <c r="C1409" t="s">
        <v>10</v>
      </c>
      <c r="D1409" t="s">
        <v>10</v>
      </c>
      <c r="E1409" t="str">
        <f>"$ 60,918"</f>
        <v>$ 60,918</v>
      </c>
      <c r="F1409" s="1">
        <v>1172</v>
      </c>
    </row>
    <row r="1410" spans="1:6">
      <c r="A1410" t="s">
        <v>1412</v>
      </c>
      <c r="B1410" t="str">
        <f>"0.00789%"</f>
        <v>0.00789%</v>
      </c>
      <c r="C1410" t="s">
        <v>10</v>
      </c>
      <c r="D1410" t="s">
        <v>10</v>
      </c>
      <c r="E1410" t="str">
        <f>"$ 60,902"</f>
        <v>$ 60,902</v>
      </c>
      <c r="F1410" s="1">
        <v>9997</v>
      </c>
    </row>
    <row r="1411" spans="1:6">
      <c r="A1411" t="s">
        <v>1413</v>
      </c>
      <c r="B1411" t="str">
        <f>"0.00787%"</f>
        <v>0.00787%</v>
      </c>
      <c r="C1411" t="s">
        <v>10</v>
      </c>
      <c r="D1411" t="s">
        <v>10</v>
      </c>
      <c r="E1411" t="str">
        <f>"$ 60,774"</f>
        <v>$ 60,774</v>
      </c>
      <c r="F1411">
        <v>973</v>
      </c>
    </row>
    <row r="1412" spans="1:6">
      <c r="A1412" t="s">
        <v>1414</v>
      </c>
      <c r="B1412" t="str">
        <f>"0.00785%"</f>
        <v>0.00785%</v>
      </c>
      <c r="C1412" t="s">
        <v>10</v>
      </c>
      <c r="D1412" t="s">
        <v>10</v>
      </c>
      <c r="E1412" t="str">
        <f>"$ 60,600"</f>
        <v>$ 60,600</v>
      </c>
      <c r="F1412" s="1">
        <v>2827</v>
      </c>
    </row>
    <row r="1413" spans="1:6">
      <c r="A1413" t="s">
        <v>1415</v>
      </c>
      <c r="B1413" t="str">
        <f>"0.00785%"</f>
        <v>0.00785%</v>
      </c>
      <c r="C1413" t="s">
        <v>10</v>
      </c>
      <c r="D1413" t="s">
        <v>10</v>
      </c>
      <c r="E1413" t="str">
        <f>"$ 60,605"</f>
        <v>$ 60,605</v>
      </c>
      <c r="F1413" s="1">
        <v>5818</v>
      </c>
    </row>
    <row r="1414" spans="1:6">
      <c r="A1414" t="s">
        <v>1416</v>
      </c>
      <c r="B1414" t="str">
        <f>"0.00781%"</f>
        <v>0.00781%</v>
      </c>
      <c r="C1414" t="s">
        <v>10</v>
      </c>
      <c r="D1414" t="s">
        <v>10</v>
      </c>
      <c r="E1414" t="str">
        <f>"$ 60,302"</f>
        <v>$ 60,302</v>
      </c>
      <c r="F1414" s="1">
        <v>1435</v>
      </c>
    </row>
    <row r="1415" spans="1:6">
      <c r="A1415" t="s">
        <v>1417</v>
      </c>
      <c r="B1415" t="str">
        <f>"0.00780%"</f>
        <v>0.00780%</v>
      </c>
      <c r="C1415" t="s">
        <v>10</v>
      </c>
      <c r="D1415" t="s">
        <v>10</v>
      </c>
      <c r="E1415" t="str">
        <f>"$ 60,225"</f>
        <v>$ 60,225</v>
      </c>
      <c r="F1415" s="1">
        <v>1270</v>
      </c>
    </row>
    <row r="1416" spans="1:6">
      <c r="A1416" t="s">
        <v>1418</v>
      </c>
      <c r="B1416" t="str">
        <f>"0.00779%"</f>
        <v>0.00779%</v>
      </c>
      <c r="C1416" t="s">
        <v>10</v>
      </c>
      <c r="D1416" t="s">
        <v>10</v>
      </c>
      <c r="E1416" t="str">
        <f>"$ 60,120"</f>
        <v>$ 60,120</v>
      </c>
      <c r="F1416" s="1">
        <v>1353</v>
      </c>
    </row>
    <row r="1417" spans="1:6">
      <c r="A1417" t="s">
        <v>1419</v>
      </c>
      <c r="B1417" t="str">
        <f>"0.00778%"</f>
        <v>0.00778%</v>
      </c>
      <c r="C1417" t="s">
        <v>10</v>
      </c>
      <c r="D1417" t="s">
        <v>10</v>
      </c>
      <c r="E1417" t="str">
        <f>"$ 60,049"</f>
        <v>$ 60,049</v>
      </c>
      <c r="F1417">
        <v>530</v>
      </c>
    </row>
    <row r="1418" spans="1:6">
      <c r="A1418" t="s">
        <v>1420</v>
      </c>
      <c r="B1418" t="str">
        <f>"0.00777%"</f>
        <v>0.00777%</v>
      </c>
      <c r="C1418" t="s">
        <v>10</v>
      </c>
      <c r="D1418" t="s">
        <v>10</v>
      </c>
      <c r="E1418" t="str">
        <f>"$ 59,992"</f>
        <v>$ 59,992</v>
      </c>
      <c r="F1418" s="1">
        <v>20231</v>
      </c>
    </row>
    <row r="1419" spans="1:6">
      <c r="A1419" t="s">
        <v>1421</v>
      </c>
      <c r="B1419" t="str">
        <f>"0.00777%"</f>
        <v>0.00777%</v>
      </c>
      <c r="C1419" t="s">
        <v>10</v>
      </c>
      <c r="D1419" t="s">
        <v>10</v>
      </c>
      <c r="E1419" t="str">
        <f>"$ 60,018"</f>
        <v>$ 60,018</v>
      </c>
      <c r="F1419" s="1">
        <v>3777</v>
      </c>
    </row>
    <row r="1420" spans="1:6">
      <c r="A1420" t="s">
        <v>1422</v>
      </c>
      <c r="B1420" t="str">
        <f>"0.00775%"</f>
        <v>0.00775%</v>
      </c>
      <c r="C1420" t="s">
        <v>10</v>
      </c>
      <c r="D1420" t="s">
        <v>10</v>
      </c>
      <c r="E1420" t="str">
        <f>"$ 59,811"</f>
        <v>$ 59,811</v>
      </c>
      <c r="F1420" s="1">
        <v>2619</v>
      </c>
    </row>
    <row r="1421" spans="1:6">
      <c r="A1421" t="s">
        <v>1423</v>
      </c>
      <c r="B1421" t="str">
        <f>"0.00774%"</f>
        <v>0.00774%</v>
      </c>
      <c r="C1421" t="s">
        <v>10</v>
      </c>
      <c r="D1421" t="s">
        <v>10</v>
      </c>
      <c r="E1421" t="str">
        <f>"$ 59,797"</f>
        <v>$ 59,797</v>
      </c>
      <c r="F1421" s="1">
        <v>1002</v>
      </c>
    </row>
    <row r="1422" spans="1:6">
      <c r="A1422" t="s">
        <v>1424</v>
      </c>
      <c r="B1422" t="str">
        <f>"0.00773%"</f>
        <v>0.00773%</v>
      </c>
      <c r="C1422" t="s">
        <v>10</v>
      </c>
      <c r="D1422" t="s">
        <v>10</v>
      </c>
      <c r="E1422" t="str">
        <f>"$ 59,720"</f>
        <v>$ 59,720</v>
      </c>
      <c r="F1422" s="1">
        <v>1071</v>
      </c>
    </row>
    <row r="1423" spans="1:6">
      <c r="A1423" t="s">
        <v>1425</v>
      </c>
      <c r="B1423" t="str">
        <f>"0.00773%"</f>
        <v>0.00773%</v>
      </c>
      <c r="C1423" t="s">
        <v>10</v>
      </c>
      <c r="D1423" t="s">
        <v>10</v>
      </c>
      <c r="E1423" t="str">
        <f>"$ 59,680"</f>
        <v>$ 59,680</v>
      </c>
      <c r="F1423" s="1">
        <v>27695</v>
      </c>
    </row>
    <row r="1424" spans="1:6">
      <c r="A1424" t="s">
        <v>1426</v>
      </c>
      <c r="B1424" t="str">
        <f>"0.00771%"</f>
        <v>0.00771%</v>
      </c>
      <c r="C1424" t="s">
        <v>10</v>
      </c>
      <c r="D1424" t="s">
        <v>10</v>
      </c>
      <c r="E1424" t="str">
        <f>"$ 59,519"</f>
        <v>$ 59,519</v>
      </c>
      <c r="F1424" s="1">
        <v>1203</v>
      </c>
    </row>
    <row r="1425" spans="1:6">
      <c r="A1425" t="s">
        <v>1427</v>
      </c>
      <c r="B1425" t="str">
        <f>"0.00771%"</f>
        <v>0.00771%</v>
      </c>
      <c r="C1425" t="s">
        <v>10</v>
      </c>
      <c r="D1425" t="s">
        <v>10</v>
      </c>
      <c r="E1425" t="str">
        <f>"$ 59,548"</f>
        <v>$ 59,548</v>
      </c>
      <c r="F1425" s="1">
        <v>2644</v>
      </c>
    </row>
    <row r="1426" spans="1:6">
      <c r="A1426" t="s">
        <v>1428</v>
      </c>
      <c r="B1426" t="str">
        <f>"0.00770%"</f>
        <v>0.00770%</v>
      </c>
      <c r="C1426" t="s">
        <v>10</v>
      </c>
      <c r="D1426" t="s">
        <v>10</v>
      </c>
      <c r="E1426" t="str">
        <f>"$ 59,466"</f>
        <v>$ 59,466</v>
      </c>
      <c r="F1426">
        <v>864</v>
      </c>
    </row>
    <row r="1427" spans="1:6">
      <c r="A1427" t="s">
        <v>1429</v>
      </c>
      <c r="B1427" t="str">
        <f>"0.00770%"</f>
        <v>0.00770%</v>
      </c>
      <c r="C1427" t="s">
        <v>10</v>
      </c>
      <c r="D1427" t="s">
        <v>10</v>
      </c>
      <c r="E1427" t="str">
        <f>"$ 59,427"</f>
        <v>$ 59,427</v>
      </c>
      <c r="F1427" s="1">
        <v>20300</v>
      </c>
    </row>
    <row r="1428" spans="1:6">
      <c r="A1428" t="s">
        <v>1430</v>
      </c>
      <c r="B1428" t="str">
        <f>"0.00768%"</f>
        <v>0.00768%</v>
      </c>
      <c r="C1428" t="s">
        <v>10</v>
      </c>
      <c r="D1428" t="s">
        <v>10</v>
      </c>
      <c r="E1428" t="str">
        <f>"$ 59,317"</f>
        <v>$ 59,317</v>
      </c>
      <c r="F1428" s="1">
        <v>9534</v>
      </c>
    </row>
    <row r="1429" spans="1:6">
      <c r="A1429" t="s">
        <v>1431</v>
      </c>
      <c r="B1429" t="str">
        <f>"0.00765%"</f>
        <v>0.00765%</v>
      </c>
      <c r="C1429" t="s">
        <v>10</v>
      </c>
      <c r="D1429" t="s">
        <v>10</v>
      </c>
      <c r="E1429" t="str">
        <f>"$ 59,094"</f>
        <v>$ 59,094</v>
      </c>
      <c r="F1429">
        <v>302</v>
      </c>
    </row>
    <row r="1430" spans="1:6">
      <c r="A1430" t="s">
        <v>1432</v>
      </c>
      <c r="B1430" t="str">
        <f>"0.00765%"</f>
        <v>0.00765%</v>
      </c>
      <c r="C1430" t="s">
        <v>10</v>
      </c>
      <c r="D1430" t="s">
        <v>10</v>
      </c>
      <c r="E1430" t="str">
        <f>"$ 59,089"</f>
        <v>$ 59,089</v>
      </c>
      <c r="F1430">
        <v>391</v>
      </c>
    </row>
    <row r="1431" spans="1:6">
      <c r="A1431" t="s">
        <v>1433</v>
      </c>
      <c r="B1431" t="str">
        <f>"0.00765%"</f>
        <v>0.00765%</v>
      </c>
      <c r="C1431" t="s">
        <v>10</v>
      </c>
      <c r="D1431" t="s">
        <v>10</v>
      </c>
      <c r="E1431" t="str">
        <f>"$ 59,111"</f>
        <v>$ 59,111</v>
      </c>
      <c r="F1431">
        <v>651</v>
      </c>
    </row>
    <row r="1432" spans="1:6">
      <c r="A1432" t="s">
        <v>1434</v>
      </c>
      <c r="B1432" t="str">
        <f>"0.00765%"</f>
        <v>0.00765%</v>
      </c>
      <c r="C1432" t="s">
        <v>10</v>
      </c>
      <c r="D1432" t="s">
        <v>10</v>
      </c>
      <c r="E1432" t="str">
        <f>"$ 59,075"</f>
        <v>$ 59,075</v>
      </c>
      <c r="F1432">
        <v>533</v>
      </c>
    </row>
    <row r="1433" spans="1:6">
      <c r="A1433" t="s">
        <v>1435</v>
      </c>
      <c r="B1433" t="str">
        <f>"0.00764%"</f>
        <v>0.00764%</v>
      </c>
      <c r="C1433" t="s">
        <v>10</v>
      </c>
      <c r="D1433" t="s">
        <v>10</v>
      </c>
      <c r="E1433" t="str">
        <f>"$ 58,979"</f>
        <v>$ 58,979</v>
      </c>
      <c r="F1433" s="1">
        <v>3464</v>
      </c>
    </row>
    <row r="1434" spans="1:6">
      <c r="A1434" t="s">
        <v>1436</v>
      </c>
      <c r="B1434" t="str">
        <f>"0.00764%"</f>
        <v>0.00764%</v>
      </c>
      <c r="C1434" t="s">
        <v>10</v>
      </c>
      <c r="D1434" t="s">
        <v>10</v>
      </c>
      <c r="E1434" t="str">
        <f>"$ 58,976"</f>
        <v>$ 58,976</v>
      </c>
      <c r="F1434">
        <v>998</v>
      </c>
    </row>
    <row r="1435" spans="1:6">
      <c r="A1435" t="s">
        <v>1437</v>
      </c>
      <c r="B1435" t="str">
        <f>"0.00764%"</f>
        <v>0.00764%</v>
      </c>
      <c r="C1435" t="s">
        <v>10</v>
      </c>
      <c r="D1435" t="s">
        <v>10</v>
      </c>
      <c r="E1435" t="str">
        <f>"$ 59,034"</f>
        <v>$ 59,034</v>
      </c>
      <c r="F1435" s="1">
        <v>2729</v>
      </c>
    </row>
    <row r="1436" spans="1:6">
      <c r="A1436" t="s">
        <v>1438</v>
      </c>
      <c r="B1436" t="str">
        <f>"0.00764%"</f>
        <v>0.00764%</v>
      </c>
      <c r="C1436" t="s">
        <v>10</v>
      </c>
      <c r="D1436" t="s">
        <v>10</v>
      </c>
      <c r="E1436" t="str">
        <f>"$ 59,004"</f>
        <v>$ 59,004</v>
      </c>
      <c r="F1436" s="1">
        <v>3954</v>
      </c>
    </row>
    <row r="1437" spans="1:6">
      <c r="A1437" t="s">
        <v>1439</v>
      </c>
      <c r="B1437" t="str">
        <f>"0.00762%"</f>
        <v>0.00762%</v>
      </c>
      <c r="C1437" t="s">
        <v>10</v>
      </c>
      <c r="D1437" t="s">
        <v>10</v>
      </c>
      <c r="E1437" t="str">
        <f>"$ 58,809"</f>
        <v>$ 58,809</v>
      </c>
      <c r="F1437">
        <v>972</v>
      </c>
    </row>
    <row r="1438" spans="1:6">
      <c r="A1438" t="s">
        <v>1440</v>
      </c>
      <c r="B1438" t="str">
        <f>"0.00761%"</f>
        <v>0.00761%</v>
      </c>
      <c r="C1438" t="s">
        <v>10</v>
      </c>
      <c r="D1438" t="s">
        <v>10</v>
      </c>
      <c r="E1438" t="str">
        <f>"$ 58,728"</f>
        <v>$ 58,728</v>
      </c>
      <c r="F1438" s="1">
        <v>10825</v>
      </c>
    </row>
    <row r="1439" spans="1:6">
      <c r="A1439" t="s">
        <v>1441</v>
      </c>
      <c r="B1439" t="str">
        <f>"0.00760%"</f>
        <v>0.00760%</v>
      </c>
      <c r="C1439" t="s">
        <v>10</v>
      </c>
      <c r="D1439" t="s">
        <v>10</v>
      </c>
      <c r="E1439" t="str">
        <f>"$ 58,715"</f>
        <v>$ 58,715</v>
      </c>
      <c r="F1439">
        <v>284</v>
      </c>
    </row>
    <row r="1440" spans="1:6">
      <c r="A1440" t="s">
        <v>1442</v>
      </c>
      <c r="B1440" t="str">
        <f>"0.00759%"</f>
        <v>0.00759%</v>
      </c>
      <c r="C1440" t="s">
        <v>10</v>
      </c>
      <c r="D1440" t="s">
        <v>10</v>
      </c>
      <c r="E1440" t="str">
        <f>"$ 58,612"</f>
        <v>$ 58,612</v>
      </c>
      <c r="F1440" s="1">
        <v>3102</v>
      </c>
    </row>
    <row r="1441" spans="1:6">
      <c r="A1441" t="s">
        <v>1443</v>
      </c>
      <c r="B1441" t="str">
        <f>"0.00759%"</f>
        <v>0.00759%</v>
      </c>
      <c r="C1441" t="s">
        <v>10</v>
      </c>
      <c r="D1441" t="s">
        <v>10</v>
      </c>
      <c r="E1441" t="str">
        <f>"$ 58,646"</f>
        <v>$ 58,646</v>
      </c>
      <c r="F1441">
        <v>705</v>
      </c>
    </row>
    <row r="1442" spans="1:6">
      <c r="A1442" t="s">
        <v>1444</v>
      </c>
      <c r="B1442" t="str">
        <f>"0.00758%"</f>
        <v>0.00758%</v>
      </c>
      <c r="C1442" t="s">
        <v>10</v>
      </c>
      <c r="D1442" t="s">
        <v>10</v>
      </c>
      <c r="E1442" t="str">
        <f>"$ 58,563"</f>
        <v>$ 58,563</v>
      </c>
      <c r="F1442">
        <v>393</v>
      </c>
    </row>
    <row r="1443" spans="1:6">
      <c r="A1443" t="s">
        <v>1445</v>
      </c>
      <c r="B1443" t="str">
        <f>"0.00758%"</f>
        <v>0.00758%</v>
      </c>
      <c r="C1443" t="s">
        <v>10</v>
      </c>
      <c r="D1443" t="s">
        <v>10</v>
      </c>
      <c r="E1443" t="str">
        <f>"$ 58,533"</f>
        <v>$ 58,533</v>
      </c>
      <c r="F1443" s="1">
        <v>2354</v>
      </c>
    </row>
    <row r="1444" spans="1:6">
      <c r="A1444" t="s">
        <v>1446</v>
      </c>
      <c r="B1444" t="str">
        <f>"0.00758%"</f>
        <v>0.00758%</v>
      </c>
      <c r="C1444" t="s">
        <v>10</v>
      </c>
      <c r="D1444" t="s">
        <v>10</v>
      </c>
      <c r="E1444" t="str">
        <f>"$ 58,557"</f>
        <v>$ 58,557</v>
      </c>
      <c r="F1444">
        <v>238</v>
      </c>
    </row>
    <row r="1445" spans="1:6">
      <c r="A1445" t="s">
        <v>1447</v>
      </c>
      <c r="B1445" t="str">
        <f>"0.00758%"</f>
        <v>0.00758%</v>
      </c>
      <c r="C1445" t="s">
        <v>10</v>
      </c>
      <c r="D1445" t="s">
        <v>10</v>
      </c>
      <c r="E1445" t="str">
        <f>"$ 58,520"</f>
        <v>$ 58,520</v>
      </c>
      <c r="F1445">
        <v>791</v>
      </c>
    </row>
    <row r="1446" spans="1:6">
      <c r="A1446" t="s">
        <v>1448</v>
      </c>
      <c r="B1446" t="str">
        <f>"0.00758%"</f>
        <v>0.00758%</v>
      </c>
      <c r="C1446" t="s">
        <v>10</v>
      </c>
      <c r="D1446" t="s">
        <v>10</v>
      </c>
      <c r="E1446" t="str">
        <f>"$ 58,556"</f>
        <v>$ 58,556</v>
      </c>
      <c r="F1446" s="1">
        <v>2513</v>
      </c>
    </row>
    <row r="1447" spans="1:6">
      <c r="A1447" t="s">
        <v>1449</v>
      </c>
      <c r="B1447" t="str">
        <f>"0.00757%"</f>
        <v>0.00757%</v>
      </c>
      <c r="C1447" t="s">
        <v>10</v>
      </c>
      <c r="D1447" t="s">
        <v>10</v>
      </c>
      <c r="E1447" t="str">
        <f>"$ 58,474"</f>
        <v>$ 58,474</v>
      </c>
      <c r="F1447" s="1">
        <v>7061</v>
      </c>
    </row>
    <row r="1448" spans="1:6">
      <c r="A1448" t="s">
        <v>1450</v>
      </c>
      <c r="B1448" t="str">
        <f>"0.00757%"</f>
        <v>0.00757%</v>
      </c>
      <c r="C1448" t="s">
        <v>10</v>
      </c>
      <c r="D1448" t="s">
        <v>10</v>
      </c>
      <c r="E1448" t="str">
        <f>"$ 58,443"</f>
        <v>$ 58,443</v>
      </c>
      <c r="F1448" s="1">
        <v>21811</v>
      </c>
    </row>
    <row r="1449" spans="1:6">
      <c r="A1449" t="s">
        <v>1451</v>
      </c>
      <c r="B1449" t="str">
        <f>"0.00756%"</f>
        <v>0.00756%</v>
      </c>
      <c r="C1449" t="s">
        <v>10</v>
      </c>
      <c r="D1449" t="s">
        <v>10</v>
      </c>
      <c r="E1449" t="str">
        <f>"$ 58,343"</f>
        <v>$ 58,343</v>
      </c>
      <c r="F1449">
        <v>421</v>
      </c>
    </row>
    <row r="1450" spans="1:6">
      <c r="A1450" t="s">
        <v>1452</v>
      </c>
      <c r="B1450" t="str">
        <f>"0.00755%"</f>
        <v>0.00755%</v>
      </c>
      <c r="C1450" t="s">
        <v>10</v>
      </c>
      <c r="D1450" t="s">
        <v>10</v>
      </c>
      <c r="E1450" t="str">
        <f>"$ 58,330"</f>
        <v>$ 58,330</v>
      </c>
      <c r="F1450" s="1">
        <v>17894</v>
      </c>
    </row>
    <row r="1451" spans="1:6">
      <c r="A1451" t="s">
        <v>1453</v>
      </c>
      <c r="B1451" t="str">
        <f>"0.00755%"</f>
        <v>0.00755%</v>
      </c>
      <c r="C1451" t="s">
        <v>10</v>
      </c>
      <c r="D1451" t="s">
        <v>10</v>
      </c>
      <c r="E1451" t="str">
        <f>"$ 58,335"</f>
        <v>$ 58,335</v>
      </c>
      <c r="F1451" s="1">
        <v>1491</v>
      </c>
    </row>
    <row r="1452" spans="1:6">
      <c r="A1452" t="s">
        <v>1454</v>
      </c>
      <c r="B1452" t="str">
        <f>"0.00754%"</f>
        <v>0.00754%</v>
      </c>
      <c r="C1452" t="s">
        <v>10</v>
      </c>
      <c r="D1452" t="s">
        <v>10</v>
      </c>
      <c r="E1452" t="str">
        <f>"$ 58,190"</f>
        <v>$ 58,190</v>
      </c>
      <c r="F1452" s="1">
        <v>3246</v>
      </c>
    </row>
    <row r="1453" spans="1:6">
      <c r="A1453" t="s">
        <v>1455</v>
      </c>
      <c r="B1453" t="str">
        <f>"0.00753%"</f>
        <v>0.00753%</v>
      </c>
      <c r="C1453" t="s">
        <v>10</v>
      </c>
      <c r="D1453" t="s">
        <v>10</v>
      </c>
      <c r="E1453" t="str">
        <f>"$ 58,127"</f>
        <v>$ 58,127</v>
      </c>
      <c r="F1453">
        <v>340</v>
      </c>
    </row>
    <row r="1454" spans="1:6">
      <c r="A1454" t="s">
        <v>1456</v>
      </c>
      <c r="B1454" t="str">
        <f>"0.00753%"</f>
        <v>0.00753%</v>
      </c>
      <c r="C1454" t="s">
        <v>10</v>
      </c>
      <c r="D1454" t="s">
        <v>10</v>
      </c>
      <c r="E1454" t="str">
        <f>"$ 58,122"</f>
        <v>$ 58,122</v>
      </c>
      <c r="F1454">
        <v>346</v>
      </c>
    </row>
    <row r="1455" spans="1:6">
      <c r="A1455" t="s">
        <v>1457</v>
      </c>
      <c r="B1455" t="str">
        <f>"0.00752%"</f>
        <v>0.00752%</v>
      </c>
      <c r="C1455" t="s">
        <v>10</v>
      </c>
      <c r="D1455" t="s">
        <v>10</v>
      </c>
      <c r="E1455" t="str">
        <f>"$ 58,066"</f>
        <v>$ 58,066</v>
      </c>
      <c r="F1455" s="1">
        <v>1617</v>
      </c>
    </row>
    <row r="1456" spans="1:6">
      <c r="A1456" t="s">
        <v>1458</v>
      </c>
      <c r="B1456" t="str">
        <f>"0.00752%"</f>
        <v>0.00752%</v>
      </c>
      <c r="C1456" t="s">
        <v>10</v>
      </c>
      <c r="D1456" t="s">
        <v>10</v>
      </c>
      <c r="E1456" t="str">
        <f>"$ 58,093"</f>
        <v>$ 58,093</v>
      </c>
      <c r="F1456" s="1">
        <v>38595</v>
      </c>
    </row>
    <row r="1457" spans="1:6">
      <c r="A1457" t="s">
        <v>1459</v>
      </c>
      <c r="B1457" t="str">
        <f>"0.00752%"</f>
        <v>0.00752%</v>
      </c>
      <c r="C1457" t="s">
        <v>10</v>
      </c>
      <c r="D1457" t="s">
        <v>10</v>
      </c>
      <c r="E1457" t="str">
        <f>"$ 58,045"</f>
        <v>$ 58,045</v>
      </c>
      <c r="F1457">
        <v>452</v>
      </c>
    </row>
    <row r="1458" spans="1:6">
      <c r="A1458" t="s">
        <v>1460</v>
      </c>
      <c r="B1458" t="str">
        <f>"0.00752%"</f>
        <v>0.00752%</v>
      </c>
      <c r="C1458" t="s">
        <v>10</v>
      </c>
      <c r="D1458" t="s">
        <v>10</v>
      </c>
      <c r="E1458" t="str">
        <f>"$ 58,078"</f>
        <v>$ 58,078</v>
      </c>
      <c r="F1458" s="1">
        <v>18662</v>
      </c>
    </row>
    <row r="1459" spans="1:6">
      <c r="A1459" t="s">
        <v>1461</v>
      </c>
      <c r="B1459" t="str">
        <f>"0.00751%"</f>
        <v>0.00751%</v>
      </c>
      <c r="C1459" t="s">
        <v>10</v>
      </c>
      <c r="D1459" t="s">
        <v>10</v>
      </c>
      <c r="E1459" t="str">
        <f>"$ 57,966"</f>
        <v>$ 57,966</v>
      </c>
      <c r="F1459" s="1">
        <v>2502</v>
      </c>
    </row>
    <row r="1460" spans="1:6">
      <c r="A1460" t="s">
        <v>1462</v>
      </c>
      <c r="B1460" t="str">
        <f>"0.00750%"</f>
        <v>0.00750%</v>
      </c>
      <c r="C1460" t="s">
        <v>10</v>
      </c>
      <c r="D1460" t="s">
        <v>10</v>
      </c>
      <c r="E1460" t="str">
        <f>"$ 57,912"</f>
        <v>$ 57,912</v>
      </c>
      <c r="F1460" s="1">
        <v>1666</v>
      </c>
    </row>
    <row r="1461" spans="1:6">
      <c r="A1461" t="s">
        <v>1463</v>
      </c>
      <c r="B1461" t="str">
        <f>"0.00750%"</f>
        <v>0.00750%</v>
      </c>
      <c r="C1461" t="s">
        <v>10</v>
      </c>
      <c r="D1461" t="s">
        <v>10</v>
      </c>
      <c r="E1461" t="str">
        <f>"$ 57,920"</f>
        <v>$ 57,920</v>
      </c>
      <c r="F1461" s="1">
        <v>1701</v>
      </c>
    </row>
    <row r="1462" spans="1:6">
      <c r="A1462" t="s">
        <v>1464</v>
      </c>
      <c r="B1462" t="str">
        <f>"0.00750%"</f>
        <v>0.00750%</v>
      </c>
      <c r="C1462" t="s">
        <v>10</v>
      </c>
      <c r="D1462" t="s">
        <v>10</v>
      </c>
      <c r="E1462" t="str">
        <f>"$ 57,899"</f>
        <v>$ 57,899</v>
      </c>
      <c r="F1462" s="1">
        <v>11998</v>
      </c>
    </row>
    <row r="1463" spans="1:6">
      <c r="A1463" t="s">
        <v>1465</v>
      </c>
      <c r="B1463" t="str">
        <f>"0.00749%"</f>
        <v>0.00749%</v>
      </c>
      <c r="C1463" t="s">
        <v>10</v>
      </c>
      <c r="D1463" t="s">
        <v>10</v>
      </c>
      <c r="E1463" t="str">
        <f>"$ 57,802"</f>
        <v>$ 57,802</v>
      </c>
      <c r="F1463" s="1">
        <v>12042</v>
      </c>
    </row>
    <row r="1464" spans="1:6">
      <c r="A1464" t="s">
        <v>1466</v>
      </c>
      <c r="B1464" t="str">
        <f>"0.00749%"</f>
        <v>0.00749%</v>
      </c>
      <c r="C1464" t="s">
        <v>10</v>
      </c>
      <c r="D1464" t="s">
        <v>10</v>
      </c>
      <c r="E1464" t="str">
        <f>"$ 57,821"</f>
        <v>$ 57,821</v>
      </c>
      <c r="F1464" s="1">
        <v>6083</v>
      </c>
    </row>
    <row r="1465" spans="1:6">
      <c r="A1465" t="s">
        <v>1467</v>
      </c>
      <c r="B1465" t="str">
        <f>"0.00747%"</f>
        <v>0.00747%</v>
      </c>
      <c r="C1465" t="s">
        <v>10</v>
      </c>
      <c r="D1465" t="s">
        <v>10</v>
      </c>
      <c r="E1465" t="str">
        <f>"$ 57,688"</f>
        <v>$ 57,688</v>
      </c>
      <c r="F1465">
        <v>645</v>
      </c>
    </row>
    <row r="1466" spans="1:6">
      <c r="A1466" t="s">
        <v>1468</v>
      </c>
      <c r="B1466" t="str">
        <f>"0.00745%"</f>
        <v>0.00745%</v>
      </c>
      <c r="C1466" t="s">
        <v>10</v>
      </c>
      <c r="D1466" t="s">
        <v>10</v>
      </c>
      <c r="E1466" t="str">
        <f>"$ 57,526"</f>
        <v>$ 57,526</v>
      </c>
      <c r="F1466" s="1">
        <v>1372</v>
      </c>
    </row>
    <row r="1467" spans="1:6">
      <c r="A1467" t="s">
        <v>1469</v>
      </c>
      <c r="B1467" t="str">
        <f>"0.00744%"</f>
        <v>0.00744%</v>
      </c>
      <c r="C1467" t="s">
        <v>10</v>
      </c>
      <c r="D1467" t="s">
        <v>10</v>
      </c>
      <c r="E1467" t="str">
        <f>"$ 57,448"</f>
        <v>$ 57,448</v>
      </c>
      <c r="F1467">
        <v>801</v>
      </c>
    </row>
    <row r="1468" spans="1:6">
      <c r="A1468" t="s">
        <v>1470</v>
      </c>
      <c r="B1468" t="str">
        <f>"0.00743%"</f>
        <v>0.00743%</v>
      </c>
      <c r="C1468" t="s">
        <v>10</v>
      </c>
      <c r="D1468" t="s">
        <v>10</v>
      </c>
      <c r="E1468" t="str">
        <f>"$ 57,337"</f>
        <v>$ 57,337</v>
      </c>
      <c r="F1468" s="1">
        <v>2411</v>
      </c>
    </row>
    <row r="1469" spans="1:6">
      <c r="A1469" t="s">
        <v>1471</v>
      </c>
      <c r="B1469" t="str">
        <f>"0.00740%"</f>
        <v>0.00740%</v>
      </c>
      <c r="C1469" t="s">
        <v>10</v>
      </c>
      <c r="D1469" t="s">
        <v>10</v>
      </c>
      <c r="E1469" t="str">
        <f>"$ 57,151"</f>
        <v>$ 57,151</v>
      </c>
      <c r="F1469" s="1">
        <v>6989</v>
      </c>
    </row>
    <row r="1470" spans="1:6">
      <c r="A1470" t="s">
        <v>1472</v>
      </c>
      <c r="B1470" t="str">
        <f>"0.00739%"</f>
        <v>0.00739%</v>
      </c>
      <c r="C1470" t="s">
        <v>10</v>
      </c>
      <c r="D1470" t="s">
        <v>10</v>
      </c>
      <c r="E1470" t="str">
        <f>"$ 57,035"</f>
        <v>$ 57,035</v>
      </c>
      <c r="F1470" s="1">
        <v>1195</v>
      </c>
    </row>
    <row r="1471" spans="1:6">
      <c r="A1471" t="s">
        <v>1473</v>
      </c>
      <c r="B1471" t="str">
        <f>"0.00738%"</f>
        <v>0.00738%</v>
      </c>
      <c r="C1471" t="s">
        <v>10</v>
      </c>
      <c r="D1471" t="s">
        <v>10</v>
      </c>
      <c r="E1471" t="str">
        <f>"$ 56,970"</f>
        <v>$ 56,970</v>
      </c>
      <c r="F1471" s="1">
        <v>1447</v>
      </c>
    </row>
    <row r="1472" spans="1:6">
      <c r="A1472" t="s">
        <v>1474</v>
      </c>
      <c r="B1472" t="str">
        <f>"0.00737%"</f>
        <v>0.00737%</v>
      </c>
      <c r="C1472" t="s">
        <v>10</v>
      </c>
      <c r="D1472" t="s">
        <v>10</v>
      </c>
      <c r="E1472" t="str">
        <f>"$ 56,889"</f>
        <v>$ 56,889</v>
      </c>
      <c r="F1472" s="1">
        <v>1376</v>
      </c>
    </row>
    <row r="1473" spans="1:6">
      <c r="A1473" t="s">
        <v>1475</v>
      </c>
      <c r="B1473" t="str">
        <f>"0.00737%"</f>
        <v>0.00737%</v>
      </c>
      <c r="C1473" t="s">
        <v>10</v>
      </c>
      <c r="D1473" t="s">
        <v>10</v>
      </c>
      <c r="E1473" t="str">
        <f>"$ 56,941"</f>
        <v>$ 56,941</v>
      </c>
      <c r="F1473">
        <v>643</v>
      </c>
    </row>
    <row r="1474" spans="1:6">
      <c r="A1474" t="s">
        <v>1476</v>
      </c>
      <c r="B1474" t="str">
        <f>"0.00735%"</f>
        <v>0.00735%</v>
      </c>
      <c r="C1474" t="s">
        <v>10</v>
      </c>
      <c r="D1474" t="s">
        <v>10</v>
      </c>
      <c r="E1474" t="str">
        <f>"$ 56,727"</f>
        <v>$ 56,727</v>
      </c>
      <c r="F1474">
        <v>320</v>
      </c>
    </row>
    <row r="1475" spans="1:6">
      <c r="A1475" t="s">
        <v>1477</v>
      </c>
      <c r="B1475" t="str">
        <f>"0.00733%"</f>
        <v>0.00733%</v>
      </c>
      <c r="C1475" t="s">
        <v>10</v>
      </c>
      <c r="D1475" t="s">
        <v>10</v>
      </c>
      <c r="E1475" t="str">
        <f>"$ 56,615"</f>
        <v>$ 56,615</v>
      </c>
      <c r="F1475" s="1">
        <v>8462</v>
      </c>
    </row>
    <row r="1476" spans="1:6">
      <c r="A1476" t="s">
        <v>1478</v>
      </c>
      <c r="B1476" t="str">
        <f>"0.00733%"</f>
        <v>0.00733%</v>
      </c>
      <c r="C1476" t="s">
        <v>10</v>
      </c>
      <c r="D1476" t="s">
        <v>10</v>
      </c>
      <c r="E1476" t="str">
        <f>"$ 56,565"</f>
        <v>$ 56,565</v>
      </c>
      <c r="F1476" s="1">
        <v>1177</v>
      </c>
    </row>
    <row r="1477" spans="1:6">
      <c r="A1477" t="s">
        <v>1479</v>
      </c>
      <c r="B1477" t="str">
        <f>"0.00732%"</f>
        <v>0.00732%</v>
      </c>
      <c r="C1477" t="s">
        <v>10</v>
      </c>
      <c r="D1477" t="s">
        <v>10</v>
      </c>
      <c r="E1477" t="str">
        <f>"$ 56,525"</f>
        <v>$ 56,525</v>
      </c>
      <c r="F1477">
        <v>445</v>
      </c>
    </row>
    <row r="1478" spans="1:6">
      <c r="A1478" t="s">
        <v>1480</v>
      </c>
      <c r="B1478" t="str">
        <f>"0.00731%"</f>
        <v>0.00731%</v>
      </c>
      <c r="C1478" t="s">
        <v>10</v>
      </c>
      <c r="D1478" t="s">
        <v>10</v>
      </c>
      <c r="E1478" t="str">
        <f>"$ 56,423"</f>
        <v>$ 56,423</v>
      </c>
      <c r="F1478">
        <v>264</v>
      </c>
    </row>
    <row r="1479" spans="1:6">
      <c r="A1479" t="s">
        <v>1481</v>
      </c>
      <c r="B1479" t="str">
        <f>"0.00729%"</f>
        <v>0.00729%</v>
      </c>
      <c r="C1479" t="s">
        <v>10</v>
      </c>
      <c r="D1479" t="s">
        <v>10</v>
      </c>
      <c r="E1479" t="str">
        <f>"$ 56,314"</f>
        <v>$ 56,314</v>
      </c>
      <c r="F1479">
        <v>414</v>
      </c>
    </row>
    <row r="1480" spans="1:6">
      <c r="A1480" t="s">
        <v>1482</v>
      </c>
      <c r="B1480" t="str">
        <f>"0.00729%"</f>
        <v>0.00729%</v>
      </c>
      <c r="C1480" t="s">
        <v>10</v>
      </c>
      <c r="D1480" t="s">
        <v>10</v>
      </c>
      <c r="E1480" t="str">
        <f>"$ 56,297"</f>
        <v>$ 56,297</v>
      </c>
      <c r="F1480">
        <v>299</v>
      </c>
    </row>
    <row r="1481" spans="1:6">
      <c r="A1481" t="s">
        <v>1483</v>
      </c>
      <c r="B1481" t="str">
        <f>"0.00728%"</f>
        <v>0.00728%</v>
      </c>
      <c r="C1481" t="s">
        <v>10</v>
      </c>
      <c r="D1481" t="s">
        <v>10</v>
      </c>
      <c r="E1481" t="str">
        <f>"$ 56,227"</f>
        <v>$ 56,227</v>
      </c>
      <c r="F1481" s="1">
        <v>1105</v>
      </c>
    </row>
    <row r="1482" spans="1:6">
      <c r="A1482" t="s">
        <v>1484</v>
      </c>
      <c r="B1482" t="str">
        <f>"0.00727%"</f>
        <v>0.00727%</v>
      </c>
      <c r="C1482" t="s">
        <v>10</v>
      </c>
      <c r="D1482" t="s">
        <v>10</v>
      </c>
      <c r="E1482" t="str">
        <f>"$ 56,119"</f>
        <v>$ 56,119</v>
      </c>
      <c r="F1482">
        <v>610</v>
      </c>
    </row>
    <row r="1483" spans="1:6">
      <c r="A1483" t="s">
        <v>1485</v>
      </c>
      <c r="B1483" t="str">
        <f>"0.00727%"</f>
        <v>0.00727%</v>
      </c>
      <c r="C1483" t="s">
        <v>10</v>
      </c>
      <c r="D1483" t="s">
        <v>10</v>
      </c>
      <c r="E1483" t="str">
        <f>"$ 56,117"</f>
        <v>$ 56,117</v>
      </c>
      <c r="F1483">
        <v>51</v>
      </c>
    </row>
    <row r="1484" spans="1:6">
      <c r="A1484" t="s">
        <v>1486</v>
      </c>
      <c r="B1484" t="str">
        <f>"0.00726%"</f>
        <v>0.00726%</v>
      </c>
      <c r="C1484" t="s">
        <v>10</v>
      </c>
      <c r="D1484" t="s">
        <v>10</v>
      </c>
      <c r="E1484" t="str">
        <f>"$ 56,065"</f>
        <v>$ 56,065</v>
      </c>
      <c r="F1484" s="1">
        <v>1288</v>
      </c>
    </row>
    <row r="1485" spans="1:6">
      <c r="A1485" t="s">
        <v>1487</v>
      </c>
      <c r="B1485" t="str">
        <f>"0.00726%"</f>
        <v>0.00726%</v>
      </c>
      <c r="C1485" t="s">
        <v>10</v>
      </c>
      <c r="D1485" t="s">
        <v>10</v>
      </c>
      <c r="E1485" t="str">
        <f>"$ 56,064"</f>
        <v>$ 56,064</v>
      </c>
      <c r="F1485">
        <v>693</v>
      </c>
    </row>
    <row r="1486" spans="1:6">
      <c r="A1486" t="s">
        <v>1488</v>
      </c>
      <c r="B1486" t="str">
        <f>"0.00726%"</f>
        <v>0.00726%</v>
      </c>
      <c r="C1486" t="s">
        <v>10</v>
      </c>
      <c r="D1486" t="s">
        <v>10</v>
      </c>
      <c r="E1486" t="str">
        <f>"$ 56,065"</f>
        <v>$ 56,065</v>
      </c>
      <c r="F1486">
        <v>317</v>
      </c>
    </row>
    <row r="1487" spans="1:6">
      <c r="A1487" t="s">
        <v>1489</v>
      </c>
      <c r="B1487" t="str">
        <f>"0.00725%"</f>
        <v>0.00725%</v>
      </c>
      <c r="C1487" t="s">
        <v>10</v>
      </c>
      <c r="D1487" t="s">
        <v>10</v>
      </c>
      <c r="E1487" t="str">
        <f>"$ 55,986"</f>
        <v>$ 55,986</v>
      </c>
      <c r="F1487">
        <v>940</v>
      </c>
    </row>
    <row r="1488" spans="1:6">
      <c r="A1488" t="s">
        <v>1490</v>
      </c>
      <c r="B1488" t="str">
        <f>"0.00725%"</f>
        <v>0.00725%</v>
      </c>
      <c r="C1488" t="s">
        <v>10</v>
      </c>
      <c r="D1488" t="s">
        <v>10</v>
      </c>
      <c r="E1488" t="str">
        <f>"$ 56,010"</f>
        <v>$ 56,010</v>
      </c>
      <c r="F1488" s="1">
        <v>2241</v>
      </c>
    </row>
    <row r="1489" spans="1:6">
      <c r="A1489" t="s">
        <v>1491</v>
      </c>
      <c r="B1489" t="str">
        <f>"0.00723%"</f>
        <v>0.00723%</v>
      </c>
      <c r="C1489" t="s">
        <v>10</v>
      </c>
      <c r="D1489" t="s">
        <v>10</v>
      </c>
      <c r="E1489" t="str">
        <f>"$ 55,865"</f>
        <v>$ 55,865</v>
      </c>
      <c r="F1489" s="1">
        <v>49441</v>
      </c>
    </row>
    <row r="1490" spans="1:6">
      <c r="A1490" t="s">
        <v>1492</v>
      </c>
      <c r="B1490" t="str">
        <f>"0.00722%"</f>
        <v>0.00722%</v>
      </c>
      <c r="C1490" t="s">
        <v>10</v>
      </c>
      <c r="D1490" t="s">
        <v>10</v>
      </c>
      <c r="E1490" t="str">
        <f>"$ 55,752"</f>
        <v>$ 55,752</v>
      </c>
      <c r="F1490" s="1">
        <v>1067</v>
      </c>
    </row>
    <row r="1491" spans="1:6">
      <c r="A1491" t="s">
        <v>1493</v>
      </c>
      <c r="B1491" t="str">
        <f>"0.00722%"</f>
        <v>0.00722%</v>
      </c>
      <c r="C1491" t="s">
        <v>10</v>
      </c>
      <c r="D1491" t="s">
        <v>10</v>
      </c>
      <c r="E1491" t="str">
        <f>"$ 55,781"</f>
        <v>$ 55,781</v>
      </c>
      <c r="F1491" s="1">
        <v>3860</v>
      </c>
    </row>
    <row r="1492" spans="1:6">
      <c r="A1492" t="s">
        <v>1494</v>
      </c>
      <c r="B1492" t="str">
        <f>"0.00721%"</f>
        <v>0.00721%</v>
      </c>
      <c r="C1492" t="s">
        <v>10</v>
      </c>
      <c r="D1492" t="s">
        <v>10</v>
      </c>
      <c r="E1492" t="str">
        <f>"$ 55,655"</f>
        <v>$ 55,655</v>
      </c>
      <c r="F1492" s="1">
        <v>2982</v>
      </c>
    </row>
    <row r="1493" spans="1:6">
      <c r="A1493" t="s">
        <v>1495</v>
      </c>
      <c r="B1493" t="str">
        <f>"0.00720%"</f>
        <v>0.00720%</v>
      </c>
      <c r="C1493" t="s">
        <v>10</v>
      </c>
      <c r="D1493" t="s">
        <v>10</v>
      </c>
      <c r="E1493" t="str">
        <f>"$ 55,605"</f>
        <v>$ 55,605</v>
      </c>
      <c r="F1493" s="1">
        <v>1748</v>
      </c>
    </row>
    <row r="1494" spans="1:6">
      <c r="A1494" t="s">
        <v>1496</v>
      </c>
      <c r="B1494" t="str">
        <f>"0.00719%"</f>
        <v>0.00719%</v>
      </c>
      <c r="C1494" t="s">
        <v>10</v>
      </c>
      <c r="D1494" t="s">
        <v>10</v>
      </c>
      <c r="E1494" t="str">
        <f>"$ 55,502"</f>
        <v>$ 55,502</v>
      </c>
      <c r="F1494" s="1">
        <v>14659</v>
      </c>
    </row>
    <row r="1495" spans="1:6">
      <c r="A1495" t="s">
        <v>1497</v>
      </c>
      <c r="B1495" t="str">
        <f>"0.00719%"</f>
        <v>0.00719%</v>
      </c>
      <c r="C1495" t="s">
        <v>10</v>
      </c>
      <c r="D1495" t="s">
        <v>10</v>
      </c>
      <c r="E1495" t="str">
        <f>"$ 55,491"</f>
        <v>$ 55,491</v>
      </c>
      <c r="F1495">
        <v>547</v>
      </c>
    </row>
    <row r="1496" spans="1:6">
      <c r="A1496" t="s">
        <v>1498</v>
      </c>
      <c r="B1496" t="str">
        <f>"0.00719%"</f>
        <v>0.00719%</v>
      </c>
      <c r="C1496" t="s">
        <v>10</v>
      </c>
      <c r="D1496" t="s">
        <v>10</v>
      </c>
      <c r="E1496" t="str">
        <f>"$ 55,552"</f>
        <v>$ 55,552</v>
      </c>
      <c r="F1496" s="1">
        <v>1007</v>
      </c>
    </row>
    <row r="1497" spans="1:6">
      <c r="A1497" t="s">
        <v>1499</v>
      </c>
      <c r="B1497" t="str">
        <f>"0.00719%"</f>
        <v>0.00719%</v>
      </c>
      <c r="C1497" t="s">
        <v>10</v>
      </c>
      <c r="D1497" t="s">
        <v>10</v>
      </c>
      <c r="E1497" t="str">
        <f>"$ 55,554"</f>
        <v>$ 55,554</v>
      </c>
      <c r="F1497" s="1">
        <v>44567</v>
      </c>
    </row>
    <row r="1498" spans="1:6">
      <c r="A1498" t="s">
        <v>1500</v>
      </c>
      <c r="B1498" t="str">
        <f>"0.00718%"</f>
        <v>0.00718%</v>
      </c>
      <c r="C1498" t="s">
        <v>10</v>
      </c>
      <c r="D1498" t="s">
        <v>10</v>
      </c>
      <c r="E1498" t="str">
        <f>"$ 55,414"</f>
        <v>$ 55,414</v>
      </c>
      <c r="F1498" s="1">
        <v>6283</v>
      </c>
    </row>
    <row r="1499" spans="1:6">
      <c r="A1499" t="s">
        <v>1501</v>
      </c>
      <c r="B1499" t="str">
        <f>"0.00718%"</f>
        <v>0.00718%</v>
      </c>
      <c r="C1499" t="s">
        <v>10</v>
      </c>
      <c r="D1499" t="s">
        <v>10</v>
      </c>
      <c r="E1499" t="str">
        <f>"$ 55,421"</f>
        <v>$ 55,421</v>
      </c>
      <c r="F1499">
        <v>844</v>
      </c>
    </row>
    <row r="1500" spans="1:6">
      <c r="A1500" t="s">
        <v>1502</v>
      </c>
      <c r="B1500" t="str">
        <f>"0.00718%"</f>
        <v>0.00718%</v>
      </c>
      <c r="C1500" t="s">
        <v>10</v>
      </c>
      <c r="D1500" t="s">
        <v>10</v>
      </c>
      <c r="E1500" t="str">
        <f>"$ 55,410"</f>
        <v>$ 55,410</v>
      </c>
      <c r="F1500" s="1">
        <v>51959</v>
      </c>
    </row>
    <row r="1501" spans="1:6">
      <c r="A1501" t="s">
        <v>1503</v>
      </c>
      <c r="B1501" t="str">
        <f>"0.00717%"</f>
        <v>0.00717%</v>
      </c>
      <c r="C1501" t="s">
        <v>10</v>
      </c>
      <c r="D1501" t="s">
        <v>10</v>
      </c>
      <c r="E1501" t="str">
        <f>"$ 55,394"</f>
        <v>$ 55,394</v>
      </c>
      <c r="F1501">
        <v>693</v>
      </c>
    </row>
    <row r="1502" spans="1:6">
      <c r="A1502" t="s">
        <v>1504</v>
      </c>
      <c r="B1502" t="str">
        <f>"0.00715%"</f>
        <v>0.00715%</v>
      </c>
      <c r="C1502" t="s">
        <v>10</v>
      </c>
      <c r="D1502" t="s">
        <v>10</v>
      </c>
      <c r="E1502" t="str">
        <f>"$ 55,183"</f>
        <v>$ 55,183</v>
      </c>
      <c r="F1502" s="1">
        <v>1007</v>
      </c>
    </row>
    <row r="1503" spans="1:6">
      <c r="A1503" t="s">
        <v>1505</v>
      </c>
      <c r="B1503" t="str">
        <f>"0.00714%"</f>
        <v>0.00714%</v>
      </c>
      <c r="C1503" t="s">
        <v>10</v>
      </c>
      <c r="D1503" t="s">
        <v>10</v>
      </c>
      <c r="E1503" t="str">
        <f>"$ 55,151"</f>
        <v>$ 55,151</v>
      </c>
      <c r="F1503">
        <v>313</v>
      </c>
    </row>
    <row r="1504" spans="1:6">
      <c r="A1504" t="s">
        <v>1506</v>
      </c>
      <c r="B1504" t="str">
        <f>"0.00714%"</f>
        <v>0.00714%</v>
      </c>
      <c r="C1504" t="s">
        <v>10</v>
      </c>
      <c r="D1504" t="s">
        <v>10</v>
      </c>
      <c r="E1504" t="str">
        <f>"$ 55,128"</f>
        <v>$ 55,128</v>
      </c>
      <c r="F1504" s="1">
        <v>1069</v>
      </c>
    </row>
    <row r="1505" spans="1:6">
      <c r="A1505" t="s">
        <v>1507</v>
      </c>
      <c r="B1505" t="str">
        <f>"0.00713%"</f>
        <v>0.00713%</v>
      </c>
      <c r="C1505" t="s">
        <v>10</v>
      </c>
      <c r="D1505" t="s">
        <v>10</v>
      </c>
      <c r="E1505" t="str">
        <f>"$ 55,076"</f>
        <v>$ 55,076</v>
      </c>
      <c r="F1505" s="1">
        <v>8985</v>
      </c>
    </row>
    <row r="1506" spans="1:6">
      <c r="A1506" t="s">
        <v>1508</v>
      </c>
      <c r="B1506" t="str">
        <f>"0.00712%"</f>
        <v>0.00712%</v>
      </c>
      <c r="C1506" t="s">
        <v>10</v>
      </c>
      <c r="D1506" t="s">
        <v>10</v>
      </c>
      <c r="E1506" t="str">
        <f>"$ 55,010"</f>
        <v>$ 55,010</v>
      </c>
      <c r="F1506" s="1">
        <v>21077</v>
      </c>
    </row>
    <row r="1507" spans="1:6">
      <c r="A1507" t="s">
        <v>1509</v>
      </c>
      <c r="B1507" t="str">
        <f>"0.00712%"</f>
        <v>0.00712%</v>
      </c>
      <c r="C1507" t="s">
        <v>10</v>
      </c>
      <c r="D1507" t="s">
        <v>10</v>
      </c>
      <c r="E1507" t="str">
        <f>"$ 55,010"</f>
        <v>$ 55,010</v>
      </c>
      <c r="F1507" s="1">
        <v>1231</v>
      </c>
    </row>
    <row r="1508" spans="1:6">
      <c r="A1508" t="s">
        <v>1510</v>
      </c>
      <c r="B1508" t="str">
        <f>"0.00711%"</f>
        <v>0.00711%</v>
      </c>
      <c r="C1508" t="s">
        <v>10</v>
      </c>
      <c r="D1508" t="s">
        <v>10</v>
      </c>
      <c r="E1508" t="str">
        <f>"$ 54,879"</f>
        <v>$ 54,879</v>
      </c>
      <c r="F1508" s="1">
        <v>79038</v>
      </c>
    </row>
    <row r="1509" spans="1:6">
      <c r="A1509" t="s">
        <v>1511</v>
      </c>
      <c r="B1509" t="str">
        <f>"0.00711%"</f>
        <v>0.00711%</v>
      </c>
      <c r="C1509" t="s">
        <v>10</v>
      </c>
      <c r="D1509" t="s">
        <v>10</v>
      </c>
      <c r="E1509" t="str">
        <f>"$ 54,893"</f>
        <v>$ 54,893</v>
      </c>
      <c r="F1509" s="1">
        <v>1277</v>
      </c>
    </row>
    <row r="1510" spans="1:6">
      <c r="A1510" t="s">
        <v>1512</v>
      </c>
      <c r="B1510" t="str">
        <f>"0.00710%"</f>
        <v>0.00710%</v>
      </c>
      <c r="C1510" t="s">
        <v>10</v>
      </c>
      <c r="D1510" t="s">
        <v>10</v>
      </c>
      <c r="E1510" t="str">
        <f>"$ 54,835"</f>
        <v>$ 54,835</v>
      </c>
      <c r="F1510">
        <v>567</v>
      </c>
    </row>
    <row r="1511" spans="1:6">
      <c r="A1511" t="s">
        <v>1513</v>
      </c>
      <c r="B1511" t="str">
        <f>"0.00710%"</f>
        <v>0.00710%</v>
      </c>
      <c r="C1511" t="s">
        <v>10</v>
      </c>
      <c r="D1511" t="s">
        <v>10</v>
      </c>
      <c r="E1511" t="str">
        <f>"$ 54,802"</f>
        <v>$ 54,802</v>
      </c>
      <c r="F1511">
        <v>482</v>
      </c>
    </row>
    <row r="1512" spans="1:6">
      <c r="A1512" t="s">
        <v>1514</v>
      </c>
      <c r="B1512" t="str">
        <f>"0.00710%"</f>
        <v>0.00710%</v>
      </c>
      <c r="C1512" t="s">
        <v>10</v>
      </c>
      <c r="D1512" t="s">
        <v>10</v>
      </c>
      <c r="E1512" t="str">
        <f>"$ 54,848"</f>
        <v>$ 54,848</v>
      </c>
      <c r="F1512" s="1">
        <v>4332</v>
      </c>
    </row>
    <row r="1513" spans="1:6">
      <c r="A1513" t="s">
        <v>1515</v>
      </c>
      <c r="B1513" t="str">
        <f>"0.00710%"</f>
        <v>0.00710%</v>
      </c>
      <c r="C1513" t="s">
        <v>10</v>
      </c>
      <c r="D1513" t="s">
        <v>10</v>
      </c>
      <c r="E1513" t="str">
        <f>"$ 54,809"</f>
        <v>$ 54,809</v>
      </c>
      <c r="F1513">
        <v>263</v>
      </c>
    </row>
    <row r="1514" spans="1:6">
      <c r="A1514" t="s">
        <v>1516</v>
      </c>
      <c r="B1514" t="str">
        <f>"0.00708%"</f>
        <v>0.00708%</v>
      </c>
      <c r="C1514" t="s">
        <v>10</v>
      </c>
      <c r="D1514" t="s">
        <v>10</v>
      </c>
      <c r="E1514" t="str">
        <f>"$ 54,690"</f>
        <v>$ 54,690</v>
      </c>
      <c r="F1514" s="1">
        <v>1790</v>
      </c>
    </row>
    <row r="1515" spans="1:6">
      <c r="A1515" t="s">
        <v>1517</v>
      </c>
      <c r="B1515" t="str">
        <f>"0.00707%"</f>
        <v>0.00707%</v>
      </c>
      <c r="C1515" t="s">
        <v>10</v>
      </c>
      <c r="D1515" t="s">
        <v>10</v>
      </c>
      <c r="E1515" t="str">
        <f>"$ 54,598"</f>
        <v>$ 54,598</v>
      </c>
      <c r="F1515">
        <v>909</v>
      </c>
    </row>
    <row r="1516" spans="1:6">
      <c r="A1516" t="s">
        <v>1518</v>
      </c>
      <c r="B1516" t="str">
        <f>"0.00706%"</f>
        <v>0.00706%</v>
      </c>
      <c r="C1516" t="s">
        <v>10</v>
      </c>
      <c r="D1516" t="s">
        <v>10</v>
      </c>
      <c r="E1516" t="str">
        <f>"$ 54,496"</f>
        <v>$ 54,496</v>
      </c>
      <c r="F1516" s="1">
        <v>1924</v>
      </c>
    </row>
    <row r="1517" spans="1:6">
      <c r="A1517" t="s">
        <v>1519</v>
      </c>
      <c r="B1517" t="str">
        <f>"0.00705%"</f>
        <v>0.00705%</v>
      </c>
      <c r="C1517" t="s">
        <v>10</v>
      </c>
      <c r="D1517" t="s">
        <v>10</v>
      </c>
      <c r="E1517" t="str">
        <f>"$ 54,404"</f>
        <v>$ 54,404</v>
      </c>
      <c r="F1517" s="1">
        <v>2738</v>
      </c>
    </row>
    <row r="1518" spans="1:6">
      <c r="A1518" t="s">
        <v>1520</v>
      </c>
      <c r="B1518" t="str">
        <f>"0.00705%"</f>
        <v>0.00705%</v>
      </c>
      <c r="C1518" t="s">
        <v>10</v>
      </c>
      <c r="D1518" t="s">
        <v>10</v>
      </c>
      <c r="E1518" t="str">
        <f>"$ 54,469"</f>
        <v>$ 54,469</v>
      </c>
      <c r="F1518">
        <v>624</v>
      </c>
    </row>
    <row r="1519" spans="1:6">
      <c r="A1519" t="s">
        <v>1521</v>
      </c>
      <c r="B1519" t="str">
        <f>"0.00704%"</f>
        <v>0.00704%</v>
      </c>
      <c r="C1519" t="s">
        <v>10</v>
      </c>
      <c r="D1519" t="s">
        <v>10</v>
      </c>
      <c r="E1519" t="str">
        <f>"$ 54,372"</f>
        <v>$ 54,372</v>
      </c>
      <c r="F1519" s="1">
        <v>2246</v>
      </c>
    </row>
    <row r="1520" spans="1:6">
      <c r="A1520" t="s">
        <v>1522</v>
      </c>
      <c r="B1520" t="str">
        <f>"0.00704%"</f>
        <v>0.00704%</v>
      </c>
      <c r="C1520" t="s">
        <v>10</v>
      </c>
      <c r="D1520" t="s">
        <v>10</v>
      </c>
      <c r="E1520" t="str">
        <f>"$ 54,390"</f>
        <v>$ 54,390</v>
      </c>
      <c r="F1520" s="1">
        <v>56865</v>
      </c>
    </row>
    <row r="1521" spans="1:6">
      <c r="A1521" t="s">
        <v>1523</v>
      </c>
      <c r="B1521" t="str">
        <f>"0.00703%"</f>
        <v>0.00703%</v>
      </c>
      <c r="C1521" t="s">
        <v>10</v>
      </c>
      <c r="D1521" t="s">
        <v>10</v>
      </c>
      <c r="E1521" t="str">
        <f>"$ 54,305"</f>
        <v>$ 54,305</v>
      </c>
      <c r="F1521" s="1">
        <v>1552</v>
      </c>
    </row>
    <row r="1522" spans="1:6">
      <c r="A1522" t="s">
        <v>1524</v>
      </c>
      <c r="B1522" t="str">
        <f>"0.00703%"</f>
        <v>0.00703%</v>
      </c>
      <c r="C1522" t="s">
        <v>10</v>
      </c>
      <c r="D1522" t="s">
        <v>10</v>
      </c>
      <c r="E1522" t="str">
        <f>"$ 54,300"</f>
        <v>$ 54,300</v>
      </c>
      <c r="F1522" s="1">
        <v>27833</v>
      </c>
    </row>
    <row r="1523" spans="1:6">
      <c r="A1523" t="s">
        <v>1525</v>
      </c>
      <c r="B1523" t="str">
        <f>"0.00702%"</f>
        <v>0.00702%</v>
      </c>
      <c r="C1523" t="s">
        <v>10</v>
      </c>
      <c r="D1523" t="s">
        <v>10</v>
      </c>
      <c r="E1523" t="str">
        <f>"$ 54,199"</f>
        <v>$ 54,199</v>
      </c>
      <c r="F1523" s="1">
        <v>15042</v>
      </c>
    </row>
    <row r="1524" spans="1:6">
      <c r="A1524" t="s">
        <v>1526</v>
      </c>
      <c r="B1524" t="str">
        <f>"0.00701%"</f>
        <v>0.00701%</v>
      </c>
      <c r="C1524" t="s">
        <v>10</v>
      </c>
      <c r="D1524" t="s">
        <v>10</v>
      </c>
      <c r="E1524" t="str">
        <f>"$ 54,127"</f>
        <v>$ 54,127</v>
      </c>
      <c r="F1524" s="1">
        <v>2314</v>
      </c>
    </row>
    <row r="1525" spans="1:6">
      <c r="A1525" t="s">
        <v>1527</v>
      </c>
      <c r="B1525" t="str">
        <f>"0.00700%"</f>
        <v>0.00700%</v>
      </c>
      <c r="C1525" t="s">
        <v>10</v>
      </c>
      <c r="D1525" t="s">
        <v>10</v>
      </c>
      <c r="E1525" t="str">
        <f>"$ 54,024"</f>
        <v>$ 54,024</v>
      </c>
      <c r="F1525" s="1">
        <v>4107</v>
      </c>
    </row>
    <row r="1526" spans="1:6">
      <c r="A1526" t="s">
        <v>1528</v>
      </c>
      <c r="B1526" t="str">
        <f>"0.00700%"</f>
        <v>0.00700%</v>
      </c>
      <c r="C1526" t="s">
        <v>10</v>
      </c>
      <c r="D1526" t="s">
        <v>10</v>
      </c>
      <c r="E1526" t="str">
        <f>"$ 54,070"</f>
        <v>$ 54,070</v>
      </c>
      <c r="F1526" s="1">
        <v>2969</v>
      </c>
    </row>
    <row r="1527" spans="1:6">
      <c r="A1527" t="s">
        <v>1529</v>
      </c>
      <c r="B1527" t="str">
        <f>"0.00700%"</f>
        <v>0.00700%</v>
      </c>
      <c r="C1527" t="s">
        <v>10</v>
      </c>
      <c r="D1527" t="s">
        <v>10</v>
      </c>
      <c r="E1527" t="str">
        <f>"$ 54,040"</f>
        <v>$ 54,040</v>
      </c>
      <c r="F1527" s="1">
        <v>3388</v>
      </c>
    </row>
    <row r="1528" spans="1:6">
      <c r="A1528" t="s">
        <v>1530</v>
      </c>
      <c r="B1528" t="str">
        <f>"0.00698%"</f>
        <v>0.00698%</v>
      </c>
      <c r="C1528" t="s">
        <v>10</v>
      </c>
      <c r="D1528" t="s">
        <v>10</v>
      </c>
      <c r="E1528" t="str">
        <f>"$ 53,898"</f>
        <v>$ 53,898</v>
      </c>
      <c r="F1528" s="1">
        <v>3652</v>
      </c>
    </row>
    <row r="1529" spans="1:6">
      <c r="A1529" t="s">
        <v>1531</v>
      </c>
      <c r="B1529" t="str">
        <f>"0.00697%"</f>
        <v>0.00697%</v>
      </c>
      <c r="C1529" t="s">
        <v>10</v>
      </c>
      <c r="D1529" t="s">
        <v>10</v>
      </c>
      <c r="E1529" t="str">
        <f>"$ 53,798"</f>
        <v>$ 53,798</v>
      </c>
      <c r="F1529" s="1">
        <v>50259</v>
      </c>
    </row>
    <row r="1530" spans="1:6">
      <c r="A1530" t="s">
        <v>1532</v>
      </c>
      <c r="B1530" t="str">
        <f>"0.00697%"</f>
        <v>0.00697%</v>
      </c>
      <c r="C1530" t="s">
        <v>10</v>
      </c>
      <c r="D1530" t="s">
        <v>10</v>
      </c>
      <c r="E1530" t="str">
        <f>"$ 53,855"</f>
        <v>$ 53,855</v>
      </c>
      <c r="F1530">
        <v>703</v>
      </c>
    </row>
    <row r="1531" spans="1:6">
      <c r="A1531" t="s">
        <v>1533</v>
      </c>
      <c r="B1531" t="str">
        <f>"0.00697%"</f>
        <v>0.00697%</v>
      </c>
      <c r="C1531" t="s">
        <v>10</v>
      </c>
      <c r="D1531" t="s">
        <v>10</v>
      </c>
      <c r="E1531" t="str">
        <f>"$ 53,814"</f>
        <v>$ 53,814</v>
      </c>
      <c r="F1531" s="1">
        <v>1796</v>
      </c>
    </row>
    <row r="1532" spans="1:6">
      <c r="A1532" t="s">
        <v>1534</v>
      </c>
      <c r="B1532" t="str">
        <f>"0.00697%"</f>
        <v>0.00697%</v>
      </c>
      <c r="C1532" t="s">
        <v>10</v>
      </c>
      <c r="D1532" t="s">
        <v>10</v>
      </c>
      <c r="E1532" t="str">
        <f>"$ 53,833"</f>
        <v>$ 53,833</v>
      </c>
      <c r="F1532">
        <v>851</v>
      </c>
    </row>
    <row r="1533" spans="1:6">
      <c r="A1533" t="s">
        <v>1535</v>
      </c>
      <c r="B1533" t="str">
        <f>"0.00695%"</f>
        <v>0.00695%</v>
      </c>
      <c r="C1533" t="s">
        <v>10</v>
      </c>
      <c r="D1533" t="s">
        <v>10</v>
      </c>
      <c r="E1533" t="str">
        <f>"$ 53,655"</f>
        <v>$ 53,655</v>
      </c>
      <c r="F1533">
        <v>817</v>
      </c>
    </row>
    <row r="1534" spans="1:6">
      <c r="A1534" t="s">
        <v>1536</v>
      </c>
      <c r="B1534" t="str">
        <f>"0.00695%"</f>
        <v>0.00695%</v>
      </c>
      <c r="C1534" t="s">
        <v>10</v>
      </c>
      <c r="D1534" t="s">
        <v>10</v>
      </c>
      <c r="E1534" t="str">
        <f>"$ 53,677"</f>
        <v>$ 53,677</v>
      </c>
      <c r="F1534">
        <v>348</v>
      </c>
    </row>
    <row r="1535" spans="1:6">
      <c r="A1535" t="s">
        <v>1537</v>
      </c>
      <c r="B1535" t="str">
        <f>"0.00694%"</f>
        <v>0.00694%</v>
      </c>
      <c r="C1535" t="s">
        <v>10</v>
      </c>
      <c r="D1535" t="s">
        <v>10</v>
      </c>
      <c r="E1535" t="str">
        <f>"$ 53,574"</f>
        <v>$ 53,574</v>
      </c>
      <c r="F1535" s="1">
        <v>33679</v>
      </c>
    </row>
    <row r="1536" spans="1:6">
      <c r="A1536" t="s">
        <v>1538</v>
      </c>
      <c r="B1536" t="str">
        <f>"0.00694%"</f>
        <v>0.00694%</v>
      </c>
      <c r="C1536" t="s">
        <v>10</v>
      </c>
      <c r="D1536" t="s">
        <v>10</v>
      </c>
      <c r="E1536" t="str">
        <f>"$ 53,581"</f>
        <v>$ 53,581</v>
      </c>
      <c r="F1536">
        <v>898</v>
      </c>
    </row>
    <row r="1537" spans="1:6">
      <c r="A1537" t="s">
        <v>1539</v>
      </c>
      <c r="B1537" t="str">
        <f>"0.00692%"</f>
        <v>0.00692%</v>
      </c>
      <c r="C1537" t="s">
        <v>10</v>
      </c>
      <c r="D1537" t="s">
        <v>10</v>
      </c>
      <c r="E1537" t="str">
        <f>"$ 53,465"</f>
        <v>$ 53,465</v>
      </c>
      <c r="F1537" s="1">
        <v>22311</v>
      </c>
    </row>
    <row r="1538" spans="1:6">
      <c r="A1538" t="s">
        <v>1540</v>
      </c>
      <c r="B1538" t="str">
        <f>"0.00692%"</f>
        <v>0.00692%</v>
      </c>
      <c r="C1538" t="s">
        <v>10</v>
      </c>
      <c r="D1538" t="s">
        <v>10</v>
      </c>
      <c r="E1538" t="str">
        <f>"$ 53,437"</f>
        <v>$ 53,437</v>
      </c>
      <c r="F1538" s="1">
        <v>2285</v>
      </c>
    </row>
    <row r="1539" spans="1:6">
      <c r="A1539" t="s">
        <v>1541</v>
      </c>
      <c r="B1539" t="str">
        <f>"0.00690%"</f>
        <v>0.00690%</v>
      </c>
      <c r="C1539" t="s">
        <v>10</v>
      </c>
      <c r="D1539" t="s">
        <v>10</v>
      </c>
      <c r="E1539" t="str">
        <f>"$ 53,307"</f>
        <v>$ 53,307</v>
      </c>
      <c r="F1539" s="1">
        <v>86014</v>
      </c>
    </row>
    <row r="1540" spans="1:6">
      <c r="A1540" t="s">
        <v>1542</v>
      </c>
      <c r="B1540" t="str">
        <f>"0.00690%"</f>
        <v>0.00690%</v>
      </c>
      <c r="C1540" t="s">
        <v>10</v>
      </c>
      <c r="D1540" t="s">
        <v>10</v>
      </c>
      <c r="E1540" t="str">
        <f>"$ 53,315"</f>
        <v>$ 53,315</v>
      </c>
      <c r="F1540" s="1">
        <v>1816</v>
      </c>
    </row>
    <row r="1541" spans="1:6">
      <c r="A1541" t="s">
        <v>1543</v>
      </c>
      <c r="B1541" t="str">
        <f>"0.00689%"</f>
        <v>0.00689%</v>
      </c>
      <c r="C1541" t="s">
        <v>10</v>
      </c>
      <c r="D1541" t="s">
        <v>10</v>
      </c>
      <c r="E1541" t="str">
        <f>"$ 53,219"</f>
        <v>$ 53,219</v>
      </c>
      <c r="F1541" s="1">
        <v>1485</v>
      </c>
    </row>
    <row r="1542" spans="1:6">
      <c r="A1542" t="s">
        <v>1544</v>
      </c>
      <c r="B1542" t="str">
        <f>"0.00688%"</f>
        <v>0.00688%</v>
      </c>
      <c r="C1542" t="s">
        <v>10</v>
      </c>
      <c r="D1542" t="s">
        <v>10</v>
      </c>
      <c r="E1542" t="str">
        <f>"$ 53,113"</f>
        <v>$ 53,113</v>
      </c>
      <c r="F1542">
        <v>552</v>
      </c>
    </row>
    <row r="1543" spans="1:6">
      <c r="A1543" t="s">
        <v>1545</v>
      </c>
      <c r="B1543" t="str">
        <f>"0.00688%"</f>
        <v>0.00688%</v>
      </c>
      <c r="C1543" t="s">
        <v>10</v>
      </c>
      <c r="D1543" t="s">
        <v>10</v>
      </c>
      <c r="E1543" t="str">
        <f>"$ 53,161"</f>
        <v>$ 53,161</v>
      </c>
      <c r="F1543" s="1">
        <v>1026</v>
      </c>
    </row>
    <row r="1544" spans="1:6">
      <c r="A1544" t="s">
        <v>1546</v>
      </c>
      <c r="B1544" t="str">
        <f>"0.00687%"</f>
        <v>0.00687%</v>
      </c>
      <c r="C1544" t="s">
        <v>10</v>
      </c>
      <c r="D1544" t="s">
        <v>10</v>
      </c>
      <c r="E1544" t="str">
        <f>"$ 53,058"</f>
        <v>$ 53,058</v>
      </c>
      <c r="F1544" s="1">
        <v>3818</v>
      </c>
    </row>
    <row r="1545" spans="1:6">
      <c r="A1545" t="s">
        <v>1547</v>
      </c>
      <c r="B1545" t="str">
        <f>"0.00686%"</f>
        <v>0.00686%</v>
      </c>
      <c r="C1545" t="s">
        <v>10</v>
      </c>
      <c r="D1545" t="s">
        <v>10</v>
      </c>
      <c r="E1545" t="str">
        <f>"$ 52,948"</f>
        <v>$ 52,948</v>
      </c>
      <c r="F1545">
        <v>897</v>
      </c>
    </row>
    <row r="1546" spans="1:6">
      <c r="A1546" t="s">
        <v>1548</v>
      </c>
      <c r="B1546" t="str">
        <f>"0.00686%"</f>
        <v>0.00686%</v>
      </c>
      <c r="C1546" t="s">
        <v>10</v>
      </c>
      <c r="D1546" t="s">
        <v>10</v>
      </c>
      <c r="E1546" t="str">
        <f>"$ 52,967"</f>
        <v>$ 52,967</v>
      </c>
      <c r="F1546" s="1">
        <v>12328</v>
      </c>
    </row>
    <row r="1547" spans="1:6">
      <c r="A1547" t="s">
        <v>1549</v>
      </c>
      <c r="B1547" t="str">
        <f>"0.00684%"</f>
        <v>0.00684%</v>
      </c>
      <c r="C1547" t="s">
        <v>10</v>
      </c>
      <c r="D1547" t="s">
        <v>10</v>
      </c>
      <c r="E1547" t="str">
        <f>"$ 52,783"</f>
        <v>$ 52,783</v>
      </c>
      <c r="F1547" s="1">
        <v>5917</v>
      </c>
    </row>
    <row r="1548" spans="1:6">
      <c r="A1548" t="s">
        <v>1550</v>
      </c>
      <c r="B1548" t="str">
        <f>"0.00684%"</f>
        <v>0.00684%</v>
      </c>
      <c r="C1548" t="s">
        <v>10</v>
      </c>
      <c r="D1548" t="s">
        <v>10</v>
      </c>
      <c r="E1548" t="str">
        <f>"$ 52,817"</f>
        <v>$ 52,817</v>
      </c>
      <c r="F1548">
        <v>131</v>
      </c>
    </row>
    <row r="1549" spans="1:6">
      <c r="A1549" t="s">
        <v>1551</v>
      </c>
      <c r="B1549" t="str">
        <f>"0.00683%"</f>
        <v>0.00683%</v>
      </c>
      <c r="C1549" t="s">
        <v>10</v>
      </c>
      <c r="D1549" t="s">
        <v>10</v>
      </c>
      <c r="E1549" t="str">
        <f>"$ 52,713"</f>
        <v>$ 52,713</v>
      </c>
      <c r="F1549">
        <v>672</v>
      </c>
    </row>
    <row r="1550" spans="1:6">
      <c r="A1550" t="s">
        <v>1552</v>
      </c>
      <c r="B1550" t="str">
        <f>"0.00681%"</f>
        <v>0.00681%</v>
      </c>
      <c r="C1550" t="s">
        <v>10</v>
      </c>
      <c r="D1550" t="s">
        <v>10</v>
      </c>
      <c r="E1550" t="str">
        <f>"$ 52,594"</f>
        <v>$ 52,594</v>
      </c>
      <c r="F1550" s="1">
        <v>1473</v>
      </c>
    </row>
    <row r="1551" spans="1:6">
      <c r="A1551" t="s">
        <v>1553</v>
      </c>
      <c r="B1551" t="str">
        <f>"0.00681%"</f>
        <v>0.00681%</v>
      </c>
      <c r="C1551" t="s">
        <v>10</v>
      </c>
      <c r="D1551" t="s">
        <v>10</v>
      </c>
      <c r="E1551" t="str">
        <f>"$ 52,614"</f>
        <v>$ 52,614</v>
      </c>
      <c r="F1551" s="1">
        <v>1179</v>
      </c>
    </row>
    <row r="1552" spans="1:6">
      <c r="A1552" t="s">
        <v>1554</v>
      </c>
      <c r="B1552" t="str">
        <f>"0.00681%"</f>
        <v>0.00681%</v>
      </c>
      <c r="C1552" t="s">
        <v>10</v>
      </c>
      <c r="D1552" t="s">
        <v>10</v>
      </c>
      <c r="E1552" t="str">
        <f>"$ 52,598"</f>
        <v>$ 52,598</v>
      </c>
      <c r="F1552" s="1">
        <v>2932</v>
      </c>
    </row>
    <row r="1553" spans="1:6">
      <c r="A1553" t="s">
        <v>1555</v>
      </c>
      <c r="B1553" t="str">
        <f>"0.00680%"</f>
        <v>0.00680%</v>
      </c>
      <c r="C1553" t="s">
        <v>10</v>
      </c>
      <c r="D1553" t="s">
        <v>10</v>
      </c>
      <c r="E1553" t="str">
        <f>"$ 52,472"</f>
        <v>$ 52,472</v>
      </c>
      <c r="F1553" s="1">
        <v>33596</v>
      </c>
    </row>
    <row r="1554" spans="1:6">
      <c r="A1554" t="s">
        <v>1556</v>
      </c>
      <c r="B1554" t="str">
        <f>"0.00679%"</f>
        <v>0.00679%</v>
      </c>
      <c r="C1554" t="s">
        <v>10</v>
      </c>
      <c r="D1554" t="s">
        <v>10</v>
      </c>
      <c r="E1554" t="str">
        <f>"$ 52,440"</f>
        <v>$ 52,440</v>
      </c>
      <c r="F1554">
        <v>621</v>
      </c>
    </row>
    <row r="1555" spans="1:6">
      <c r="A1555" t="s">
        <v>1557</v>
      </c>
      <c r="B1555" t="str">
        <f>"0.00679%"</f>
        <v>0.00679%</v>
      </c>
      <c r="C1555" t="s">
        <v>10</v>
      </c>
      <c r="D1555" t="s">
        <v>10</v>
      </c>
      <c r="E1555" t="str">
        <f>"$ 52,464"</f>
        <v>$ 52,464</v>
      </c>
      <c r="F1555">
        <v>822</v>
      </c>
    </row>
    <row r="1556" spans="1:6">
      <c r="A1556" t="s">
        <v>1558</v>
      </c>
      <c r="B1556" t="str">
        <f>"0.00675%"</f>
        <v>0.00675%</v>
      </c>
      <c r="C1556" t="s">
        <v>10</v>
      </c>
      <c r="D1556" t="s">
        <v>10</v>
      </c>
      <c r="E1556" t="str">
        <f>"$ 52,160"</f>
        <v>$ 52,160</v>
      </c>
      <c r="F1556" s="1">
        <v>2425</v>
      </c>
    </row>
    <row r="1557" spans="1:6">
      <c r="A1557" t="s">
        <v>1559</v>
      </c>
      <c r="B1557" t="str">
        <f>"0.00675%"</f>
        <v>0.00675%</v>
      </c>
      <c r="C1557" t="s">
        <v>10</v>
      </c>
      <c r="D1557" t="s">
        <v>10</v>
      </c>
      <c r="E1557" t="str">
        <f>"$ 52,085"</f>
        <v>$ 52,085</v>
      </c>
      <c r="F1557">
        <v>643</v>
      </c>
    </row>
    <row r="1558" spans="1:6">
      <c r="A1558" t="s">
        <v>1560</v>
      </c>
      <c r="B1558" t="str">
        <f>"0.00674%"</f>
        <v>0.00674%</v>
      </c>
      <c r="C1558" t="s">
        <v>10</v>
      </c>
      <c r="D1558" t="s">
        <v>10</v>
      </c>
      <c r="E1558" t="str">
        <f>"$ 52,030"</f>
        <v>$ 52,030</v>
      </c>
      <c r="F1558">
        <v>585</v>
      </c>
    </row>
    <row r="1559" spans="1:6">
      <c r="A1559" t="s">
        <v>1561</v>
      </c>
      <c r="B1559" t="str">
        <f>"0.00674%"</f>
        <v>0.00674%</v>
      </c>
      <c r="C1559" t="s">
        <v>10</v>
      </c>
      <c r="D1559" t="s">
        <v>10</v>
      </c>
      <c r="E1559" t="str">
        <f>"$ 52,032"</f>
        <v>$ 52,032</v>
      </c>
      <c r="F1559" s="1">
        <v>1138</v>
      </c>
    </row>
    <row r="1560" spans="1:6">
      <c r="A1560" t="s">
        <v>1562</v>
      </c>
      <c r="B1560" t="str">
        <f>"0.00673%"</f>
        <v>0.00673%</v>
      </c>
      <c r="C1560" t="s">
        <v>10</v>
      </c>
      <c r="D1560" t="s">
        <v>10</v>
      </c>
      <c r="E1560" t="str">
        <f>"$ 51,940"</f>
        <v>$ 51,940</v>
      </c>
      <c r="F1560" s="1">
        <v>1356</v>
      </c>
    </row>
    <row r="1561" spans="1:6">
      <c r="A1561" t="s">
        <v>1563</v>
      </c>
      <c r="B1561" t="str">
        <f>"0.00673%"</f>
        <v>0.00673%</v>
      </c>
      <c r="C1561" t="s">
        <v>10</v>
      </c>
      <c r="D1561" t="s">
        <v>10</v>
      </c>
      <c r="E1561" t="str">
        <f>"$ 51,960"</f>
        <v>$ 51,960</v>
      </c>
      <c r="F1561">
        <v>528</v>
      </c>
    </row>
    <row r="1562" spans="1:6">
      <c r="A1562" t="s">
        <v>1564</v>
      </c>
      <c r="B1562" t="str">
        <f>"0.00671%"</f>
        <v>0.00671%</v>
      </c>
      <c r="C1562" t="s">
        <v>10</v>
      </c>
      <c r="D1562" t="s">
        <v>10</v>
      </c>
      <c r="E1562" t="str">
        <f>"$ 51,815"</f>
        <v>$ 51,815</v>
      </c>
      <c r="F1562" s="1">
        <v>2784</v>
      </c>
    </row>
    <row r="1563" spans="1:6">
      <c r="A1563" t="s">
        <v>1565</v>
      </c>
      <c r="B1563" t="str">
        <f>"0.00671%"</f>
        <v>0.00671%</v>
      </c>
      <c r="C1563" t="s">
        <v>10</v>
      </c>
      <c r="D1563" t="s">
        <v>10</v>
      </c>
      <c r="E1563" t="str">
        <f>"$ 51,778"</f>
        <v>$ 51,778</v>
      </c>
      <c r="F1563">
        <v>297</v>
      </c>
    </row>
    <row r="1564" spans="1:6">
      <c r="A1564" t="s">
        <v>1566</v>
      </c>
      <c r="B1564" t="str">
        <f>"0.00671%"</f>
        <v>0.00671%</v>
      </c>
      <c r="C1564" t="s">
        <v>10</v>
      </c>
      <c r="D1564" t="s">
        <v>10</v>
      </c>
      <c r="E1564" t="str">
        <f>"$ 51,782"</f>
        <v>$ 51,782</v>
      </c>
      <c r="F1564">
        <v>819</v>
      </c>
    </row>
    <row r="1565" spans="1:6">
      <c r="A1565" t="s">
        <v>1567</v>
      </c>
      <c r="B1565" t="str">
        <f>"0.00671%"</f>
        <v>0.00671%</v>
      </c>
      <c r="C1565" t="s">
        <v>10</v>
      </c>
      <c r="D1565" t="s">
        <v>10</v>
      </c>
      <c r="E1565" t="str">
        <f>"$ 51,777"</f>
        <v>$ 51,777</v>
      </c>
      <c r="F1565" s="1">
        <v>2250</v>
      </c>
    </row>
    <row r="1566" spans="1:6">
      <c r="A1566" t="s">
        <v>1568</v>
      </c>
      <c r="B1566" t="str">
        <f>"0.00670%"</f>
        <v>0.00670%</v>
      </c>
      <c r="C1566" t="s">
        <v>10</v>
      </c>
      <c r="D1566" t="s">
        <v>10</v>
      </c>
      <c r="E1566" t="str">
        <f>"$ 51,718"</f>
        <v>$ 51,718</v>
      </c>
      <c r="F1566" s="1">
        <v>11475</v>
      </c>
    </row>
    <row r="1567" spans="1:6">
      <c r="A1567" t="s">
        <v>1569</v>
      </c>
      <c r="B1567" t="str">
        <f>"0.00670%"</f>
        <v>0.00670%</v>
      </c>
      <c r="C1567" t="s">
        <v>10</v>
      </c>
      <c r="D1567" t="s">
        <v>10</v>
      </c>
      <c r="E1567" t="str">
        <f>"$ 51,739"</f>
        <v>$ 51,739</v>
      </c>
      <c r="F1567">
        <v>674</v>
      </c>
    </row>
    <row r="1568" spans="1:6">
      <c r="A1568" t="s">
        <v>1570</v>
      </c>
      <c r="B1568" t="str">
        <f>"0.00670%"</f>
        <v>0.00670%</v>
      </c>
      <c r="C1568" t="s">
        <v>10</v>
      </c>
      <c r="D1568" t="s">
        <v>10</v>
      </c>
      <c r="E1568" t="str">
        <f>"$ 51,737"</f>
        <v>$ 51,737</v>
      </c>
      <c r="F1568" s="1">
        <v>11408</v>
      </c>
    </row>
    <row r="1569" spans="1:6">
      <c r="A1569" t="s">
        <v>1571</v>
      </c>
      <c r="B1569" t="str">
        <f>"0.00668%"</f>
        <v>0.00668%</v>
      </c>
      <c r="C1569" t="s">
        <v>10</v>
      </c>
      <c r="D1569" t="s">
        <v>10</v>
      </c>
      <c r="E1569" t="str">
        <f>"$ 51,610"</f>
        <v>$ 51,610</v>
      </c>
      <c r="F1569">
        <v>215</v>
      </c>
    </row>
    <row r="1570" spans="1:6">
      <c r="A1570" t="s">
        <v>1572</v>
      </c>
      <c r="B1570" t="str">
        <f>"0.00668%"</f>
        <v>0.00668%</v>
      </c>
      <c r="C1570" t="s">
        <v>10</v>
      </c>
      <c r="D1570" t="s">
        <v>10</v>
      </c>
      <c r="E1570" t="str">
        <f>"$ 51,617"</f>
        <v>$ 51,617</v>
      </c>
      <c r="F1570">
        <v>373</v>
      </c>
    </row>
    <row r="1571" spans="1:6">
      <c r="A1571" t="s">
        <v>1573</v>
      </c>
      <c r="B1571" t="str">
        <f>"0.00666%"</f>
        <v>0.00666%</v>
      </c>
      <c r="C1571" t="s">
        <v>10</v>
      </c>
      <c r="D1571" t="s">
        <v>10</v>
      </c>
      <c r="E1571" t="str">
        <f>"$ 51,464"</f>
        <v>$ 51,464</v>
      </c>
      <c r="F1571" s="1">
        <v>1264</v>
      </c>
    </row>
    <row r="1572" spans="1:6">
      <c r="A1572" t="s">
        <v>1574</v>
      </c>
      <c r="B1572" t="str">
        <f>"0.00664%"</f>
        <v>0.00664%</v>
      </c>
      <c r="C1572" t="s">
        <v>10</v>
      </c>
      <c r="D1572" t="s">
        <v>10</v>
      </c>
      <c r="E1572" t="str">
        <f>"$ 51,298"</f>
        <v>$ 51,298</v>
      </c>
      <c r="F1572" s="1">
        <v>3083</v>
      </c>
    </row>
    <row r="1573" spans="1:6">
      <c r="A1573" t="s">
        <v>1575</v>
      </c>
      <c r="B1573" t="str">
        <f>"0.00664%"</f>
        <v>0.00664%</v>
      </c>
      <c r="C1573" t="s">
        <v>10</v>
      </c>
      <c r="D1573" t="s">
        <v>10</v>
      </c>
      <c r="E1573" t="str">
        <f>"$ 51,246"</f>
        <v>$ 51,246</v>
      </c>
      <c r="F1573">
        <v>513</v>
      </c>
    </row>
    <row r="1574" spans="1:6">
      <c r="A1574" t="s">
        <v>1576</v>
      </c>
      <c r="B1574" t="str">
        <f>"0.00664%"</f>
        <v>0.00664%</v>
      </c>
      <c r="C1574" t="s">
        <v>10</v>
      </c>
      <c r="D1574" t="s">
        <v>10</v>
      </c>
      <c r="E1574" t="str">
        <f>"$ 51,257"</f>
        <v>$ 51,257</v>
      </c>
      <c r="F1574">
        <v>687</v>
      </c>
    </row>
    <row r="1575" spans="1:6">
      <c r="A1575" t="s">
        <v>1577</v>
      </c>
      <c r="B1575" t="str">
        <f>"0.00663%"</f>
        <v>0.00663%</v>
      </c>
      <c r="C1575" t="s">
        <v>10</v>
      </c>
      <c r="D1575" t="s">
        <v>10</v>
      </c>
      <c r="E1575" t="str">
        <f>"$ 51,194"</f>
        <v>$ 51,194</v>
      </c>
      <c r="F1575" s="1">
        <v>2656</v>
      </c>
    </row>
    <row r="1576" spans="1:6">
      <c r="A1576" t="s">
        <v>1578</v>
      </c>
      <c r="B1576" t="str">
        <f>"0.00662%"</f>
        <v>0.00662%</v>
      </c>
      <c r="C1576" t="s">
        <v>10</v>
      </c>
      <c r="D1576" t="s">
        <v>10</v>
      </c>
      <c r="E1576" t="str">
        <f>"$ 51,099"</f>
        <v>$ 51,099</v>
      </c>
      <c r="F1576" s="1">
        <v>1024</v>
      </c>
    </row>
    <row r="1577" spans="1:6">
      <c r="A1577" t="s">
        <v>1579</v>
      </c>
      <c r="B1577" t="str">
        <f>"0.00662%"</f>
        <v>0.00662%</v>
      </c>
      <c r="C1577" t="s">
        <v>10</v>
      </c>
      <c r="D1577" t="s">
        <v>10</v>
      </c>
      <c r="E1577" t="str">
        <f>"$ 51,122"</f>
        <v>$ 51,122</v>
      </c>
      <c r="F1577" s="1">
        <v>14322</v>
      </c>
    </row>
    <row r="1578" spans="1:6">
      <c r="A1578" t="s">
        <v>1580</v>
      </c>
      <c r="B1578" t="str">
        <f>"0.00661%"</f>
        <v>0.00661%</v>
      </c>
      <c r="C1578" t="s">
        <v>10</v>
      </c>
      <c r="D1578" t="s">
        <v>10</v>
      </c>
      <c r="E1578" t="str">
        <f>"$ 51,049"</f>
        <v>$ 51,049</v>
      </c>
      <c r="F1578" s="1">
        <v>2632</v>
      </c>
    </row>
    <row r="1579" spans="1:6">
      <c r="A1579" t="s">
        <v>1581</v>
      </c>
      <c r="B1579" t="str">
        <f>"0.00661%"</f>
        <v>0.00661%</v>
      </c>
      <c r="C1579" t="s">
        <v>10</v>
      </c>
      <c r="D1579" t="s">
        <v>10</v>
      </c>
      <c r="E1579" t="str">
        <f>"$ 51,034"</f>
        <v>$ 51,034</v>
      </c>
      <c r="F1579" s="1">
        <v>1546</v>
      </c>
    </row>
    <row r="1580" spans="1:6">
      <c r="A1580" t="s">
        <v>1582</v>
      </c>
      <c r="B1580" t="str">
        <f>"0.00660%"</f>
        <v>0.00660%</v>
      </c>
      <c r="C1580" t="s">
        <v>10</v>
      </c>
      <c r="D1580" t="s">
        <v>10</v>
      </c>
      <c r="E1580" t="str">
        <f>"$ 50,996"</f>
        <v>$ 50,996</v>
      </c>
      <c r="F1580" s="1">
        <v>1309</v>
      </c>
    </row>
    <row r="1581" spans="1:6">
      <c r="A1581" t="s">
        <v>1583</v>
      </c>
      <c r="B1581" t="str">
        <f>"0.00660%"</f>
        <v>0.00660%</v>
      </c>
      <c r="C1581" t="s">
        <v>10</v>
      </c>
      <c r="D1581" t="s">
        <v>10</v>
      </c>
      <c r="E1581" t="str">
        <f>"$ 50,991"</f>
        <v>$ 50,991</v>
      </c>
      <c r="F1581">
        <v>948</v>
      </c>
    </row>
    <row r="1582" spans="1:6">
      <c r="A1582" t="s">
        <v>1584</v>
      </c>
      <c r="B1582" t="str">
        <f>"0.00660%"</f>
        <v>0.00660%</v>
      </c>
      <c r="C1582" t="s">
        <v>10</v>
      </c>
      <c r="D1582" t="s">
        <v>10</v>
      </c>
      <c r="E1582" t="str">
        <f>"$ 50,984"</f>
        <v>$ 50,984</v>
      </c>
      <c r="F1582" s="1">
        <v>14615</v>
      </c>
    </row>
    <row r="1583" spans="1:6">
      <c r="A1583" t="s">
        <v>1585</v>
      </c>
      <c r="B1583" t="str">
        <f>"0.00660%"</f>
        <v>0.00660%</v>
      </c>
      <c r="C1583" t="s">
        <v>10</v>
      </c>
      <c r="D1583" t="s">
        <v>10</v>
      </c>
      <c r="E1583" t="str">
        <f>"$ 50,969"</f>
        <v>$ 50,969</v>
      </c>
      <c r="F1583">
        <v>881</v>
      </c>
    </row>
    <row r="1584" spans="1:6">
      <c r="A1584" t="s">
        <v>1586</v>
      </c>
      <c r="B1584" t="str">
        <f>"0.00659%"</f>
        <v>0.00659%</v>
      </c>
      <c r="C1584" t="s">
        <v>10</v>
      </c>
      <c r="D1584" t="s">
        <v>10</v>
      </c>
      <c r="E1584" t="str">
        <f>"$ 50,925"</f>
        <v>$ 50,925</v>
      </c>
      <c r="F1584" s="1">
        <v>2790</v>
      </c>
    </row>
    <row r="1585" spans="1:6">
      <c r="A1585" t="s">
        <v>1587</v>
      </c>
      <c r="B1585" t="str">
        <f>"0.00659%"</f>
        <v>0.00659%</v>
      </c>
      <c r="C1585" t="s">
        <v>10</v>
      </c>
      <c r="D1585" t="s">
        <v>10</v>
      </c>
      <c r="E1585" t="str">
        <f>"$ 50,909"</f>
        <v>$ 50,909</v>
      </c>
      <c r="F1585" s="1">
        <v>6380</v>
      </c>
    </row>
    <row r="1586" spans="1:6">
      <c r="A1586" t="s">
        <v>1588</v>
      </c>
      <c r="B1586" t="str">
        <f>"0.00659%"</f>
        <v>0.00659%</v>
      </c>
      <c r="C1586" t="s">
        <v>10</v>
      </c>
      <c r="D1586" t="s">
        <v>10</v>
      </c>
      <c r="E1586" t="str">
        <f>"$ 50,866"</f>
        <v>$ 50,866</v>
      </c>
      <c r="F1586">
        <v>77</v>
      </c>
    </row>
    <row r="1587" spans="1:6">
      <c r="A1587" t="s">
        <v>1589</v>
      </c>
      <c r="B1587" t="str">
        <f>"0.00658%"</f>
        <v>0.00658%</v>
      </c>
      <c r="C1587" t="s">
        <v>10</v>
      </c>
      <c r="D1587" t="s">
        <v>10</v>
      </c>
      <c r="E1587" t="str">
        <f>"$ 50,812"</f>
        <v>$ 50,812</v>
      </c>
      <c r="F1587">
        <v>568</v>
      </c>
    </row>
    <row r="1588" spans="1:6">
      <c r="A1588" t="s">
        <v>1590</v>
      </c>
      <c r="B1588" t="str">
        <f>"0.00656%"</f>
        <v>0.00656%</v>
      </c>
      <c r="C1588" t="s">
        <v>10</v>
      </c>
      <c r="D1588" t="s">
        <v>10</v>
      </c>
      <c r="E1588" t="str">
        <f>"$ 50,653"</f>
        <v>$ 50,653</v>
      </c>
      <c r="F1588">
        <v>347</v>
      </c>
    </row>
    <row r="1589" spans="1:6">
      <c r="A1589" t="s">
        <v>1591</v>
      </c>
      <c r="B1589" t="str">
        <f>"0.00656%"</f>
        <v>0.00656%</v>
      </c>
      <c r="C1589" t="s">
        <v>10</v>
      </c>
      <c r="D1589" t="s">
        <v>10</v>
      </c>
      <c r="E1589" t="str">
        <f>"$ 50,692"</f>
        <v>$ 50,692</v>
      </c>
      <c r="F1589">
        <v>212</v>
      </c>
    </row>
    <row r="1590" spans="1:6">
      <c r="A1590" t="s">
        <v>1592</v>
      </c>
      <c r="B1590" t="str">
        <f>"0.00655%"</f>
        <v>0.00655%</v>
      </c>
      <c r="C1590" t="s">
        <v>10</v>
      </c>
      <c r="D1590" t="s">
        <v>10</v>
      </c>
      <c r="E1590" t="str">
        <f>"$ 50,578"</f>
        <v>$ 50,578</v>
      </c>
      <c r="F1590" s="1">
        <v>1947</v>
      </c>
    </row>
    <row r="1591" spans="1:6">
      <c r="A1591" t="s">
        <v>1593</v>
      </c>
      <c r="B1591" t="str">
        <f>"0.00655%"</f>
        <v>0.00655%</v>
      </c>
      <c r="C1591" t="s">
        <v>10</v>
      </c>
      <c r="D1591" t="s">
        <v>10</v>
      </c>
      <c r="E1591" t="str">
        <f>"$ 50,561"</f>
        <v>$ 50,561</v>
      </c>
      <c r="F1591" s="1">
        <v>1047</v>
      </c>
    </row>
    <row r="1592" spans="1:6">
      <c r="A1592" t="s">
        <v>1594</v>
      </c>
      <c r="B1592" t="str">
        <f>"0.00655%"</f>
        <v>0.00655%</v>
      </c>
      <c r="C1592" t="s">
        <v>10</v>
      </c>
      <c r="D1592" t="s">
        <v>10</v>
      </c>
      <c r="E1592" t="str">
        <f>"$ 50,554"</f>
        <v>$ 50,554</v>
      </c>
      <c r="F1592" s="1">
        <v>40109</v>
      </c>
    </row>
    <row r="1593" spans="1:6">
      <c r="A1593" t="s">
        <v>1595</v>
      </c>
      <c r="B1593" t="str">
        <f>"0.00655%"</f>
        <v>0.00655%</v>
      </c>
      <c r="C1593" t="s">
        <v>10</v>
      </c>
      <c r="D1593" t="s">
        <v>10</v>
      </c>
      <c r="E1593" t="str">
        <f>"$ 50,565"</f>
        <v>$ 50,565</v>
      </c>
      <c r="F1593" s="1">
        <v>65074</v>
      </c>
    </row>
    <row r="1594" spans="1:6">
      <c r="A1594" t="s">
        <v>1596</v>
      </c>
      <c r="B1594" t="str">
        <f>"0.00654%"</f>
        <v>0.00654%</v>
      </c>
      <c r="C1594" t="s">
        <v>10</v>
      </c>
      <c r="D1594" t="s">
        <v>10</v>
      </c>
      <c r="E1594" t="str">
        <f>"$ 50,498"</f>
        <v>$ 50,498</v>
      </c>
      <c r="F1594" s="1">
        <v>3217</v>
      </c>
    </row>
    <row r="1595" spans="1:6">
      <c r="A1595" t="s">
        <v>1597</v>
      </c>
      <c r="B1595" t="str">
        <f>"0.00654%"</f>
        <v>0.00654%</v>
      </c>
      <c r="C1595" t="s">
        <v>10</v>
      </c>
      <c r="D1595" t="s">
        <v>10</v>
      </c>
      <c r="E1595" t="str">
        <f>"$ 50,536"</f>
        <v>$ 50,536</v>
      </c>
      <c r="F1595">
        <v>651</v>
      </c>
    </row>
    <row r="1596" spans="1:6">
      <c r="A1596" t="s">
        <v>1598</v>
      </c>
      <c r="B1596" t="str">
        <f>"0.00654%"</f>
        <v>0.00654%</v>
      </c>
      <c r="C1596" t="s">
        <v>10</v>
      </c>
      <c r="D1596" t="s">
        <v>10</v>
      </c>
      <c r="E1596" t="str">
        <f>"$ 50,498"</f>
        <v>$ 50,498</v>
      </c>
      <c r="F1596">
        <v>0</v>
      </c>
    </row>
    <row r="1597" spans="1:6">
      <c r="A1597" t="s">
        <v>1599</v>
      </c>
      <c r="B1597" t="str">
        <f>"0.00654%"</f>
        <v>0.00654%</v>
      </c>
      <c r="C1597" t="s">
        <v>10</v>
      </c>
      <c r="D1597" t="s">
        <v>10</v>
      </c>
      <c r="E1597" t="str">
        <f>"$ 50,533"</f>
        <v>$ 50,533</v>
      </c>
      <c r="F1597">
        <v>661</v>
      </c>
    </row>
    <row r="1598" spans="1:6">
      <c r="A1598" t="s">
        <v>1600</v>
      </c>
      <c r="B1598" t="str">
        <f>"0.00653%"</f>
        <v>0.00653%</v>
      </c>
      <c r="C1598" t="s">
        <v>10</v>
      </c>
      <c r="D1598" t="s">
        <v>10</v>
      </c>
      <c r="E1598" t="str">
        <f>"$ 50,411"</f>
        <v>$ 50,411</v>
      </c>
      <c r="F1598" s="1">
        <v>1634</v>
      </c>
    </row>
    <row r="1599" spans="1:6">
      <c r="A1599" t="s">
        <v>1601</v>
      </c>
      <c r="B1599" t="str">
        <f>"0.00653%"</f>
        <v>0.00653%</v>
      </c>
      <c r="C1599" t="s">
        <v>10</v>
      </c>
      <c r="D1599" t="s">
        <v>10</v>
      </c>
      <c r="E1599" t="str">
        <f>"$ 50,419"</f>
        <v>$ 50,419</v>
      </c>
      <c r="F1599">
        <v>584</v>
      </c>
    </row>
    <row r="1600" spans="1:6">
      <c r="A1600" t="s">
        <v>1602</v>
      </c>
      <c r="B1600" t="str">
        <f>"0.00652%"</f>
        <v>0.00652%</v>
      </c>
      <c r="C1600" t="s">
        <v>10</v>
      </c>
      <c r="D1600" t="s">
        <v>10</v>
      </c>
      <c r="E1600" t="str">
        <f>"$ 50,335"</f>
        <v>$ 50,335</v>
      </c>
      <c r="F1600">
        <v>409</v>
      </c>
    </row>
    <row r="1601" spans="1:6">
      <c r="A1601" t="s">
        <v>1603</v>
      </c>
      <c r="B1601" t="str">
        <f>"0.00652%"</f>
        <v>0.00652%</v>
      </c>
      <c r="C1601" t="s">
        <v>10</v>
      </c>
      <c r="D1601" t="s">
        <v>10</v>
      </c>
      <c r="E1601" t="str">
        <f>"$ 50,357"</f>
        <v>$ 50,357</v>
      </c>
      <c r="F1601">
        <v>215</v>
      </c>
    </row>
    <row r="1602" spans="1:6">
      <c r="A1602" t="s">
        <v>1604</v>
      </c>
      <c r="B1602" t="str">
        <f>"0.00651%"</f>
        <v>0.00651%</v>
      </c>
      <c r="C1602" t="s">
        <v>10</v>
      </c>
      <c r="D1602" t="s">
        <v>10</v>
      </c>
      <c r="E1602" t="str">
        <f>"$ 50,296"</f>
        <v>$ 50,296</v>
      </c>
      <c r="F1602" s="1">
        <v>9703</v>
      </c>
    </row>
    <row r="1603" spans="1:6">
      <c r="A1603" t="s">
        <v>1605</v>
      </c>
      <c r="B1603" t="str">
        <f>"0.00651%"</f>
        <v>0.00651%</v>
      </c>
      <c r="C1603" t="s">
        <v>10</v>
      </c>
      <c r="D1603" t="s">
        <v>10</v>
      </c>
      <c r="E1603" t="str">
        <f>"$ 50,289"</f>
        <v>$ 50,289</v>
      </c>
      <c r="F1603">
        <v>507</v>
      </c>
    </row>
    <row r="1604" spans="1:6">
      <c r="A1604" t="s">
        <v>1606</v>
      </c>
      <c r="B1604" t="str">
        <f>"0.00650%"</f>
        <v>0.00650%</v>
      </c>
      <c r="C1604" t="s">
        <v>10</v>
      </c>
      <c r="D1604" t="s">
        <v>10</v>
      </c>
      <c r="E1604" t="str">
        <f>"$ 50,192"</f>
        <v>$ 50,192</v>
      </c>
      <c r="F1604" s="1">
        <v>5257</v>
      </c>
    </row>
    <row r="1605" spans="1:6">
      <c r="A1605" t="s">
        <v>1607</v>
      </c>
      <c r="B1605" t="str">
        <f>"0.00650%"</f>
        <v>0.00650%</v>
      </c>
      <c r="C1605" t="s">
        <v>10</v>
      </c>
      <c r="D1605" t="s">
        <v>10</v>
      </c>
      <c r="E1605" t="str">
        <f>"$ 50,228"</f>
        <v>$ 50,228</v>
      </c>
      <c r="F1605" s="1">
        <v>1129</v>
      </c>
    </row>
    <row r="1606" spans="1:6">
      <c r="A1606" t="s">
        <v>1608</v>
      </c>
      <c r="B1606" t="str">
        <f>"0.00650%"</f>
        <v>0.00650%</v>
      </c>
      <c r="C1606" t="s">
        <v>10</v>
      </c>
      <c r="D1606" t="s">
        <v>10</v>
      </c>
      <c r="E1606" t="str">
        <f>"$ 50,162"</f>
        <v>$ 50,162</v>
      </c>
      <c r="F1606">
        <v>204</v>
      </c>
    </row>
    <row r="1607" spans="1:6">
      <c r="A1607" t="s">
        <v>1609</v>
      </c>
      <c r="B1607" t="str">
        <f>"0.00650%"</f>
        <v>0.00650%</v>
      </c>
      <c r="C1607" t="s">
        <v>10</v>
      </c>
      <c r="D1607" t="s">
        <v>10</v>
      </c>
      <c r="E1607" t="str">
        <f>"$ 50,231"</f>
        <v>$ 50,231</v>
      </c>
      <c r="F1607">
        <v>629</v>
      </c>
    </row>
    <row r="1608" spans="1:6">
      <c r="A1608" t="s">
        <v>1610</v>
      </c>
      <c r="B1608" t="str">
        <f>"0.00649%"</f>
        <v>0.00649%</v>
      </c>
      <c r="C1608" t="s">
        <v>10</v>
      </c>
      <c r="D1608" t="s">
        <v>10</v>
      </c>
      <c r="E1608" t="str">
        <f>"$ 50,149"</f>
        <v>$ 50,149</v>
      </c>
      <c r="F1608" s="1">
        <v>1040</v>
      </c>
    </row>
    <row r="1609" spans="1:6">
      <c r="A1609" t="s">
        <v>1611</v>
      </c>
      <c r="B1609" t="str">
        <f>"0.00649%"</f>
        <v>0.00649%</v>
      </c>
      <c r="C1609" t="s">
        <v>10</v>
      </c>
      <c r="D1609" t="s">
        <v>10</v>
      </c>
      <c r="E1609" t="str">
        <f>"$ 50,093"</f>
        <v>$ 50,093</v>
      </c>
      <c r="F1609" s="1">
        <v>5284</v>
      </c>
    </row>
    <row r="1610" spans="1:6">
      <c r="A1610" t="s">
        <v>1612</v>
      </c>
      <c r="B1610" t="str">
        <f>"0.00649%"</f>
        <v>0.00649%</v>
      </c>
      <c r="C1610" t="s">
        <v>10</v>
      </c>
      <c r="D1610" t="s">
        <v>10</v>
      </c>
      <c r="E1610" t="str">
        <f>"$ 50,095"</f>
        <v>$ 50,095</v>
      </c>
      <c r="F1610">
        <v>878</v>
      </c>
    </row>
    <row r="1611" spans="1:6">
      <c r="A1611" t="s">
        <v>1613</v>
      </c>
      <c r="B1611" t="str">
        <f>"0.00648%"</f>
        <v>0.00648%</v>
      </c>
      <c r="C1611" t="s">
        <v>10</v>
      </c>
      <c r="D1611" t="s">
        <v>10</v>
      </c>
      <c r="E1611" t="str">
        <f>"$ 50,003"</f>
        <v>$ 50,003</v>
      </c>
      <c r="F1611" s="1">
        <v>1873</v>
      </c>
    </row>
    <row r="1612" spans="1:6">
      <c r="A1612" t="s">
        <v>1614</v>
      </c>
      <c r="B1612" t="str">
        <f>"0.00648%"</f>
        <v>0.00648%</v>
      </c>
      <c r="C1612" t="s">
        <v>10</v>
      </c>
      <c r="D1612" t="s">
        <v>10</v>
      </c>
      <c r="E1612" t="str">
        <f>"$ 50,014"</f>
        <v>$ 50,014</v>
      </c>
      <c r="F1612" s="1">
        <v>3692</v>
      </c>
    </row>
    <row r="1613" spans="1:6">
      <c r="A1613" t="s">
        <v>1615</v>
      </c>
      <c r="B1613" t="str">
        <f>"0.00648%"</f>
        <v>0.00648%</v>
      </c>
      <c r="C1613" t="s">
        <v>10</v>
      </c>
      <c r="D1613" t="s">
        <v>10</v>
      </c>
      <c r="E1613" t="str">
        <f>"$ 50,009"</f>
        <v>$ 50,009</v>
      </c>
      <c r="F1613" s="1">
        <v>13988</v>
      </c>
    </row>
    <row r="1614" spans="1:6">
      <c r="A1614" t="s">
        <v>1616</v>
      </c>
      <c r="B1614" t="str">
        <f>"0.00647%"</f>
        <v>0.00647%</v>
      </c>
      <c r="C1614" t="s">
        <v>10</v>
      </c>
      <c r="D1614" t="s">
        <v>10</v>
      </c>
      <c r="E1614" t="str">
        <f>"$ 49,997"</f>
        <v>$ 49,997</v>
      </c>
      <c r="F1614">
        <v>528</v>
      </c>
    </row>
    <row r="1615" spans="1:6">
      <c r="A1615" t="s">
        <v>1617</v>
      </c>
      <c r="B1615" t="str">
        <f>"0.00647%"</f>
        <v>0.00647%</v>
      </c>
      <c r="C1615" t="s">
        <v>10</v>
      </c>
      <c r="D1615" t="s">
        <v>10</v>
      </c>
      <c r="E1615" t="str">
        <f>"$ 49,978"</f>
        <v>$ 49,978</v>
      </c>
      <c r="F1615">
        <v>240</v>
      </c>
    </row>
    <row r="1616" spans="1:6">
      <c r="A1616" t="s">
        <v>1618</v>
      </c>
      <c r="B1616" t="str">
        <f>"0.00646%"</f>
        <v>0.00646%</v>
      </c>
      <c r="C1616" t="s">
        <v>10</v>
      </c>
      <c r="D1616" t="s">
        <v>10</v>
      </c>
      <c r="E1616" t="str">
        <f>"$ 49,875"</f>
        <v>$ 49,875</v>
      </c>
      <c r="F1616">
        <v>386</v>
      </c>
    </row>
    <row r="1617" spans="1:6">
      <c r="A1617" t="s">
        <v>1619</v>
      </c>
      <c r="B1617" t="str">
        <f>"0.00646%"</f>
        <v>0.00646%</v>
      </c>
      <c r="C1617" t="s">
        <v>10</v>
      </c>
      <c r="D1617" t="s">
        <v>10</v>
      </c>
      <c r="E1617" t="str">
        <f>"$ 49,920"</f>
        <v>$ 49,920</v>
      </c>
      <c r="F1617" s="1">
        <v>1554</v>
      </c>
    </row>
    <row r="1618" spans="1:6">
      <c r="A1618" t="s">
        <v>1620</v>
      </c>
      <c r="B1618" t="str">
        <f>"0.00645%"</f>
        <v>0.00645%</v>
      </c>
      <c r="C1618" t="s">
        <v>10</v>
      </c>
      <c r="D1618" t="s">
        <v>10</v>
      </c>
      <c r="E1618" t="str">
        <f>"$ 49,798"</f>
        <v>$ 49,798</v>
      </c>
      <c r="F1618" s="1">
        <v>1378</v>
      </c>
    </row>
    <row r="1619" spans="1:6">
      <c r="A1619" t="s">
        <v>1621</v>
      </c>
      <c r="B1619" t="str">
        <f>"0.00645%"</f>
        <v>0.00645%</v>
      </c>
      <c r="C1619" t="s">
        <v>10</v>
      </c>
      <c r="D1619" t="s">
        <v>10</v>
      </c>
      <c r="E1619" t="str">
        <f>"$ 49,772"</f>
        <v>$ 49,772</v>
      </c>
      <c r="F1619" s="1">
        <v>5802</v>
      </c>
    </row>
    <row r="1620" spans="1:6">
      <c r="A1620" t="s">
        <v>1622</v>
      </c>
      <c r="B1620" t="str">
        <f>"0.00645%"</f>
        <v>0.00645%</v>
      </c>
      <c r="C1620" t="s">
        <v>10</v>
      </c>
      <c r="D1620" t="s">
        <v>10</v>
      </c>
      <c r="E1620" t="str">
        <f>"$ 49,802"</f>
        <v>$ 49,802</v>
      </c>
      <c r="F1620" s="1">
        <v>1613</v>
      </c>
    </row>
    <row r="1621" spans="1:6">
      <c r="A1621" t="s">
        <v>1623</v>
      </c>
      <c r="B1621" t="str">
        <f>"0.00645%"</f>
        <v>0.00645%</v>
      </c>
      <c r="C1621" t="s">
        <v>10</v>
      </c>
      <c r="D1621" t="s">
        <v>10</v>
      </c>
      <c r="E1621" t="str">
        <f>"$ 49,833"</f>
        <v>$ 49,833</v>
      </c>
      <c r="F1621">
        <v>335</v>
      </c>
    </row>
    <row r="1622" spans="1:6">
      <c r="A1622" t="s">
        <v>1624</v>
      </c>
      <c r="B1622" t="str">
        <f>"0.00645%"</f>
        <v>0.00645%</v>
      </c>
      <c r="C1622" t="s">
        <v>10</v>
      </c>
      <c r="D1622" t="s">
        <v>10</v>
      </c>
      <c r="E1622" t="str">
        <f>"$ 49,789"</f>
        <v>$ 49,789</v>
      </c>
      <c r="F1622">
        <v>969</v>
      </c>
    </row>
    <row r="1623" spans="1:6">
      <c r="A1623" t="s">
        <v>1625</v>
      </c>
      <c r="B1623" t="str">
        <f>"0.00643%"</f>
        <v>0.00643%</v>
      </c>
      <c r="C1623" t="s">
        <v>10</v>
      </c>
      <c r="D1623" t="s">
        <v>10</v>
      </c>
      <c r="E1623" t="str">
        <f>"$ 49,677"</f>
        <v>$ 49,677</v>
      </c>
      <c r="F1623">
        <v>787</v>
      </c>
    </row>
    <row r="1624" spans="1:6">
      <c r="A1624" t="s">
        <v>1626</v>
      </c>
      <c r="B1624" t="str">
        <f>"0.00643%"</f>
        <v>0.00643%</v>
      </c>
      <c r="C1624" t="s">
        <v>10</v>
      </c>
      <c r="D1624" t="s">
        <v>10</v>
      </c>
      <c r="E1624" t="str">
        <f>"$ 49,629"</f>
        <v>$ 49,629</v>
      </c>
      <c r="F1624">
        <v>923</v>
      </c>
    </row>
    <row r="1625" spans="1:6">
      <c r="A1625" t="s">
        <v>1627</v>
      </c>
      <c r="B1625" t="str">
        <f>"0.00640%"</f>
        <v>0.00640%</v>
      </c>
      <c r="C1625" t="s">
        <v>10</v>
      </c>
      <c r="D1625" t="s">
        <v>10</v>
      </c>
      <c r="E1625" t="str">
        <f>"$ 49,452"</f>
        <v>$ 49,452</v>
      </c>
      <c r="F1625" s="1">
        <v>1124</v>
      </c>
    </row>
    <row r="1626" spans="1:6">
      <c r="A1626" t="s">
        <v>1628</v>
      </c>
      <c r="B1626" t="str">
        <f>"0.00639%"</f>
        <v>0.00639%</v>
      </c>
      <c r="C1626" t="s">
        <v>10</v>
      </c>
      <c r="D1626" t="s">
        <v>10</v>
      </c>
      <c r="E1626" t="str">
        <f>"$ 49,310"</f>
        <v>$ 49,310</v>
      </c>
      <c r="F1626">
        <v>383</v>
      </c>
    </row>
    <row r="1627" spans="1:6">
      <c r="A1627" t="s">
        <v>1629</v>
      </c>
      <c r="B1627" t="str">
        <f>"0.00639%"</f>
        <v>0.00639%</v>
      </c>
      <c r="C1627" t="s">
        <v>10</v>
      </c>
      <c r="D1627" t="s">
        <v>10</v>
      </c>
      <c r="E1627" t="str">
        <f>"$ 49,306"</f>
        <v>$ 49,306</v>
      </c>
      <c r="F1627">
        <v>362</v>
      </c>
    </row>
    <row r="1628" spans="1:6">
      <c r="A1628" t="s">
        <v>1630</v>
      </c>
      <c r="B1628" t="str">
        <f>"0.00639%"</f>
        <v>0.00639%</v>
      </c>
      <c r="C1628" t="s">
        <v>10</v>
      </c>
      <c r="D1628" t="s">
        <v>10</v>
      </c>
      <c r="E1628" t="str">
        <f>"$ 49,359"</f>
        <v>$ 49,359</v>
      </c>
      <c r="F1628" s="1">
        <v>1155</v>
      </c>
    </row>
    <row r="1629" spans="1:6">
      <c r="A1629" t="s">
        <v>1631</v>
      </c>
      <c r="B1629" t="str">
        <f>"0.00637%"</f>
        <v>0.00637%</v>
      </c>
      <c r="C1629" t="s">
        <v>10</v>
      </c>
      <c r="D1629" t="s">
        <v>10</v>
      </c>
      <c r="E1629" t="str">
        <f>"$ 49,158"</f>
        <v>$ 49,158</v>
      </c>
      <c r="F1629" s="1">
        <v>2912</v>
      </c>
    </row>
    <row r="1630" spans="1:6">
      <c r="A1630" t="s">
        <v>1632</v>
      </c>
      <c r="B1630" t="str">
        <f>"0.00636%"</f>
        <v>0.00636%</v>
      </c>
      <c r="C1630" t="s">
        <v>10</v>
      </c>
      <c r="D1630" t="s">
        <v>10</v>
      </c>
      <c r="E1630" t="str">
        <f>"$ 49,120"</f>
        <v>$ 49,120</v>
      </c>
      <c r="F1630">
        <v>903</v>
      </c>
    </row>
    <row r="1631" spans="1:6">
      <c r="A1631" t="s">
        <v>1633</v>
      </c>
      <c r="B1631" t="str">
        <f>"0.00636%"</f>
        <v>0.00636%</v>
      </c>
      <c r="C1631" t="s">
        <v>10</v>
      </c>
      <c r="D1631" t="s">
        <v>10</v>
      </c>
      <c r="E1631" t="str">
        <f>"$ 49,118"</f>
        <v>$ 49,118</v>
      </c>
      <c r="F1631" s="1">
        <v>1865</v>
      </c>
    </row>
    <row r="1632" spans="1:6">
      <c r="A1632" t="s">
        <v>1634</v>
      </c>
      <c r="B1632" t="str">
        <f>"0.00635%"</f>
        <v>0.00635%</v>
      </c>
      <c r="C1632" t="s">
        <v>10</v>
      </c>
      <c r="D1632" t="s">
        <v>10</v>
      </c>
      <c r="E1632" t="str">
        <f>"$ 49,031"</f>
        <v>$ 49,031</v>
      </c>
      <c r="F1632" s="1">
        <v>1143</v>
      </c>
    </row>
    <row r="1633" spans="1:6">
      <c r="A1633" t="s">
        <v>1635</v>
      </c>
      <c r="B1633" t="str">
        <f>"0.00635%"</f>
        <v>0.00635%</v>
      </c>
      <c r="C1633" t="s">
        <v>10</v>
      </c>
      <c r="D1633" t="s">
        <v>10</v>
      </c>
      <c r="E1633" t="str">
        <f>"$ 49,046"</f>
        <v>$ 49,046</v>
      </c>
      <c r="F1633">
        <v>317</v>
      </c>
    </row>
    <row r="1634" spans="1:6">
      <c r="A1634" t="s">
        <v>1636</v>
      </c>
      <c r="B1634" t="str">
        <f>"0.00634%"</f>
        <v>0.00634%</v>
      </c>
      <c r="C1634" t="s">
        <v>10</v>
      </c>
      <c r="D1634" t="s">
        <v>10</v>
      </c>
      <c r="E1634" t="str">
        <f>"$ 48,921"</f>
        <v>$ 48,921</v>
      </c>
      <c r="F1634">
        <v>419</v>
      </c>
    </row>
    <row r="1635" spans="1:6">
      <c r="A1635" t="s">
        <v>1637</v>
      </c>
      <c r="B1635" t="str">
        <f>"0.00633%"</f>
        <v>0.00633%</v>
      </c>
      <c r="C1635" t="s">
        <v>10</v>
      </c>
      <c r="D1635" t="s">
        <v>10</v>
      </c>
      <c r="E1635" t="str">
        <f>"$ 48,893"</f>
        <v>$ 48,893</v>
      </c>
      <c r="F1635" s="1">
        <v>4647</v>
      </c>
    </row>
    <row r="1636" spans="1:6">
      <c r="A1636" t="s">
        <v>1638</v>
      </c>
      <c r="B1636" t="str">
        <f>"0.00633%"</f>
        <v>0.00633%</v>
      </c>
      <c r="C1636" t="s">
        <v>10</v>
      </c>
      <c r="D1636" t="s">
        <v>10</v>
      </c>
      <c r="E1636" t="str">
        <f>"$ 48,846"</f>
        <v>$ 48,846</v>
      </c>
      <c r="F1636">
        <v>195</v>
      </c>
    </row>
    <row r="1637" spans="1:6">
      <c r="A1637" t="s">
        <v>1639</v>
      </c>
      <c r="B1637" t="str">
        <f>"0.00632%"</f>
        <v>0.00632%</v>
      </c>
      <c r="C1637" t="s">
        <v>10</v>
      </c>
      <c r="D1637" t="s">
        <v>10</v>
      </c>
      <c r="E1637" t="str">
        <f>"$ 48,815"</f>
        <v>$ 48,815</v>
      </c>
      <c r="F1637" s="1">
        <v>2078</v>
      </c>
    </row>
    <row r="1638" spans="1:6">
      <c r="A1638" t="s">
        <v>1640</v>
      </c>
      <c r="B1638" t="str">
        <f>"0.00632%"</f>
        <v>0.00632%</v>
      </c>
      <c r="C1638" t="s">
        <v>10</v>
      </c>
      <c r="D1638" t="s">
        <v>10</v>
      </c>
      <c r="E1638" t="str">
        <f>"$ 48,802"</f>
        <v>$ 48,802</v>
      </c>
      <c r="F1638" s="1">
        <v>3513</v>
      </c>
    </row>
    <row r="1639" spans="1:6">
      <c r="A1639" t="s">
        <v>1641</v>
      </c>
      <c r="B1639" t="str">
        <f>"0.00632%"</f>
        <v>0.00632%</v>
      </c>
      <c r="C1639" t="s">
        <v>10</v>
      </c>
      <c r="D1639" t="s">
        <v>10</v>
      </c>
      <c r="E1639" t="str">
        <f>"$ 48,812"</f>
        <v>$ 48,812</v>
      </c>
      <c r="F1639">
        <v>825</v>
      </c>
    </row>
    <row r="1640" spans="1:6">
      <c r="A1640" t="s">
        <v>1642</v>
      </c>
      <c r="B1640" t="str">
        <f>"0.00632%"</f>
        <v>0.00632%</v>
      </c>
      <c r="C1640" t="s">
        <v>10</v>
      </c>
      <c r="D1640" t="s">
        <v>10</v>
      </c>
      <c r="E1640" t="str">
        <f>"$ 48,777"</f>
        <v>$ 48,777</v>
      </c>
      <c r="F1640">
        <v>462</v>
      </c>
    </row>
    <row r="1641" spans="1:6">
      <c r="A1641" t="s">
        <v>1643</v>
      </c>
      <c r="B1641" t="str">
        <f>"0.00631%"</f>
        <v>0.00631%</v>
      </c>
      <c r="C1641" t="s">
        <v>10</v>
      </c>
      <c r="D1641" t="s">
        <v>10</v>
      </c>
      <c r="E1641" t="str">
        <f>"$ 48,753"</f>
        <v>$ 48,753</v>
      </c>
      <c r="F1641" s="1">
        <v>9724</v>
      </c>
    </row>
    <row r="1642" spans="1:6">
      <c r="A1642" t="s">
        <v>1644</v>
      </c>
      <c r="B1642" t="str">
        <f>"0.00631%"</f>
        <v>0.00631%</v>
      </c>
      <c r="C1642" t="s">
        <v>10</v>
      </c>
      <c r="D1642" t="s">
        <v>10</v>
      </c>
      <c r="E1642" t="str">
        <f>"$ 48,720"</f>
        <v>$ 48,720</v>
      </c>
      <c r="F1642">
        <v>383</v>
      </c>
    </row>
    <row r="1643" spans="1:6">
      <c r="A1643" t="s">
        <v>1645</v>
      </c>
      <c r="B1643" t="str">
        <f>"0.00629%"</f>
        <v>0.00629%</v>
      </c>
      <c r="C1643" t="s">
        <v>10</v>
      </c>
      <c r="D1643" t="s">
        <v>10</v>
      </c>
      <c r="E1643" t="str">
        <f>"$ 48,589"</f>
        <v>$ 48,589</v>
      </c>
      <c r="F1643">
        <v>858</v>
      </c>
    </row>
    <row r="1644" spans="1:6">
      <c r="A1644" t="s">
        <v>1646</v>
      </c>
      <c r="B1644" t="str">
        <f>"0.00629%"</f>
        <v>0.00629%</v>
      </c>
      <c r="C1644" t="s">
        <v>10</v>
      </c>
      <c r="D1644" t="s">
        <v>10</v>
      </c>
      <c r="E1644" t="str">
        <f>"$ 48,545"</f>
        <v>$ 48,545</v>
      </c>
      <c r="F1644">
        <v>248</v>
      </c>
    </row>
    <row r="1645" spans="1:6">
      <c r="A1645" t="s">
        <v>1647</v>
      </c>
      <c r="B1645" t="str">
        <f>"0.00628%"</f>
        <v>0.00628%</v>
      </c>
      <c r="C1645" t="s">
        <v>10</v>
      </c>
      <c r="D1645" t="s">
        <v>10</v>
      </c>
      <c r="E1645" t="str">
        <f>"$ 48,517"</f>
        <v>$ 48,517</v>
      </c>
      <c r="F1645">
        <v>131</v>
      </c>
    </row>
    <row r="1646" spans="1:6">
      <c r="A1646" t="s">
        <v>1648</v>
      </c>
      <c r="B1646" t="str">
        <f>"0.00626%"</f>
        <v>0.00626%</v>
      </c>
      <c r="C1646" t="s">
        <v>10</v>
      </c>
      <c r="D1646" t="s">
        <v>10</v>
      </c>
      <c r="E1646" t="str">
        <f>"$ 48,378"</f>
        <v>$ 48,378</v>
      </c>
      <c r="F1646" s="1">
        <v>7727</v>
      </c>
    </row>
    <row r="1647" spans="1:6">
      <c r="A1647" t="s">
        <v>1649</v>
      </c>
      <c r="B1647" t="str">
        <f>"0.00626%"</f>
        <v>0.00626%</v>
      </c>
      <c r="C1647" t="s">
        <v>10</v>
      </c>
      <c r="D1647" t="s">
        <v>10</v>
      </c>
      <c r="E1647" t="str">
        <f>"$ 48,370"</f>
        <v>$ 48,370</v>
      </c>
      <c r="F1647">
        <v>626</v>
      </c>
    </row>
    <row r="1648" spans="1:6">
      <c r="A1648" t="s">
        <v>1650</v>
      </c>
      <c r="B1648" t="str">
        <f>"0.00625%"</f>
        <v>0.00625%</v>
      </c>
      <c r="C1648" t="s">
        <v>10</v>
      </c>
      <c r="D1648" t="s">
        <v>10</v>
      </c>
      <c r="E1648" t="str">
        <f>"$ 48,301"</f>
        <v>$ 48,301</v>
      </c>
      <c r="F1648" s="1">
        <v>3405</v>
      </c>
    </row>
    <row r="1649" spans="1:6">
      <c r="A1649" t="s">
        <v>1651</v>
      </c>
      <c r="B1649" t="str">
        <f>"0.00624%"</f>
        <v>0.00624%</v>
      </c>
      <c r="C1649" t="s">
        <v>10</v>
      </c>
      <c r="D1649" t="s">
        <v>10</v>
      </c>
      <c r="E1649" t="str">
        <f>"$ 48,197"</f>
        <v>$ 48,197</v>
      </c>
      <c r="F1649" s="1">
        <v>1322</v>
      </c>
    </row>
    <row r="1650" spans="1:6">
      <c r="A1650" t="s">
        <v>1652</v>
      </c>
      <c r="B1650" t="str">
        <f>"0.00624%"</f>
        <v>0.00624%</v>
      </c>
      <c r="C1650" t="s">
        <v>10</v>
      </c>
      <c r="D1650" t="s">
        <v>10</v>
      </c>
      <c r="E1650" t="str">
        <f>"$ 48,186"</f>
        <v>$ 48,186</v>
      </c>
      <c r="F1650">
        <v>976</v>
      </c>
    </row>
    <row r="1651" spans="1:6">
      <c r="A1651" t="s">
        <v>1653</v>
      </c>
      <c r="B1651" t="str">
        <f>"0.00623%"</f>
        <v>0.00623%</v>
      </c>
      <c r="C1651" t="s">
        <v>10</v>
      </c>
      <c r="D1651" t="s">
        <v>10</v>
      </c>
      <c r="E1651" t="str">
        <f>"$ 48,095"</f>
        <v>$ 48,095</v>
      </c>
      <c r="F1651">
        <v>176</v>
      </c>
    </row>
    <row r="1652" spans="1:6">
      <c r="A1652" t="s">
        <v>1654</v>
      </c>
      <c r="B1652" t="str">
        <f>"0.00623%"</f>
        <v>0.00623%</v>
      </c>
      <c r="C1652" t="s">
        <v>10</v>
      </c>
      <c r="D1652" t="s">
        <v>10</v>
      </c>
      <c r="E1652" t="str">
        <f>"$ 48,107"</f>
        <v>$ 48,107</v>
      </c>
      <c r="F1652" s="1">
        <v>5076</v>
      </c>
    </row>
    <row r="1653" spans="1:6">
      <c r="A1653" t="s">
        <v>1655</v>
      </c>
      <c r="B1653" t="str">
        <f>"0.00622%"</f>
        <v>0.00622%</v>
      </c>
      <c r="C1653" t="s">
        <v>10</v>
      </c>
      <c r="D1653" t="s">
        <v>10</v>
      </c>
      <c r="E1653" t="str">
        <f>"$ 48,015"</f>
        <v>$ 48,015</v>
      </c>
      <c r="F1653">
        <v>699</v>
      </c>
    </row>
    <row r="1654" spans="1:6">
      <c r="A1654" t="s">
        <v>1656</v>
      </c>
      <c r="B1654" t="str">
        <f>"0.00622%"</f>
        <v>0.00622%</v>
      </c>
      <c r="C1654" t="s">
        <v>10</v>
      </c>
      <c r="D1654" t="s">
        <v>10</v>
      </c>
      <c r="E1654" t="str">
        <f>"$ 48,048"</f>
        <v>$ 48,048</v>
      </c>
      <c r="F1654">
        <v>434</v>
      </c>
    </row>
    <row r="1655" spans="1:6">
      <c r="A1655" t="s">
        <v>1657</v>
      </c>
      <c r="B1655" t="str">
        <f>"0.00620%"</f>
        <v>0.00620%</v>
      </c>
      <c r="C1655" t="s">
        <v>10</v>
      </c>
      <c r="D1655" t="s">
        <v>10</v>
      </c>
      <c r="E1655" t="str">
        <f>"$ 47,904"</f>
        <v>$ 47,904</v>
      </c>
      <c r="F1655">
        <v>727</v>
      </c>
    </row>
    <row r="1656" spans="1:6">
      <c r="A1656" t="s">
        <v>1658</v>
      </c>
      <c r="B1656" t="str">
        <f>"0.00620%"</f>
        <v>0.00620%</v>
      </c>
      <c r="C1656" t="s">
        <v>10</v>
      </c>
      <c r="D1656" t="s">
        <v>10</v>
      </c>
      <c r="E1656" t="str">
        <f>"$ 47,883"</f>
        <v>$ 47,883</v>
      </c>
      <c r="F1656" s="1">
        <v>2094</v>
      </c>
    </row>
    <row r="1657" spans="1:6">
      <c r="A1657" t="s">
        <v>1659</v>
      </c>
      <c r="B1657" t="str">
        <f>"0.00619%"</f>
        <v>0.00619%</v>
      </c>
      <c r="C1657" t="s">
        <v>10</v>
      </c>
      <c r="D1657" t="s">
        <v>10</v>
      </c>
      <c r="E1657" t="str">
        <f>"$ 47,776"</f>
        <v>$ 47,776</v>
      </c>
      <c r="F1657" s="1">
        <v>4056</v>
      </c>
    </row>
    <row r="1658" spans="1:6">
      <c r="A1658" t="s">
        <v>1660</v>
      </c>
      <c r="B1658" t="str">
        <f>"0.00618%"</f>
        <v>0.00618%</v>
      </c>
      <c r="C1658" t="s">
        <v>10</v>
      </c>
      <c r="D1658" t="s">
        <v>10</v>
      </c>
      <c r="E1658" t="str">
        <f>"$ 47,751"</f>
        <v>$ 47,751</v>
      </c>
      <c r="F1658" s="1">
        <v>1076</v>
      </c>
    </row>
    <row r="1659" spans="1:6">
      <c r="A1659" t="s">
        <v>1661</v>
      </c>
      <c r="B1659" t="str">
        <f>"0.00617%"</f>
        <v>0.00617%</v>
      </c>
      <c r="C1659" t="s">
        <v>10</v>
      </c>
      <c r="D1659" t="s">
        <v>10</v>
      </c>
      <c r="E1659" t="str">
        <f>"$ 47,619"</f>
        <v>$ 47,619</v>
      </c>
      <c r="F1659" s="1">
        <v>16326</v>
      </c>
    </row>
    <row r="1660" spans="1:6">
      <c r="A1660" t="s">
        <v>1662</v>
      </c>
      <c r="B1660" t="str">
        <f>"0.00617%"</f>
        <v>0.00617%</v>
      </c>
      <c r="C1660" t="s">
        <v>10</v>
      </c>
      <c r="D1660" t="s">
        <v>10</v>
      </c>
      <c r="E1660" t="str">
        <f>"$ 47,613"</f>
        <v>$ 47,613</v>
      </c>
      <c r="F1660">
        <v>114</v>
      </c>
    </row>
    <row r="1661" spans="1:6">
      <c r="A1661" t="s">
        <v>1663</v>
      </c>
      <c r="B1661" t="str">
        <f>"0.00617%"</f>
        <v>0.00617%</v>
      </c>
      <c r="C1661" t="s">
        <v>10</v>
      </c>
      <c r="D1661" t="s">
        <v>10</v>
      </c>
      <c r="E1661" t="str">
        <f>"$ 47,639"</f>
        <v>$ 47,639</v>
      </c>
      <c r="F1661" s="1">
        <v>1713</v>
      </c>
    </row>
    <row r="1662" spans="1:6">
      <c r="A1662" t="s">
        <v>1664</v>
      </c>
      <c r="B1662" t="str">
        <f>"0.00617%"</f>
        <v>0.00617%</v>
      </c>
      <c r="C1662" t="s">
        <v>10</v>
      </c>
      <c r="D1662" t="s">
        <v>10</v>
      </c>
      <c r="E1662" t="str">
        <f>"$ 47,632"</f>
        <v>$ 47,632</v>
      </c>
      <c r="F1662" s="1">
        <v>1232</v>
      </c>
    </row>
    <row r="1663" spans="1:6">
      <c r="A1663" t="s">
        <v>1665</v>
      </c>
      <c r="B1663" t="str">
        <f>"0.00616%"</f>
        <v>0.00616%</v>
      </c>
      <c r="C1663" t="s">
        <v>10</v>
      </c>
      <c r="D1663" t="s">
        <v>10</v>
      </c>
      <c r="E1663" t="str">
        <f>"$ 47,545"</f>
        <v>$ 47,545</v>
      </c>
      <c r="F1663" s="1">
        <v>1254</v>
      </c>
    </row>
    <row r="1664" spans="1:6">
      <c r="A1664" t="s">
        <v>1666</v>
      </c>
      <c r="B1664" t="str">
        <f>"0.00616%"</f>
        <v>0.00616%</v>
      </c>
      <c r="C1664" t="s">
        <v>10</v>
      </c>
      <c r="D1664" t="s">
        <v>10</v>
      </c>
      <c r="E1664" t="str">
        <f>"$ 47,585"</f>
        <v>$ 47,585</v>
      </c>
      <c r="F1664" s="1">
        <v>4368</v>
      </c>
    </row>
    <row r="1665" spans="1:6">
      <c r="A1665" t="s">
        <v>1667</v>
      </c>
      <c r="B1665" t="str">
        <f>"0.00616%"</f>
        <v>0.00616%</v>
      </c>
      <c r="C1665" t="s">
        <v>10</v>
      </c>
      <c r="D1665" t="s">
        <v>10</v>
      </c>
      <c r="E1665" t="str">
        <f>"$ 47,538"</f>
        <v>$ 47,538</v>
      </c>
      <c r="F1665" s="1">
        <v>19767</v>
      </c>
    </row>
    <row r="1666" spans="1:6">
      <c r="A1666" t="s">
        <v>1668</v>
      </c>
      <c r="B1666" t="str">
        <f>"0.00616%"</f>
        <v>0.00616%</v>
      </c>
      <c r="C1666" t="s">
        <v>10</v>
      </c>
      <c r="D1666" t="s">
        <v>10</v>
      </c>
      <c r="E1666" t="str">
        <f>"$ 47,578"</f>
        <v>$ 47,578</v>
      </c>
      <c r="F1666" s="1">
        <v>1530</v>
      </c>
    </row>
    <row r="1667" spans="1:6">
      <c r="A1667" t="s">
        <v>1669</v>
      </c>
      <c r="B1667" t="str">
        <f>"0.00615%"</f>
        <v>0.00615%</v>
      </c>
      <c r="C1667" t="s">
        <v>10</v>
      </c>
      <c r="D1667" t="s">
        <v>10</v>
      </c>
      <c r="E1667" t="str">
        <f>"$ 47,483"</f>
        <v>$ 47,483</v>
      </c>
      <c r="F1667" s="1">
        <v>1147</v>
      </c>
    </row>
    <row r="1668" spans="1:6">
      <c r="A1668" t="s">
        <v>1670</v>
      </c>
      <c r="B1668" t="str">
        <f>"0.00614%"</f>
        <v>0.00614%</v>
      </c>
      <c r="C1668" t="s">
        <v>10</v>
      </c>
      <c r="D1668" t="s">
        <v>10</v>
      </c>
      <c r="E1668" t="str">
        <f>"$ 47,405"</f>
        <v>$ 47,405</v>
      </c>
      <c r="F1668">
        <v>678</v>
      </c>
    </row>
    <row r="1669" spans="1:6">
      <c r="A1669" t="s">
        <v>1671</v>
      </c>
      <c r="B1669" t="str">
        <f>"0.00614%"</f>
        <v>0.00614%</v>
      </c>
      <c r="C1669" t="s">
        <v>10</v>
      </c>
      <c r="D1669" t="s">
        <v>10</v>
      </c>
      <c r="E1669" t="str">
        <f>"$ 47,444"</f>
        <v>$ 47,444</v>
      </c>
      <c r="F1669" s="1">
        <v>2694</v>
      </c>
    </row>
    <row r="1670" spans="1:6">
      <c r="A1670" t="s">
        <v>1672</v>
      </c>
      <c r="B1670" t="str">
        <f>"0.00614%"</f>
        <v>0.00614%</v>
      </c>
      <c r="C1670" t="s">
        <v>10</v>
      </c>
      <c r="D1670" t="s">
        <v>10</v>
      </c>
      <c r="E1670" t="str">
        <f>"$ 47,415"</f>
        <v>$ 47,415</v>
      </c>
      <c r="F1670" s="1">
        <v>26021</v>
      </c>
    </row>
    <row r="1671" spans="1:6">
      <c r="A1671" t="s">
        <v>1673</v>
      </c>
      <c r="B1671" t="str">
        <f>"0.00614%"</f>
        <v>0.00614%</v>
      </c>
      <c r="C1671" t="s">
        <v>10</v>
      </c>
      <c r="D1671" t="s">
        <v>10</v>
      </c>
      <c r="E1671" t="str">
        <f>"$ 47,380"</f>
        <v>$ 47,380</v>
      </c>
      <c r="F1671" s="1">
        <v>53285</v>
      </c>
    </row>
    <row r="1672" spans="1:6">
      <c r="A1672" t="s">
        <v>1674</v>
      </c>
      <c r="B1672" t="str">
        <f>"0.00614%"</f>
        <v>0.00614%</v>
      </c>
      <c r="C1672" t="s">
        <v>10</v>
      </c>
      <c r="D1672" t="s">
        <v>10</v>
      </c>
      <c r="E1672" t="str">
        <f>"$ 47,389"</f>
        <v>$ 47,389</v>
      </c>
      <c r="F1672" s="1">
        <v>4949</v>
      </c>
    </row>
    <row r="1673" spans="1:6">
      <c r="A1673" t="s">
        <v>1675</v>
      </c>
      <c r="B1673" t="str">
        <f>"0.00613%"</f>
        <v>0.00613%</v>
      </c>
      <c r="C1673" t="s">
        <v>10</v>
      </c>
      <c r="D1673" t="s">
        <v>10</v>
      </c>
      <c r="E1673" t="str">
        <f>"$ 47,363"</f>
        <v>$ 47,363</v>
      </c>
      <c r="F1673" s="1">
        <v>1518</v>
      </c>
    </row>
    <row r="1674" spans="1:6">
      <c r="A1674" t="s">
        <v>1676</v>
      </c>
      <c r="B1674" t="str">
        <f>"0.00612%"</f>
        <v>0.00612%</v>
      </c>
      <c r="C1674" t="s">
        <v>10</v>
      </c>
      <c r="D1674" t="s">
        <v>10</v>
      </c>
      <c r="E1674" t="str">
        <f>"$ 47,260"</f>
        <v>$ 47,260</v>
      </c>
      <c r="F1674" s="1">
        <v>1677</v>
      </c>
    </row>
    <row r="1675" spans="1:6">
      <c r="A1675" t="s">
        <v>1677</v>
      </c>
      <c r="B1675" t="str">
        <f>"0.00612%"</f>
        <v>0.00612%</v>
      </c>
      <c r="C1675" t="s">
        <v>10</v>
      </c>
      <c r="D1675" t="s">
        <v>10</v>
      </c>
      <c r="E1675" t="str">
        <f>"$ 47,278"</f>
        <v>$ 47,278</v>
      </c>
      <c r="F1675">
        <v>577</v>
      </c>
    </row>
    <row r="1676" spans="1:6">
      <c r="A1676" t="s">
        <v>1678</v>
      </c>
      <c r="B1676" t="str">
        <f>"0.00612%"</f>
        <v>0.00612%</v>
      </c>
      <c r="C1676" t="s">
        <v>10</v>
      </c>
      <c r="D1676" t="s">
        <v>10</v>
      </c>
      <c r="E1676" t="str">
        <f>"$ 47,231"</f>
        <v>$ 47,231</v>
      </c>
      <c r="F1676" s="1">
        <v>36618</v>
      </c>
    </row>
    <row r="1677" spans="1:6">
      <c r="A1677" t="s">
        <v>1679</v>
      </c>
      <c r="B1677" t="str">
        <f>"0.00611%"</f>
        <v>0.00611%</v>
      </c>
      <c r="C1677" t="s">
        <v>10</v>
      </c>
      <c r="D1677" t="s">
        <v>10</v>
      </c>
      <c r="E1677" t="str">
        <f>"$ 47,172"</f>
        <v>$ 47,172</v>
      </c>
      <c r="F1677" s="1">
        <v>1584</v>
      </c>
    </row>
    <row r="1678" spans="1:6">
      <c r="A1678" t="s">
        <v>1680</v>
      </c>
      <c r="B1678" t="str">
        <f>"0.00611%"</f>
        <v>0.00611%</v>
      </c>
      <c r="C1678" t="s">
        <v>10</v>
      </c>
      <c r="D1678" t="s">
        <v>10</v>
      </c>
      <c r="E1678" t="str">
        <f>"$ 47,164"</f>
        <v>$ 47,164</v>
      </c>
      <c r="F1678">
        <v>886</v>
      </c>
    </row>
    <row r="1679" spans="1:6">
      <c r="A1679" t="s">
        <v>1681</v>
      </c>
      <c r="B1679" t="str">
        <f>"0.00611%"</f>
        <v>0.00611%</v>
      </c>
      <c r="C1679" t="s">
        <v>10</v>
      </c>
      <c r="D1679" t="s">
        <v>10</v>
      </c>
      <c r="E1679" t="str">
        <f>"$ 47,145"</f>
        <v>$ 47,145</v>
      </c>
      <c r="F1679">
        <v>661</v>
      </c>
    </row>
    <row r="1680" spans="1:6">
      <c r="A1680" t="s">
        <v>1682</v>
      </c>
      <c r="B1680" t="str">
        <f>"0.00610%"</f>
        <v>0.00610%</v>
      </c>
      <c r="C1680" t="s">
        <v>10</v>
      </c>
      <c r="D1680" t="s">
        <v>10</v>
      </c>
      <c r="E1680" t="str">
        <f>"$ 47,131"</f>
        <v>$ 47,131</v>
      </c>
      <c r="F1680" s="1">
        <v>6533</v>
      </c>
    </row>
    <row r="1681" spans="1:6">
      <c r="A1681" t="s">
        <v>1683</v>
      </c>
      <c r="B1681" t="str">
        <f>"0.00610%"</f>
        <v>0.00610%</v>
      </c>
      <c r="C1681" t="s">
        <v>10</v>
      </c>
      <c r="D1681" t="s">
        <v>10</v>
      </c>
      <c r="E1681" t="str">
        <f>"$ 47,100"</f>
        <v>$ 47,100</v>
      </c>
      <c r="F1681">
        <v>363</v>
      </c>
    </row>
    <row r="1682" spans="1:6">
      <c r="A1682" t="s">
        <v>1684</v>
      </c>
      <c r="B1682" t="str">
        <f>"0.00610%"</f>
        <v>0.00610%</v>
      </c>
      <c r="C1682" t="s">
        <v>10</v>
      </c>
      <c r="D1682" t="s">
        <v>10</v>
      </c>
      <c r="E1682" t="str">
        <f>"$ 47,140"</f>
        <v>$ 47,140</v>
      </c>
      <c r="F1682" s="1">
        <v>1897</v>
      </c>
    </row>
    <row r="1683" spans="1:6">
      <c r="A1683" t="s">
        <v>1685</v>
      </c>
      <c r="B1683" t="str">
        <f>"0.00609%"</f>
        <v>0.00609%</v>
      </c>
      <c r="C1683" t="s">
        <v>10</v>
      </c>
      <c r="D1683" t="s">
        <v>10</v>
      </c>
      <c r="E1683" t="str">
        <f>"$ 47,027"</f>
        <v>$ 47,027</v>
      </c>
      <c r="F1683">
        <v>924</v>
      </c>
    </row>
    <row r="1684" spans="1:6">
      <c r="A1684" t="s">
        <v>1686</v>
      </c>
      <c r="B1684" t="str">
        <f>"0.00609%"</f>
        <v>0.00609%</v>
      </c>
      <c r="C1684" t="s">
        <v>10</v>
      </c>
      <c r="D1684" t="s">
        <v>10</v>
      </c>
      <c r="E1684" t="str">
        <f>"$ 47,064"</f>
        <v>$ 47,064</v>
      </c>
      <c r="F1684" s="1">
        <v>1274</v>
      </c>
    </row>
    <row r="1685" spans="1:6">
      <c r="A1685" t="s">
        <v>1687</v>
      </c>
      <c r="B1685" t="str">
        <f>"0.00608%"</f>
        <v>0.00608%</v>
      </c>
      <c r="C1685" t="s">
        <v>10</v>
      </c>
      <c r="D1685" t="s">
        <v>10</v>
      </c>
      <c r="E1685" t="str">
        <f>"$ 46,953"</f>
        <v>$ 46,953</v>
      </c>
      <c r="F1685">
        <v>691</v>
      </c>
    </row>
    <row r="1686" spans="1:6">
      <c r="A1686" t="s">
        <v>1688</v>
      </c>
      <c r="B1686" t="str">
        <f>"0.00608%"</f>
        <v>0.00608%</v>
      </c>
      <c r="C1686" t="s">
        <v>10</v>
      </c>
      <c r="D1686" t="s">
        <v>10</v>
      </c>
      <c r="E1686" t="str">
        <f>"$ 46,955"</f>
        <v>$ 46,955</v>
      </c>
      <c r="F1686">
        <v>618</v>
      </c>
    </row>
    <row r="1687" spans="1:6">
      <c r="A1687" t="s">
        <v>1689</v>
      </c>
      <c r="B1687" t="str">
        <f>"0.00607%"</f>
        <v>0.00607%</v>
      </c>
      <c r="C1687" t="s">
        <v>10</v>
      </c>
      <c r="D1687" t="s">
        <v>10</v>
      </c>
      <c r="E1687" t="str">
        <f>"$ 46,837"</f>
        <v>$ 46,837</v>
      </c>
      <c r="F1687" s="1">
        <v>19794</v>
      </c>
    </row>
    <row r="1688" spans="1:6">
      <c r="A1688" t="s">
        <v>1690</v>
      </c>
      <c r="B1688" t="str">
        <f>"0.00606%"</f>
        <v>0.00606%</v>
      </c>
      <c r="C1688" t="s">
        <v>10</v>
      </c>
      <c r="D1688" t="s">
        <v>10</v>
      </c>
      <c r="E1688" t="str">
        <f>"$ 46,820"</f>
        <v>$ 46,820</v>
      </c>
      <c r="F1688">
        <v>268</v>
      </c>
    </row>
    <row r="1689" spans="1:6">
      <c r="A1689" t="s">
        <v>1691</v>
      </c>
      <c r="B1689" t="str">
        <f>"0.00605%"</f>
        <v>0.00605%</v>
      </c>
      <c r="C1689" t="s">
        <v>10</v>
      </c>
      <c r="D1689" t="s">
        <v>10</v>
      </c>
      <c r="E1689" t="str">
        <f>"$ 46,701"</f>
        <v>$ 46,701</v>
      </c>
      <c r="F1689" s="1">
        <v>1089</v>
      </c>
    </row>
    <row r="1690" spans="1:6">
      <c r="A1690" t="s">
        <v>1692</v>
      </c>
      <c r="B1690" t="str">
        <f>"0.00604%"</f>
        <v>0.00604%</v>
      </c>
      <c r="C1690" t="s">
        <v>10</v>
      </c>
      <c r="D1690" t="s">
        <v>10</v>
      </c>
      <c r="E1690" t="str">
        <f>"$ 46,635"</f>
        <v>$ 46,635</v>
      </c>
      <c r="F1690" s="1">
        <v>1744</v>
      </c>
    </row>
    <row r="1691" spans="1:6">
      <c r="A1691" t="s">
        <v>1693</v>
      </c>
      <c r="B1691" t="str">
        <f>"0.00603%"</f>
        <v>0.00603%</v>
      </c>
      <c r="C1691" t="s">
        <v>10</v>
      </c>
      <c r="D1691" t="s">
        <v>10</v>
      </c>
      <c r="E1691" t="str">
        <f>"$ 46,582"</f>
        <v>$ 46,582</v>
      </c>
      <c r="F1691">
        <v>265</v>
      </c>
    </row>
    <row r="1692" spans="1:6">
      <c r="A1692" t="s">
        <v>1694</v>
      </c>
      <c r="B1692" t="str">
        <f>"0.00603%"</f>
        <v>0.00603%</v>
      </c>
      <c r="C1692" t="s">
        <v>10</v>
      </c>
      <c r="D1692" t="s">
        <v>10</v>
      </c>
      <c r="E1692" t="str">
        <f>"$ 46,596"</f>
        <v>$ 46,596</v>
      </c>
      <c r="F1692">
        <v>300</v>
      </c>
    </row>
    <row r="1693" spans="1:6">
      <c r="A1693" t="s">
        <v>1695</v>
      </c>
      <c r="B1693" t="str">
        <f>"0.00603%"</f>
        <v>0.00603%</v>
      </c>
      <c r="C1693" t="s">
        <v>10</v>
      </c>
      <c r="D1693" t="s">
        <v>10</v>
      </c>
      <c r="E1693" t="str">
        <f>"$ 46,555"</f>
        <v>$ 46,555</v>
      </c>
      <c r="F1693" s="1">
        <v>1737</v>
      </c>
    </row>
    <row r="1694" spans="1:6">
      <c r="A1694" t="s">
        <v>1696</v>
      </c>
      <c r="B1694" t="str">
        <f>"0.00602%"</f>
        <v>0.00602%</v>
      </c>
      <c r="C1694" t="s">
        <v>10</v>
      </c>
      <c r="D1694" t="s">
        <v>10</v>
      </c>
      <c r="E1694" t="str">
        <f>"$ 46,496"</f>
        <v>$ 46,496</v>
      </c>
      <c r="F1694" s="1">
        <v>1683</v>
      </c>
    </row>
    <row r="1695" spans="1:6">
      <c r="A1695" t="s">
        <v>1697</v>
      </c>
      <c r="B1695" t="str">
        <f>"0.00602%"</f>
        <v>0.00602%</v>
      </c>
      <c r="C1695" t="s">
        <v>10</v>
      </c>
      <c r="D1695" t="s">
        <v>10</v>
      </c>
      <c r="E1695" t="str">
        <f>"$ 46,524"</f>
        <v>$ 46,524</v>
      </c>
      <c r="F1695">
        <v>693</v>
      </c>
    </row>
    <row r="1696" spans="1:6">
      <c r="A1696" t="s">
        <v>1698</v>
      </c>
      <c r="B1696" t="str">
        <f>"0.00601%"</f>
        <v>0.00601%</v>
      </c>
      <c r="C1696" t="s">
        <v>10</v>
      </c>
      <c r="D1696" t="s">
        <v>10</v>
      </c>
      <c r="E1696" t="str">
        <f>"$ 46,392"</f>
        <v>$ 46,392</v>
      </c>
      <c r="F1696" s="1">
        <v>2759</v>
      </c>
    </row>
    <row r="1697" spans="1:6">
      <c r="A1697" t="s">
        <v>1699</v>
      </c>
      <c r="B1697" t="str">
        <f>"0.00601%"</f>
        <v>0.00601%</v>
      </c>
      <c r="C1697" t="s">
        <v>10</v>
      </c>
      <c r="D1697" t="s">
        <v>10</v>
      </c>
      <c r="E1697" t="str">
        <f>"$ 46,390"</f>
        <v>$ 46,390</v>
      </c>
      <c r="F1697" s="1">
        <v>1110</v>
      </c>
    </row>
    <row r="1698" spans="1:6">
      <c r="A1698" t="s">
        <v>1700</v>
      </c>
      <c r="B1698" t="str">
        <f>"0.00601%"</f>
        <v>0.00601%</v>
      </c>
      <c r="C1698" t="s">
        <v>10</v>
      </c>
      <c r="D1698" t="s">
        <v>10</v>
      </c>
      <c r="E1698" t="str">
        <f>"$ 46,396"</f>
        <v>$ 46,396</v>
      </c>
      <c r="F1698" s="1">
        <v>17134</v>
      </c>
    </row>
    <row r="1699" spans="1:6">
      <c r="A1699" t="s">
        <v>1701</v>
      </c>
      <c r="B1699" t="str">
        <f>"0.00600%"</f>
        <v>0.00600%</v>
      </c>
      <c r="C1699" t="s">
        <v>10</v>
      </c>
      <c r="D1699" t="s">
        <v>10</v>
      </c>
      <c r="E1699" t="str">
        <f>"$ 46,295"</f>
        <v>$ 46,295</v>
      </c>
      <c r="F1699">
        <v>749</v>
      </c>
    </row>
    <row r="1700" spans="1:6">
      <c r="A1700" t="s">
        <v>1702</v>
      </c>
      <c r="B1700" t="str">
        <f>"0.00600%"</f>
        <v>0.00600%</v>
      </c>
      <c r="C1700" t="s">
        <v>10</v>
      </c>
      <c r="D1700" t="s">
        <v>10</v>
      </c>
      <c r="E1700" t="str">
        <f>"$ 46,293"</f>
        <v>$ 46,293</v>
      </c>
      <c r="F1700" s="1">
        <v>2452</v>
      </c>
    </row>
    <row r="1701" spans="1:6">
      <c r="A1701" t="s">
        <v>1703</v>
      </c>
      <c r="B1701" t="str">
        <f>"0.00600%"</f>
        <v>0.00600%</v>
      </c>
      <c r="C1701" t="s">
        <v>10</v>
      </c>
      <c r="D1701" t="s">
        <v>10</v>
      </c>
      <c r="E1701" t="str">
        <f>"$ 46,370"</f>
        <v>$ 46,370</v>
      </c>
      <c r="F1701" s="1">
        <v>8027</v>
      </c>
    </row>
    <row r="1702" spans="1:6">
      <c r="A1702" t="s">
        <v>1704</v>
      </c>
      <c r="B1702" t="str">
        <f>"0.00599%"</f>
        <v>0.00599%</v>
      </c>
      <c r="C1702" t="s">
        <v>10</v>
      </c>
      <c r="D1702" t="s">
        <v>10</v>
      </c>
      <c r="E1702" t="str">
        <f>"$ 46,232"</f>
        <v>$ 46,232</v>
      </c>
      <c r="F1702" s="1">
        <v>1287</v>
      </c>
    </row>
    <row r="1703" spans="1:6">
      <c r="A1703" t="s">
        <v>1705</v>
      </c>
      <c r="B1703" t="str">
        <f>"0.00599%"</f>
        <v>0.00599%</v>
      </c>
      <c r="C1703" t="s">
        <v>10</v>
      </c>
      <c r="D1703" t="s">
        <v>10</v>
      </c>
      <c r="E1703" t="str">
        <f>"$ 46,281"</f>
        <v>$ 46,281</v>
      </c>
      <c r="F1703">
        <v>952</v>
      </c>
    </row>
    <row r="1704" spans="1:6">
      <c r="A1704" t="s">
        <v>1706</v>
      </c>
      <c r="B1704" t="str">
        <f>"0.00598%"</f>
        <v>0.00598%</v>
      </c>
      <c r="C1704" t="s">
        <v>10</v>
      </c>
      <c r="D1704" t="s">
        <v>10</v>
      </c>
      <c r="E1704" t="str">
        <f>"$ 46,148"</f>
        <v>$ 46,148</v>
      </c>
      <c r="F1704" s="1">
        <v>8026</v>
      </c>
    </row>
    <row r="1705" spans="1:6">
      <c r="A1705" t="s">
        <v>1707</v>
      </c>
      <c r="B1705" t="str">
        <f>"0.00598%"</f>
        <v>0.00598%</v>
      </c>
      <c r="C1705" t="s">
        <v>10</v>
      </c>
      <c r="D1705" t="s">
        <v>10</v>
      </c>
      <c r="E1705" t="str">
        <f>"$ 46,203"</f>
        <v>$ 46,203</v>
      </c>
      <c r="F1705">
        <v>550</v>
      </c>
    </row>
    <row r="1706" spans="1:6">
      <c r="A1706" t="s">
        <v>1708</v>
      </c>
      <c r="B1706" t="str">
        <f>"0.00598%"</f>
        <v>0.00598%</v>
      </c>
      <c r="C1706" t="s">
        <v>10</v>
      </c>
      <c r="D1706" t="s">
        <v>10</v>
      </c>
      <c r="E1706" t="str">
        <f>"$ 46,191"</f>
        <v>$ 46,191</v>
      </c>
      <c r="F1706" s="1">
        <v>3646</v>
      </c>
    </row>
    <row r="1707" spans="1:6">
      <c r="A1707" t="s">
        <v>1709</v>
      </c>
      <c r="B1707" t="str">
        <f>"0.00597%"</f>
        <v>0.00597%</v>
      </c>
      <c r="C1707" t="s">
        <v>10</v>
      </c>
      <c r="D1707" t="s">
        <v>10</v>
      </c>
      <c r="E1707" t="str">
        <f>"$ 46,129"</f>
        <v>$ 46,129</v>
      </c>
      <c r="F1707" s="1">
        <v>1291</v>
      </c>
    </row>
    <row r="1708" spans="1:6">
      <c r="A1708" t="s">
        <v>1710</v>
      </c>
      <c r="B1708" t="str">
        <f>"0.00596%"</f>
        <v>0.00596%</v>
      </c>
      <c r="C1708" t="s">
        <v>10</v>
      </c>
      <c r="D1708" t="s">
        <v>10</v>
      </c>
      <c r="E1708" t="str">
        <f>"$ 46,001"</f>
        <v>$ 46,001</v>
      </c>
      <c r="F1708">
        <v>840</v>
      </c>
    </row>
    <row r="1709" spans="1:6">
      <c r="A1709" t="s">
        <v>1711</v>
      </c>
      <c r="B1709" t="str">
        <f>"0.00595%"</f>
        <v>0.00595%</v>
      </c>
      <c r="C1709" t="s">
        <v>10</v>
      </c>
      <c r="D1709" t="s">
        <v>10</v>
      </c>
      <c r="E1709" t="str">
        <f>"$ 45,923"</f>
        <v>$ 45,923</v>
      </c>
      <c r="F1709">
        <v>28</v>
      </c>
    </row>
    <row r="1710" spans="1:6">
      <c r="A1710" t="s">
        <v>1712</v>
      </c>
      <c r="B1710" t="str">
        <f>"0.00595%"</f>
        <v>0.00595%</v>
      </c>
      <c r="C1710" t="s">
        <v>10</v>
      </c>
      <c r="D1710" t="s">
        <v>10</v>
      </c>
      <c r="E1710" t="str">
        <f>"$ 45,941"</f>
        <v>$ 45,941</v>
      </c>
      <c r="F1710" s="1">
        <v>9274</v>
      </c>
    </row>
    <row r="1711" spans="1:6">
      <c r="A1711" t="s">
        <v>1713</v>
      </c>
      <c r="B1711" t="str">
        <f>"0.00594%"</f>
        <v>0.00594%</v>
      </c>
      <c r="C1711" t="s">
        <v>10</v>
      </c>
      <c r="D1711" t="s">
        <v>10</v>
      </c>
      <c r="E1711" t="str">
        <f>"$ 45,834"</f>
        <v>$ 45,834</v>
      </c>
      <c r="F1711">
        <v>315</v>
      </c>
    </row>
    <row r="1712" spans="1:6">
      <c r="A1712" t="s">
        <v>1714</v>
      </c>
      <c r="B1712" t="str">
        <f>"0.00593%"</f>
        <v>0.00593%</v>
      </c>
      <c r="C1712" t="s">
        <v>10</v>
      </c>
      <c r="D1712" t="s">
        <v>10</v>
      </c>
      <c r="E1712" t="str">
        <f>"$ 45,758"</f>
        <v>$ 45,758</v>
      </c>
      <c r="F1712" s="1">
        <v>3649</v>
      </c>
    </row>
    <row r="1713" spans="1:6">
      <c r="A1713" t="s">
        <v>1715</v>
      </c>
      <c r="B1713" t="str">
        <f>"0.00593%"</f>
        <v>0.00593%</v>
      </c>
      <c r="C1713" t="s">
        <v>10</v>
      </c>
      <c r="D1713" t="s">
        <v>10</v>
      </c>
      <c r="E1713" t="str">
        <f>"$ 45,766"</f>
        <v>$ 45,766</v>
      </c>
      <c r="F1713" s="1">
        <v>7687</v>
      </c>
    </row>
    <row r="1714" spans="1:6">
      <c r="A1714" t="s">
        <v>1716</v>
      </c>
      <c r="B1714" t="str">
        <f>"0.00592%"</f>
        <v>0.00592%</v>
      </c>
      <c r="C1714" t="s">
        <v>10</v>
      </c>
      <c r="D1714" t="s">
        <v>10</v>
      </c>
      <c r="E1714" t="str">
        <f>"$ 45,694"</f>
        <v>$ 45,694</v>
      </c>
      <c r="F1714">
        <v>181</v>
      </c>
    </row>
    <row r="1715" spans="1:6">
      <c r="A1715" t="s">
        <v>1717</v>
      </c>
      <c r="B1715" t="str">
        <f>"0.00592%"</f>
        <v>0.00592%</v>
      </c>
      <c r="C1715" t="s">
        <v>10</v>
      </c>
      <c r="D1715" t="s">
        <v>10</v>
      </c>
      <c r="E1715" t="str">
        <f>"$ 45,688"</f>
        <v>$ 45,688</v>
      </c>
      <c r="F1715">
        <v>612</v>
      </c>
    </row>
    <row r="1716" spans="1:6">
      <c r="A1716" t="s">
        <v>1718</v>
      </c>
      <c r="B1716" t="str">
        <f>"0.00592%"</f>
        <v>0.00592%</v>
      </c>
      <c r="C1716" t="s">
        <v>10</v>
      </c>
      <c r="D1716" t="s">
        <v>10</v>
      </c>
      <c r="E1716" t="str">
        <f>"$ 45,745"</f>
        <v>$ 45,745</v>
      </c>
      <c r="F1716">
        <v>870</v>
      </c>
    </row>
    <row r="1717" spans="1:6">
      <c r="A1717" t="s">
        <v>1719</v>
      </c>
      <c r="B1717" t="str">
        <f>"0.00591%"</f>
        <v>0.00591%</v>
      </c>
      <c r="C1717" t="s">
        <v>10</v>
      </c>
      <c r="D1717" t="s">
        <v>10</v>
      </c>
      <c r="E1717" t="str">
        <f>"$ 45,614"</f>
        <v>$ 45,614</v>
      </c>
      <c r="F1717" s="1">
        <v>3278</v>
      </c>
    </row>
    <row r="1718" spans="1:6">
      <c r="A1718" t="s">
        <v>1720</v>
      </c>
      <c r="B1718" t="str">
        <f>"0.00591%"</f>
        <v>0.00591%</v>
      </c>
      <c r="C1718" t="s">
        <v>10</v>
      </c>
      <c r="D1718" t="s">
        <v>10</v>
      </c>
      <c r="E1718" t="str">
        <f>"$ 45,644"</f>
        <v>$ 45,644</v>
      </c>
      <c r="F1718">
        <v>727</v>
      </c>
    </row>
    <row r="1719" spans="1:6">
      <c r="A1719" t="s">
        <v>1721</v>
      </c>
      <c r="B1719" t="str">
        <f>"0.00591%"</f>
        <v>0.00591%</v>
      </c>
      <c r="C1719" t="s">
        <v>10</v>
      </c>
      <c r="D1719" t="s">
        <v>10</v>
      </c>
      <c r="E1719" t="str">
        <f>"$ 45,623"</f>
        <v>$ 45,623</v>
      </c>
      <c r="F1719">
        <v>836</v>
      </c>
    </row>
    <row r="1720" spans="1:6">
      <c r="A1720" t="s">
        <v>1722</v>
      </c>
      <c r="B1720" t="str">
        <f>"0.00590%"</f>
        <v>0.00590%</v>
      </c>
      <c r="C1720" t="s">
        <v>10</v>
      </c>
      <c r="D1720" t="s">
        <v>10</v>
      </c>
      <c r="E1720" t="str">
        <f>"$ 45,562"</f>
        <v>$ 45,562</v>
      </c>
      <c r="F1720" s="1">
        <v>2227</v>
      </c>
    </row>
    <row r="1721" spans="1:6">
      <c r="A1721" t="s">
        <v>1723</v>
      </c>
      <c r="B1721" t="str">
        <f>"0.00590%"</f>
        <v>0.00590%</v>
      </c>
      <c r="C1721" t="s">
        <v>10</v>
      </c>
      <c r="D1721" t="s">
        <v>10</v>
      </c>
      <c r="E1721" t="str">
        <f>"$ 45,570"</f>
        <v>$ 45,570</v>
      </c>
      <c r="F1721" s="1">
        <v>1398</v>
      </c>
    </row>
    <row r="1722" spans="1:6">
      <c r="A1722" t="s">
        <v>1724</v>
      </c>
      <c r="B1722" t="str">
        <f>"0.00589%"</f>
        <v>0.00589%</v>
      </c>
      <c r="C1722" t="s">
        <v>10</v>
      </c>
      <c r="D1722" t="s">
        <v>10</v>
      </c>
      <c r="E1722" t="str">
        <f>"$ 45,483"</f>
        <v>$ 45,483</v>
      </c>
      <c r="F1722" s="1">
        <v>1402</v>
      </c>
    </row>
    <row r="1723" spans="1:6">
      <c r="A1723" t="s">
        <v>1725</v>
      </c>
      <c r="B1723" t="str">
        <f>"0.00589%"</f>
        <v>0.00589%</v>
      </c>
      <c r="C1723" t="s">
        <v>10</v>
      </c>
      <c r="D1723" t="s">
        <v>10</v>
      </c>
      <c r="E1723" t="str">
        <f>"$ 45,472"</f>
        <v>$ 45,472</v>
      </c>
      <c r="F1723" s="1">
        <v>7370</v>
      </c>
    </row>
    <row r="1724" spans="1:6">
      <c r="A1724" t="s">
        <v>1726</v>
      </c>
      <c r="B1724" t="str">
        <f>"0.00589%"</f>
        <v>0.00589%</v>
      </c>
      <c r="C1724" t="s">
        <v>10</v>
      </c>
      <c r="D1724" t="s">
        <v>10</v>
      </c>
      <c r="E1724" t="str">
        <f>"$ 45,466"</f>
        <v>$ 45,466</v>
      </c>
      <c r="F1724" s="1">
        <v>45157</v>
      </c>
    </row>
    <row r="1725" spans="1:6">
      <c r="A1725" t="s">
        <v>1727</v>
      </c>
      <c r="B1725" t="str">
        <f>"0.00589%"</f>
        <v>0.00589%</v>
      </c>
      <c r="C1725" t="s">
        <v>10</v>
      </c>
      <c r="D1725" t="s">
        <v>10</v>
      </c>
      <c r="E1725" t="str">
        <f>"$ 45,475"</f>
        <v>$ 45,475</v>
      </c>
      <c r="F1725">
        <v>421</v>
      </c>
    </row>
    <row r="1726" spans="1:6">
      <c r="A1726" t="s">
        <v>1728</v>
      </c>
      <c r="B1726" t="str">
        <f>"0.00588%"</f>
        <v>0.00588%</v>
      </c>
      <c r="C1726" t="s">
        <v>10</v>
      </c>
      <c r="D1726" t="s">
        <v>10</v>
      </c>
      <c r="E1726" t="str">
        <f>"$ 45,437"</f>
        <v>$ 45,437</v>
      </c>
      <c r="F1726">
        <v>693</v>
      </c>
    </row>
    <row r="1727" spans="1:6">
      <c r="A1727" t="s">
        <v>1729</v>
      </c>
      <c r="B1727" t="str">
        <f>"0.00587%"</f>
        <v>0.00587%</v>
      </c>
      <c r="C1727" t="s">
        <v>10</v>
      </c>
      <c r="D1727" t="s">
        <v>10</v>
      </c>
      <c r="E1727" t="str">
        <f>"$ 45,306"</f>
        <v>$ 45,306</v>
      </c>
      <c r="F1727">
        <v>32</v>
      </c>
    </row>
    <row r="1728" spans="1:6">
      <c r="A1728" t="s">
        <v>1730</v>
      </c>
      <c r="B1728" t="str">
        <f>"0.00587%"</f>
        <v>0.00587%</v>
      </c>
      <c r="C1728" t="s">
        <v>10</v>
      </c>
      <c r="D1728" t="s">
        <v>10</v>
      </c>
      <c r="E1728" t="str">
        <f>"$ 45,336"</f>
        <v>$ 45,336</v>
      </c>
      <c r="F1728" s="1">
        <v>1893</v>
      </c>
    </row>
    <row r="1729" spans="1:6">
      <c r="A1729" t="s">
        <v>1731</v>
      </c>
      <c r="B1729" t="str">
        <f>"0.00586%"</f>
        <v>0.00586%</v>
      </c>
      <c r="C1729" t="s">
        <v>10</v>
      </c>
      <c r="D1729" t="s">
        <v>10</v>
      </c>
      <c r="E1729" t="str">
        <f>"$ 45,285"</f>
        <v>$ 45,285</v>
      </c>
      <c r="F1729">
        <v>159</v>
      </c>
    </row>
    <row r="1730" spans="1:6">
      <c r="A1730" t="s">
        <v>1732</v>
      </c>
      <c r="B1730" t="str">
        <f>"0.00585%"</f>
        <v>0.00585%</v>
      </c>
      <c r="C1730" t="s">
        <v>10</v>
      </c>
      <c r="D1730" t="s">
        <v>10</v>
      </c>
      <c r="E1730" t="str">
        <f>"$ 45,172"</f>
        <v>$ 45,172</v>
      </c>
      <c r="F1730">
        <v>967</v>
      </c>
    </row>
    <row r="1731" spans="1:6">
      <c r="A1731" t="s">
        <v>1733</v>
      </c>
      <c r="B1731" t="str">
        <f>"0.00585%"</f>
        <v>0.00585%</v>
      </c>
      <c r="C1731" t="s">
        <v>10</v>
      </c>
      <c r="D1731" t="s">
        <v>10</v>
      </c>
      <c r="E1731" t="str">
        <f>"$ 45,183"</f>
        <v>$ 45,183</v>
      </c>
      <c r="F1731">
        <v>633</v>
      </c>
    </row>
    <row r="1732" spans="1:6">
      <c r="A1732" t="s">
        <v>1734</v>
      </c>
      <c r="B1732" t="str">
        <f>"0.00583%"</f>
        <v>0.00583%</v>
      </c>
      <c r="C1732" t="s">
        <v>10</v>
      </c>
      <c r="D1732" t="s">
        <v>10</v>
      </c>
      <c r="E1732" t="str">
        <f>"$ 45,030"</f>
        <v>$ 45,030</v>
      </c>
      <c r="F1732" s="1">
        <v>15507</v>
      </c>
    </row>
    <row r="1733" spans="1:6">
      <c r="A1733" t="s">
        <v>1735</v>
      </c>
      <c r="B1733" t="str">
        <f>"0.00583%"</f>
        <v>0.00583%</v>
      </c>
      <c r="C1733" t="s">
        <v>10</v>
      </c>
      <c r="D1733" t="s">
        <v>10</v>
      </c>
      <c r="E1733" t="str">
        <f>"$ 45,042"</f>
        <v>$ 45,042</v>
      </c>
      <c r="F1733" s="1">
        <v>1188</v>
      </c>
    </row>
    <row r="1734" spans="1:6">
      <c r="A1734" t="s">
        <v>1736</v>
      </c>
      <c r="B1734" t="str">
        <f>"0.00582%"</f>
        <v>0.00582%</v>
      </c>
      <c r="C1734" t="s">
        <v>10</v>
      </c>
      <c r="D1734" t="s">
        <v>10</v>
      </c>
      <c r="E1734" t="str">
        <f>"$ 44,976"</f>
        <v>$ 44,976</v>
      </c>
      <c r="F1734" s="1">
        <v>1237</v>
      </c>
    </row>
    <row r="1735" spans="1:6">
      <c r="A1735" t="s">
        <v>1737</v>
      </c>
      <c r="B1735" t="str">
        <f>"0.00581%"</f>
        <v>0.00581%</v>
      </c>
      <c r="C1735" t="s">
        <v>10</v>
      </c>
      <c r="D1735" t="s">
        <v>10</v>
      </c>
      <c r="E1735" t="str">
        <f>"$ 44,861"</f>
        <v>$ 44,861</v>
      </c>
      <c r="F1735" s="1">
        <v>4224</v>
      </c>
    </row>
    <row r="1736" spans="1:6">
      <c r="A1736" t="s">
        <v>1738</v>
      </c>
      <c r="B1736" t="str">
        <f>"0.00581%"</f>
        <v>0.00581%</v>
      </c>
      <c r="C1736" t="s">
        <v>10</v>
      </c>
      <c r="D1736" t="s">
        <v>10</v>
      </c>
      <c r="E1736" t="str">
        <f>"$ 44,884"</f>
        <v>$ 44,884</v>
      </c>
      <c r="F1736" s="1">
        <v>1542</v>
      </c>
    </row>
    <row r="1737" spans="1:6">
      <c r="A1737" t="s">
        <v>1739</v>
      </c>
      <c r="B1737" t="str">
        <f>"0.00580%"</f>
        <v>0.00580%</v>
      </c>
      <c r="C1737" t="s">
        <v>10</v>
      </c>
      <c r="D1737" t="s">
        <v>10</v>
      </c>
      <c r="E1737" t="str">
        <f>"$ 44,769"</f>
        <v>$ 44,769</v>
      </c>
      <c r="F1737" s="1">
        <v>9139</v>
      </c>
    </row>
    <row r="1738" spans="1:6">
      <c r="A1738" t="s">
        <v>1740</v>
      </c>
      <c r="B1738" t="str">
        <f>"0.00578%"</f>
        <v>0.00578%</v>
      </c>
      <c r="C1738" t="s">
        <v>10</v>
      </c>
      <c r="D1738" t="s">
        <v>10</v>
      </c>
      <c r="E1738" t="str">
        <f>"$ 44,619"</f>
        <v>$ 44,619</v>
      </c>
      <c r="F1738">
        <v>382</v>
      </c>
    </row>
    <row r="1739" spans="1:6">
      <c r="A1739" t="s">
        <v>1741</v>
      </c>
      <c r="B1739" t="str">
        <f>"0.00578%"</f>
        <v>0.00578%</v>
      </c>
      <c r="C1739" t="s">
        <v>10</v>
      </c>
      <c r="D1739" t="s">
        <v>10</v>
      </c>
      <c r="E1739" t="str">
        <f>"$ 44,665"</f>
        <v>$ 44,665</v>
      </c>
      <c r="F1739">
        <v>949</v>
      </c>
    </row>
    <row r="1740" spans="1:6">
      <c r="A1740" t="s">
        <v>1742</v>
      </c>
      <c r="B1740" t="str">
        <f>"0.00578%"</f>
        <v>0.00578%</v>
      </c>
      <c r="C1740" t="s">
        <v>10</v>
      </c>
      <c r="D1740" t="s">
        <v>10</v>
      </c>
      <c r="E1740" t="str">
        <f>"$ 44,671"</f>
        <v>$ 44,671</v>
      </c>
      <c r="F1740">
        <v>733</v>
      </c>
    </row>
    <row r="1741" spans="1:6">
      <c r="A1741" t="s">
        <v>1743</v>
      </c>
      <c r="B1741" t="str">
        <f>"0.00577%"</f>
        <v>0.00577%</v>
      </c>
      <c r="C1741" t="s">
        <v>10</v>
      </c>
      <c r="D1741" t="s">
        <v>10</v>
      </c>
      <c r="E1741" t="str">
        <f>"$ 44,532"</f>
        <v>$ 44,532</v>
      </c>
      <c r="F1741" s="1">
        <v>1625</v>
      </c>
    </row>
    <row r="1742" spans="1:6">
      <c r="A1742" t="s">
        <v>1744</v>
      </c>
      <c r="B1742" t="str">
        <f>"0.00577%"</f>
        <v>0.00577%</v>
      </c>
      <c r="C1742" t="s">
        <v>10</v>
      </c>
      <c r="D1742" t="s">
        <v>10</v>
      </c>
      <c r="E1742" t="str">
        <f>"$ 44,519"</f>
        <v>$ 44,519</v>
      </c>
      <c r="F1742" s="1">
        <v>2270</v>
      </c>
    </row>
    <row r="1743" spans="1:6">
      <c r="A1743" t="s">
        <v>1745</v>
      </c>
      <c r="B1743" t="str">
        <f>"0.00576%"</f>
        <v>0.00576%</v>
      </c>
      <c r="C1743" t="s">
        <v>10</v>
      </c>
      <c r="D1743" t="s">
        <v>10</v>
      </c>
      <c r="E1743" t="str">
        <f>"$ 44,512"</f>
        <v>$ 44,512</v>
      </c>
      <c r="F1743" s="1">
        <v>5543</v>
      </c>
    </row>
    <row r="1744" spans="1:6">
      <c r="A1744" t="s">
        <v>1746</v>
      </c>
      <c r="B1744" t="str">
        <f>"0.00575%"</f>
        <v>0.00575%</v>
      </c>
      <c r="C1744" t="s">
        <v>10</v>
      </c>
      <c r="D1744" t="s">
        <v>10</v>
      </c>
      <c r="E1744" t="str">
        <f>"$ 44,409"</f>
        <v>$ 44,409</v>
      </c>
      <c r="F1744" s="1">
        <v>50689</v>
      </c>
    </row>
    <row r="1745" spans="1:6">
      <c r="A1745" t="s">
        <v>1747</v>
      </c>
      <c r="B1745" t="str">
        <f>"0.00575%"</f>
        <v>0.00575%</v>
      </c>
      <c r="C1745" t="s">
        <v>10</v>
      </c>
      <c r="D1745" t="s">
        <v>10</v>
      </c>
      <c r="E1745" t="str">
        <f>"$ 44,379"</f>
        <v>$ 44,379</v>
      </c>
      <c r="F1745">
        <v>641</v>
      </c>
    </row>
    <row r="1746" spans="1:6">
      <c r="A1746" t="s">
        <v>1748</v>
      </c>
      <c r="B1746" t="str">
        <f>"0.00574%"</f>
        <v>0.00574%</v>
      </c>
      <c r="C1746" t="s">
        <v>10</v>
      </c>
      <c r="D1746" t="s">
        <v>10</v>
      </c>
      <c r="E1746" t="str">
        <f>"$ 44,327"</f>
        <v>$ 44,327</v>
      </c>
      <c r="F1746">
        <v>546</v>
      </c>
    </row>
    <row r="1747" spans="1:6">
      <c r="A1747" t="s">
        <v>1749</v>
      </c>
      <c r="B1747" t="str">
        <f>"0.00574%"</f>
        <v>0.00574%</v>
      </c>
      <c r="C1747" t="s">
        <v>10</v>
      </c>
      <c r="D1747" t="s">
        <v>10</v>
      </c>
      <c r="E1747" t="str">
        <f>"$ 44,286"</f>
        <v>$ 44,286</v>
      </c>
      <c r="F1747" s="1">
        <v>2842</v>
      </c>
    </row>
    <row r="1748" spans="1:6">
      <c r="A1748" t="s">
        <v>1750</v>
      </c>
      <c r="B1748" t="str">
        <f>"0.00573%"</f>
        <v>0.00573%</v>
      </c>
      <c r="C1748" t="s">
        <v>10</v>
      </c>
      <c r="D1748" t="s">
        <v>10</v>
      </c>
      <c r="E1748" t="str">
        <f>"$ 44,210"</f>
        <v>$ 44,210</v>
      </c>
      <c r="F1748">
        <v>771</v>
      </c>
    </row>
    <row r="1749" spans="1:6">
      <c r="A1749" t="s">
        <v>1751</v>
      </c>
      <c r="B1749" t="str">
        <f>"0.00572%"</f>
        <v>0.00572%</v>
      </c>
      <c r="C1749" t="s">
        <v>10</v>
      </c>
      <c r="D1749" t="s">
        <v>10</v>
      </c>
      <c r="E1749" t="str">
        <f>"$ 44,206"</f>
        <v>$ 44,206</v>
      </c>
      <c r="F1749">
        <v>973</v>
      </c>
    </row>
    <row r="1750" spans="1:6">
      <c r="A1750" t="s">
        <v>1752</v>
      </c>
      <c r="B1750" t="str">
        <f>"0.00572%"</f>
        <v>0.00572%</v>
      </c>
      <c r="C1750" t="s">
        <v>10</v>
      </c>
      <c r="D1750" t="s">
        <v>10</v>
      </c>
      <c r="E1750" t="str">
        <f>"$ 44,160"</f>
        <v>$ 44,160</v>
      </c>
      <c r="F1750" s="1">
        <v>2359</v>
      </c>
    </row>
    <row r="1751" spans="1:6">
      <c r="A1751" t="s">
        <v>1753</v>
      </c>
      <c r="B1751" t="str">
        <f>"0.00572%"</f>
        <v>0.00572%</v>
      </c>
      <c r="C1751" t="s">
        <v>10</v>
      </c>
      <c r="D1751" t="s">
        <v>10</v>
      </c>
      <c r="E1751" t="str">
        <f>"$ 44,204"</f>
        <v>$ 44,204</v>
      </c>
      <c r="F1751" s="1">
        <v>4119</v>
      </c>
    </row>
    <row r="1752" spans="1:6">
      <c r="A1752" t="s">
        <v>1754</v>
      </c>
      <c r="B1752" t="str">
        <f>"0.00571%"</f>
        <v>0.00571%</v>
      </c>
      <c r="C1752" t="s">
        <v>10</v>
      </c>
      <c r="D1752" t="s">
        <v>10</v>
      </c>
      <c r="E1752" t="str">
        <f>"$ 44,058"</f>
        <v>$ 44,058</v>
      </c>
      <c r="F1752">
        <v>677</v>
      </c>
    </row>
    <row r="1753" spans="1:6">
      <c r="A1753" t="s">
        <v>1755</v>
      </c>
      <c r="B1753" t="str">
        <f>"0.00571%"</f>
        <v>0.00571%</v>
      </c>
      <c r="C1753" t="s">
        <v>10</v>
      </c>
      <c r="D1753" t="s">
        <v>10</v>
      </c>
      <c r="E1753" t="str">
        <f>"$ 44,130"</f>
        <v>$ 44,130</v>
      </c>
      <c r="F1753">
        <v>623</v>
      </c>
    </row>
    <row r="1754" spans="1:6">
      <c r="A1754" t="s">
        <v>1756</v>
      </c>
      <c r="B1754" t="str">
        <f>"0.00570%"</f>
        <v>0.00570%</v>
      </c>
      <c r="C1754" t="s">
        <v>10</v>
      </c>
      <c r="D1754" t="s">
        <v>10</v>
      </c>
      <c r="E1754" t="str">
        <f>"$ 43,979"</f>
        <v>$ 43,979</v>
      </c>
      <c r="F1754">
        <v>808</v>
      </c>
    </row>
    <row r="1755" spans="1:6">
      <c r="A1755" t="s">
        <v>1757</v>
      </c>
      <c r="B1755" t="str">
        <f>"0.00570%"</f>
        <v>0.00570%</v>
      </c>
      <c r="C1755" t="s">
        <v>10</v>
      </c>
      <c r="D1755" t="s">
        <v>10</v>
      </c>
      <c r="E1755" t="str">
        <f>"$ 43,992"</f>
        <v>$ 43,992</v>
      </c>
      <c r="F1755" s="1">
        <v>2487</v>
      </c>
    </row>
    <row r="1756" spans="1:6">
      <c r="A1756" t="s">
        <v>1758</v>
      </c>
      <c r="B1756" t="str">
        <f>"0.00570%"</f>
        <v>0.00570%</v>
      </c>
      <c r="C1756" t="s">
        <v>10</v>
      </c>
      <c r="D1756" t="s">
        <v>10</v>
      </c>
      <c r="E1756" t="str">
        <f>"$ 44,004"</f>
        <v>$ 44,004</v>
      </c>
      <c r="F1756">
        <v>364</v>
      </c>
    </row>
    <row r="1757" spans="1:6">
      <c r="A1757" t="s">
        <v>1759</v>
      </c>
      <c r="B1757" t="str">
        <f>"0.00569%"</f>
        <v>0.00569%</v>
      </c>
      <c r="C1757" t="s">
        <v>10</v>
      </c>
      <c r="D1757" t="s">
        <v>10</v>
      </c>
      <c r="E1757" t="str">
        <f>"$ 43,965"</f>
        <v>$ 43,965</v>
      </c>
      <c r="F1757" s="1">
        <v>1006</v>
      </c>
    </row>
    <row r="1758" spans="1:6">
      <c r="A1758" t="s">
        <v>1760</v>
      </c>
      <c r="B1758" t="str">
        <f>"0.00568%"</f>
        <v>0.00568%</v>
      </c>
      <c r="C1758" t="s">
        <v>10</v>
      </c>
      <c r="D1758" t="s">
        <v>10</v>
      </c>
      <c r="E1758" t="str">
        <f>"$ 43,885"</f>
        <v>$ 43,885</v>
      </c>
      <c r="F1758" s="1">
        <v>13840</v>
      </c>
    </row>
    <row r="1759" spans="1:6">
      <c r="A1759" t="s">
        <v>1761</v>
      </c>
      <c r="B1759" t="str">
        <f>"0.00567%"</f>
        <v>0.00567%</v>
      </c>
      <c r="C1759" t="s">
        <v>10</v>
      </c>
      <c r="D1759" t="s">
        <v>10</v>
      </c>
      <c r="E1759" t="str">
        <f>"$ 43,813"</f>
        <v>$ 43,813</v>
      </c>
      <c r="F1759" s="1">
        <v>1683</v>
      </c>
    </row>
    <row r="1760" spans="1:6">
      <c r="A1760" t="s">
        <v>1762</v>
      </c>
      <c r="B1760" t="str">
        <f>"0.00565%"</f>
        <v>0.00565%</v>
      </c>
      <c r="C1760" t="s">
        <v>10</v>
      </c>
      <c r="D1760" t="s">
        <v>10</v>
      </c>
      <c r="E1760" t="str">
        <f>"$ 43,613"</f>
        <v>$ 43,613</v>
      </c>
      <c r="F1760">
        <v>358</v>
      </c>
    </row>
    <row r="1761" spans="1:6">
      <c r="A1761" t="s">
        <v>1763</v>
      </c>
      <c r="B1761" t="str">
        <f>"0.00564%"</f>
        <v>0.00564%</v>
      </c>
      <c r="C1761" t="s">
        <v>10</v>
      </c>
      <c r="D1761" t="s">
        <v>10</v>
      </c>
      <c r="E1761" t="str">
        <f>"$ 43,539"</f>
        <v>$ 43,539</v>
      </c>
      <c r="F1761" s="1">
        <v>7778</v>
      </c>
    </row>
    <row r="1762" spans="1:6">
      <c r="A1762" t="s">
        <v>1764</v>
      </c>
      <c r="B1762" t="str">
        <f>"0.00564%"</f>
        <v>0.00564%</v>
      </c>
      <c r="C1762" t="s">
        <v>10</v>
      </c>
      <c r="D1762" t="s">
        <v>10</v>
      </c>
      <c r="E1762" t="str">
        <f>"$ 43,548"</f>
        <v>$ 43,548</v>
      </c>
      <c r="F1762">
        <v>99</v>
      </c>
    </row>
    <row r="1763" spans="1:6">
      <c r="A1763" t="s">
        <v>1765</v>
      </c>
      <c r="B1763" t="str">
        <f>"0.00564%"</f>
        <v>0.00564%</v>
      </c>
      <c r="C1763" t="s">
        <v>10</v>
      </c>
      <c r="D1763" t="s">
        <v>10</v>
      </c>
      <c r="E1763" t="str">
        <f>"$ 43,523"</f>
        <v>$ 43,523</v>
      </c>
      <c r="F1763">
        <v>498</v>
      </c>
    </row>
    <row r="1764" spans="1:6">
      <c r="A1764" t="s">
        <v>1766</v>
      </c>
      <c r="B1764" t="str">
        <f>"0.00563%"</f>
        <v>0.00563%</v>
      </c>
      <c r="C1764" t="s">
        <v>10</v>
      </c>
      <c r="D1764" t="s">
        <v>10</v>
      </c>
      <c r="E1764" t="str">
        <f>"$ 43,465"</f>
        <v>$ 43,465</v>
      </c>
      <c r="F1764">
        <v>565</v>
      </c>
    </row>
    <row r="1765" spans="1:6">
      <c r="A1765" t="s">
        <v>1767</v>
      </c>
      <c r="B1765" t="str">
        <f>"0.00563%"</f>
        <v>0.00563%</v>
      </c>
      <c r="C1765" t="s">
        <v>10</v>
      </c>
      <c r="D1765" t="s">
        <v>10</v>
      </c>
      <c r="E1765" t="str">
        <f>"$ 43,457"</f>
        <v>$ 43,457</v>
      </c>
      <c r="F1765" s="1">
        <v>1351</v>
      </c>
    </row>
    <row r="1766" spans="1:6">
      <c r="A1766" t="s">
        <v>1768</v>
      </c>
      <c r="B1766" t="str">
        <f>"0.00561%"</f>
        <v>0.00561%</v>
      </c>
      <c r="C1766" t="s">
        <v>10</v>
      </c>
      <c r="D1766" t="s">
        <v>10</v>
      </c>
      <c r="E1766" t="str">
        <f>"$ 43,358"</f>
        <v>$ 43,358</v>
      </c>
      <c r="F1766">
        <v>265</v>
      </c>
    </row>
    <row r="1767" spans="1:6">
      <c r="A1767" t="s">
        <v>1769</v>
      </c>
      <c r="B1767" t="str">
        <f>"0.00561%"</f>
        <v>0.00561%</v>
      </c>
      <c r="C1767" t="s">
        <v>10</v>
      </c>
      <c r="D1767" t="s">
        <v>10</v>
      </c>
      <c r="E1767" t="str">
        <f>"$ 43,345"</f>
        <v>$ 43,345</v>
      </c>
      <c r="F1767" s="1">
        <v>2680</v>
      </c>
    </row>
    <row r="1768" spans="1:6">
      <c r="A1768" t="s">
        <v>1770</v>
      </c>
      <c r="B1768" t="str">
        <f>"0.00561%"</f>
        <v>0.00561%</v>
      </c>
      <c r="C1768" t="s">
        <v>10</v>
      </c>
      <c r="D1768" t="s">
        <v>10</v>
      </c>
      <c r="E1768" t="str">
        <f>"$ 43,335"</f>
        <v>$ 43,335</v>
      </c>
      <c r="F1768" s="1">
        <v>2821</v>
      </c>
    </row>
    <row r="1769" spans="1:6">
      <c r="A1769" t="s">
        <v>1771</v>
      </c>
      <c r="B1769" t="str">
        <f>"0.00560%"</f>
        <v>0.00560%</v>
      </c>
      <c r="C1769" t="s">
        <v>10</v>
      </c>
      <c r="D1769" t="s">
        <v>10</v>
      </c>
      <c r="E1769" t="str">
        <f>"$ 43,231"</f>
        <v>$ 43,231</v>
      </c>
      <c r="F1769" s="1">
        <v>1234</v>
      </c>
    </row>
    <row r="1770" spans="1:6">
      <c r="A1770" t="s">
        <v>1772</v>
      </c>
      <c r="B1770" t="str">
        <f>"0.00558%"</f>
        <v>0.00558%</v>
      </c>
      <c r="C1770" t="s">
        <v>10</v>
      </c>
      <c r="D1770" t="s">
        <v>10</v>
      </c>
      <c r="E1770" t="str">
        <f>"$ 43,097"</f>
        <v>$ 43,097</v>
      </c>
      <c r="F1770">
        <v>306</v>
      </c>
    </row>
    <row r="1771" spans="1:6">
      <c r="A1771" t="s">
        <v>1773</v>
      </c>
      <c r="B1771" t="str">
        <f>"0.00557%"</f>
        <v>0.00557%</v>
      </c>
      <c r="C1771" t="s">
        <v>10</v>
      </c>
      <c r="D1771" t="s">
        <v>10</v>
      </c>
      <c r="E1771" t="str">
        <f>"$ 43,001"</f>
        <v>$ 43,001</v>
      </c>
      <c r="F1771">
        <v>782</v>
      </c>
    </row>
    <row r="1772" spans="1:6">
      <c r="A1772" t="s">
        <v>1774</v>
      </c>
      <c r="B1772" t="str">
        <f>"0.00556%"</f>
        <v>0.00556%</v>
      </c>
      <c r="C1772" t="s">
        <v>10</v>
      </c>
      <c r="D1772" t="s">
        <v>10</v>
      </c>
      <c r="E1772" t="str">
        <f>"$ 42,949"</f>
        <v>$ 42,949</v>
      </c>
      <c r="F1772" s="1">
        <v>1534</v>
      </c>
    </row>
    <row r="1773" spans="1:6">
      <c r="A1773" t="s">
        <v>1775</v>
      </c>
      <c r="B1773" t="str">
        <f>"0.00556%"</f>
        <v>0.00556%</v>
      </c>
      <c r="C1773" t="s">
        <v>10</v>
      </c>
      <c r="D1773" t="s">
        <v>10</v>
      </c>
      <c r="E1773" t="str">
        <f>"$ 42,947"</f>
        <v>$ 42,947</v>
      </c>
      <c r="F1773">
        <v>362</v>
      </c>
    </row>
    <row r="1774" spans="1:6">
      <c r="A1774" t="s">
        <v>1776</v>
      </c>
      <c r="B1774" t="str">
        <f>"0.00555%"</f>
        <v>0.00555%</v>
      </c>
      <c r="C1774" t="s">
        <v>10</v>
      </c>
      <c r="D1774" t="s">
        <v>10</v>
      </c>
      <c r="E1774" t="str">
        <f>"$ 42,849"</f>
        <v>$ 42,849</v>
      </c>
      <c r="F1774" s="1">
        <v>1551</v>
      </c>
    </row>
    <row r="1775" spans="1:6">
      <c r="A1775" t="s">
        <v>1777</v>
      </c>
      <c r="B1775" t="str">
        <f>"0.00555%"</f>
        <v>0.00555%</v>
      </c>
      <c r="C1775" t="s">
        <v>10</v>
      </c>
      <c r="D1775" t="s">
        <v>10</v>
      </c>
      <c r="E1775" t="str">
        <f>"$ 42,879"</f>
        <v>$ 42,879</v>
      </c>
      <c r="F1775" s="1">
        <v>52596</v>
      </c>
    </row>
    <row r="1776" spans="1:6">
      <c r="A1776" t="s">
        <v>1778</v>
      </c>
      <c r="B1776" t="str">
        <f>"0.00555%"</f>
        <v>0.00555%</v>
      </c>
      <c r="C1776" t="s">
        <v>10</v>
      </c>
      <c r="D1776" t="s">
        <v>10</v>
      </c>
      <c r="E1776" t="str">
        <f>"$ 42,838"</f>
        <v>$ 42,838</v>
      </c>
      <c r="F1776" s="1">
        <v>14449</v>
      </c>
    </row>
    <row r="1777" spans="1:6">
      <c r="A1777" t="s">
        <v>1779</v>
      </c>
      <c r="B1777" t="str">
        <f>"0.00555%"</f>
        <v>0.00555%</v>
      </c>
      <c r="C1777" t="s">
        <v>10</v>
      </c>
      <c r="D1777" t="s">
        <v>10</v>
      </c>
      <c r="E1777" t="str">
        <f>"$ 42,881"</f>
        <v>$ 42,881</v>
      </c>
      <c r="F1777" s="1">
        <v>2661</v>
      </c>
    </row>
    <row r="1778" spans="1:6">
      <c r="A1778" t="s">
        <v>1780</v>
      </c>
      <c r="B1778" t="str">
        <f>"0.00554%"</f>
        <v>0.00554%</v>
      </c>
      <c r="C1778" t="s">
        <v>10</v>
      </c>
      <c r="D1778" t="s">
        <v>10</v>
      </c>
      <c r="E1778" t="str">
        <f>"$ 42,755"</f>
        <v>$ 42,755</v>
      </c>
      <c r="F1778" s="1">
        <v>3395</v>
      </c>
    </row>
    <row r="1779" spans="1:6">
      <c r="A1779" t="s">
        <v>1781</v>
      </c>
      <c r="B1779" t="str">
        <f>"0.00554%"</f>
        <v>0.00554%</v>
      </c>
      <c r="C1779" t="s">
        <v>10</v>
      </c>
      <c r="D1779" t="s">
        <v>10</v>
      </c>
      <c r="E1779" t="str">
        <f>"$ 42,818"</f>
        <v>$ 42,818</v>
      </c>
      <c r="F1779">
        <v>812</v>
      </c>
    </row>
    <row r="1780" spans="1:6">
      <c r="A1780" t="s">
        <v>1782</v>
      </c>
      <c r="B1780" t="str">
        <f>"0.00553%"</f>
        <v>0.00553%</v>
      </c>
      <c r="C1780" t="s">
        <v>10</v>
      </c>
      <c r="D1780" t="s">
        <v>10</v>
      </c>
      <c r="E1780" t="str">
        <f>"$ 42,714"</f>
        <v>$ 42,714</v>
      </c>
      <c r="F1780">
        <v>464</v>
      </c>
    </row>
    <row r="1781" spans="1:6">
      <c r="A1781" t="s">
        <v>1783</v>
      </c>
      <c r="B1781" t="str">
        <f>"0.00552%"</f>
        <v>0.00552%</v>
      </c>
      <c r="C1781" t="s">
        <v>10</v>
      </c>
      <c r="D1781" t="s">
        <v>10</v>
      </c>
      <c r="E1781" t="str">
        <f>"$ 42,628"</f>
        <v>$ 42,628</v>
      </c>
      <c r="F1781" s="1">
        <v>1067</v>
      </c>
    </row>
    <row r="1782" spans="1:6">
      <c r="A1782" t="s">
        <v>1784</v>
      </c>
      <c r="B1782" t="str">
        <f>"0.00552%"</f>
        <v>0.00552%</v>
      </c>
      <c r="C1782" t="s">
        <v>10</v>
      </c>
      <c r="D1782" t="s">
        <v>10</v>
      </c>
      <c r="E1782" t="str">
        <f>"$ 42,601"</f>
        <v>$ 42,601</v>
      </c>
      <c r="F1782">
        <v>747</v>
      </c>
    </row>
    <row r="1783" spans="1:6">
      <c r="A1783" t="s">
        <v>1785</v>
      </c>
      <c r="B1783" t="str">
        <f>"0.00551%"</f>
        <v>0.00551%</v>
      </c>
      <c r="C1783" t="s">
        <v>10</v>
      </c>
      <c r="D1783" t="s">
        <v>10</v>
      </c>
      <c r="E1783" t="str">
        <f>"$ 42,546"</f>
        <v>$ 42,546</v>
      </c>
      <c r="F1783">
        <v>368</v>
      </c>
    </row>
    <row r="1784" spans="1:6">
      <c r="A1784" t="s">
        <v>1786</v>
      </c>
      <c r="B1784" t="str">
        <f>"0.00551%"</f>
        <v>0.00551%</v>
      </c>
      <c r="C1784" t="s">
        <v>10</v>
      </c>
      <c r="D1784" t="s">
        <v>10</v>
      </c>
      <c r="E1784" t="str">
        <f>"$ 42,580"</f>
        <v>$ 42,580</v>
      </c>
      <c r="F1784">
        <v>264</v>
      </c>
    </row>
    <row r="1785" spans="1:6">
      <c r="A1785" t="s">
        <v>1787</v>
      </c>
      <c r="B1785" t="str">
        <f>"0.00551%"</f>
        <v>0.00551%</v>
      </c>
      <c r="C1785" t="s">
        <v>10</v>
      </c>
      <c r="D1785" t="s">
        <v>10</v>
      </c>
      <c r="E1785" t="str">
        <f>"$ 42,583"</f>
        <v>$ 42,583</v>
      </c>
      <c r="F1785" s="1">
        <v>1390</v>
      </c>
    </row>
    <row r="1786" spans="1:6">
      <c r="A1786" t="s">
        <v>1788</v>
      </c>
      <c r="B1786" t="str">
        <f>"0.00549%"</f>
        <v>0.00549%</v>
      </c>
      <c r="C1786" t="s">
        <v>10</v>
      </c>
      <c r="D1786" t="s">
        <v>10</v>
      </c>
      <c r="E1786" t="str">
        <f>"$ 42,410"</f>
        <v>$ 42,410</v>
      </c>
      <c r="F1786">
        <v>331</v>
      </c>
    </row>
    <row r="1787" spans="1:6">
      <c r="A1787" t="s">
        <v>1789</v>
      </c>
      <c r="B1787" t="str">
        <f>"0.00549%"</f>
        <v>0.00549%</v>
      </c>
      <c r="C1787" t="s">
        <v>10</v>
      </c>
      <c r="D1787" t="s">
        <v>10</v>
      </c>
      <c r="E1787" t="str">
        <f>"$ 42,402"</f>
        <v>$ 42,402</v>
      </c>
      <c r="F1787" s="1">
        <v>3459</v>
      </c>
    </row>
    <row r="1788" spans="1:6">
      <c r="A1788" t="s">
        <v>1790</v>
      </c>
      <c r="B1788" t="str">
        <f>"0.00548%"</f>
        <v>0.00548%</v>
      </c>
      <c r="C1788" t="s">
        <v>10</v>
      </c>
      <c r="D1788" t="s">
        <v>10</v>
      </c>
      <c r="E1788" t="str">
        <f>"$ 42,339"</f>
        <v>$ 42,339</v>
      </c>
      <c r="F1788">
        <v>199</v>
      </c>
    </row>
    <row r="1789" spans="1:6">
      <c r="A1789" t="s">
        <v>1791</v>
      </c>
      <c r="B1789" t="str">
        <f>"0.00548%"</f>
        <v>0.00548%</v>
      </c>
      <c r="C1789" t="s">
        <v>10</v>
      </c>
      <c r="D1789" t="s">
        <v>10</v>
      </c>
      <c r="E1789" t="str">
        <f>"$ 42,297"</f>
        <v>$ 42,297</v>
      </c>
      <c r="F1789">
        <v>373</v>
      </c>
    </row>
    <row r="1790" spans="1:6">
      <c r="A1790" t="s">
        <v>1792</v>
      </c>
      <c r="B1790" t="str">
        <f>"0.00547%"</f>
        <v>0.00547%</v>
      </c>
      <c r="C1790" t="s">
        <v>10</v>
      </c>
      <c r="D1790" t="s">
        <v>10</v>
      </c>
      <c r="E1790" t="str">
        <f>"$ 42,233"</f>
        <v>$ 42,233</v>
      </c>
      <c r="F1790" s="1">
        <v>9326</v>
      </c>
    </row>
    <row r="1791" spans="1:6">
      <c r="A1791" t="s">
        <v>1793</v>
      </c>
      <c r="B1791" t="str">
        <f>"0.00547%"</f>
        <v>0.00547%</v>
      </c>
      <c r="C1791" t="s">
        <v>10</v>
      </c>
      <c r="D1791" t="s">
        <v>10</v>
      </c>
      <c r="E1791" t="str">
        <f>"$ 42,258"</f>
        <v>$ 42,258</v>
      </c>
      <c r="F1791">
        <v>617</v>
      </c>
    </row>
    <row r="1792" spans="1:6">
      <c r="A1792" t="s">
        <v>1794</v>
      </c>
      <c r="B1792" t="str">
        <f>"0.00547%"</f>
        <v>0.00547%</v>
      </c>
      <c r="C1792" t="s">
        <v>10</v>
      </c>
      <c r="D1792" t="s">
        <v>10</v>
      </c>
      <c r="E1792" t="str">
        <f>"$ 42,262"</f>
        <v>$ 42,262</v>
      </c>
      <c r="F1792">
        <v>811</v>
      </c>
    </row>
    <row r="1793" spans="1:6">
      <c r="A1793" t="s">
        <v>1795</v>
      </c>
      <c r="B1793" t="str">
        <f>"0.00546%"</f>
        <v>0.00546%</v>
      </c>
      <c r="C1793" t="s">
        <v>10</v>
      </c>
      <c r="D1793" t="s">
        <v>10</v>
      </c>
      <c r="E1793" t="str">
        <f>"$ 42,136"</f>
        <v>$ 42,136</v>
      </c>
      <c r="F1793" s="1">
        <v>3122</v>
      </c>
    </row>
    <row r="1794" spans="1:6">
      <c r="A1794" t="s">
        <v>1796</v>
      </c>
      <c r="B1794" t="str">
        <f>"0.00546%"</f>
        <v>0.00546%</v>
      </c>
      <c r="C1794" t="s">
        <v>10</v>
      </c>
      <c r="D1794" t="s">
        <v>10</v>
      </c>
      <c r="E1794" t="str">
        <f>"$ 42,163"</f>
        <v>$ 42,163</v>
      </c>
      <c r="F1794">
        <v>269</v>
      </c>
    </row>
    <row r="1795" spans="1:6">
      <c r="A1795" t="s">
        <v>1797</v>
      </c>
      <c r="B1795" t="str">
        <f>"0.00546%"</f>
        <v>0.00546%</v>
      </c>
      <c r="C1795" t="s">
        <v>10</v>
      </c>
      <c r="D1795" t="s">
        <v>10</v>
      </c>
      <c r="E1795" t="str">
        <f>"$ 42,182"</f>
        <v>$ 42,182</v>
      </c>
      <c r="F1795">
        <v>318</v>
      </c>
    </row>
    <row r="1796" spans="1:6">
      <c r="A1796" t="s">
        <v>1798</v>
      </c>
      <c r="B1796" t="str">
        <f>"0.00545%"</f>
        <v>0.00545%</v>
      </c>
      <c r="C1796" t="s">
        <v>10</v>
      </c>
      <c r="D1796" t="s">
        <v>10</v>
      </c>
      <c r="E1796" t="str">
        <f>"$ 42,083"</f>
        <v>$ 42,083</v>
      </c>
      <c r="F1796" s="1">
        <v>5736</v>
      </c>
    </row>
    <row r="1797" spans="1:6">
      <c r="A1797" t="s">
        <v>1799</v>
      </c>
      <c r="B1797" t="str">
        <f>"0.00545%"</f>
        <v>0.00545%</v>
      </c>
      <c r="C1797" t="s">
        <v>10</v>
      </c>
      <c r="D1797" t="s">
        <v>10</v>
      </c>
      <c r="E1797" t="str">
        <f>"$ 42,062"</f>
        <v>$ 42,062</v>
      </c>
      <c r="F1797" s="1">
        <v>5229</v>
      </c>
    </row>
    <row r="1798" spans="1:6">
      <c r="A1798" t="s">
        <v>1800</v>
      </c>
      <c r="B1798" t="str">
        <f>"0.00545%"</f>
        <v>0.00545%</v>
      </c>
      <c r="C1798" t="s">
        <v>10</v>
      </c>
      <c r="D1798" t="s">
        <v>10</v>
      </c>
      <c r="E1798" t="str">
        <f>"$ 42,055"</f>
        <v>$ 42,055</v>
      </c>
      <c r="F1798" s="1">
        <v>5882</v>
      </c>
    </row>
    <row r="1799" spans="1:6">
      <c r="A1799" t="s">
        <v>1801</v>
      </c>
      <c r="B1799" t="str">
        <f>"0.00545%"</f>
        <v>0.00545%</v>
      </c>
      <c r="C1799" t="s">
        <v>10</v>
      </c>
      <c r="D1799" t="s">
        <v>10</v>
      </c>
      <c r="E1799" t="str">
        <f>"$ 42,089"</f>
        <v>$ 42,089</v>
      </c>
      <c r="F1799" s="1">
        <v>2441</v>
      </c>
    </row>
    <row r="1800" spans="1:6">
      <c r="A1800" t="s">
        <v>1802</v>
      </c>
      <c r="B1800" t="str">
        <f>"0.00544%"</f>
        <v>0.00544%</v>
      </c>
      <c r="C1800" t="s">
        <v>10</v>
      </c>
      <c r="D1800" t="s">
        <v>10</v>
      </c>
      <c r="E1800" t="str">
        <f>"$ 41,969"</f>
        <v>$ 41,969</v>
      </c>
      <c r="F1800">
        <v>414</v>
      </c>
    </row>
    <row r="1801" spans="1:6">
      <c r="A1801" t="s">
        <v>1803</v>
      </c>
      <c r="B1801" t="str">
        <f>"0.00544%"</f>
        <v>0.00544%</v>
      </c>
      <c r="C1801" t="s">
        <v>10</v>
      </c>
      <c r="D1801" t="s">
        <v>10</v>
      </c>
      <c r="E1801" t="str">
        <f>"$ 42,004"</f>
        <v>$ 42,004</v>
      </c>
      <c r="F1801">
        <v>68</v>
      </c>
    </row>
    <row r="1802" spans="1:6">
      <c r="A1802" t="s">
        <v>1804</v>
      </c>
      <c r="B1802" t="str">
        <f>"0.00544%"</f>
        <v>0.00544%</v>
      </c>
      <c r="C1802" t="s">
        <v>10</v>
      </c>
      <c r="D1802" t="s">
        <v>10</v>
      </c>
      <c r="E1802" t="str">
        <f>"$ 41,988"</f>
        <v>$ 41,988</v>
      </c>
      <c r="F1802" s="1">
        <v>16754</v>
      </c>
    </row>
    <row r="1803" spans="1:6">
      <c r="A1803" t="s">
        <v>1805</v>
      </c>
      <c r="B1803" t="str">
        <f>"0.00543%"</f>
        <v>0.00543%</v>
      </c>
      <c r="C1803" t="s">
        <v>10</v>
      </c>
      <c r="D1803" t="s">
        <v>10</v>
      </c>
      <c r="E1803" t="str">
        <f>"$ 41,944"</f>
        <v>$ 41,944</v>
      </c>
      <c r="F1803" s="1">
        <v>1337</v>
      </c>
    </row>
    <row r="1804" spans="1:6">
      <c r="A1804" t="s">
        <v>1806</v>
      </c>
      <c r="B1804" t="str">
        <f>"0.00542%"</f>
        <v>0.00542%</v>
      </c>
      <c r="C1804" t="s">
        <v>10</v>
      </c>
      <c r="D1804" t="s">
        <v>10</v>
      </c>
      <c r="E1804" t="str">
        <f>"$ 41,847"</f>
        <v>$ 41,847</v>
      </c>
      <c r="F1804" s="1">
        <v>3366</v>
      </c>
    </row>
    <row r="1805" spans="1:6">
      <c r="A1805" t="s">
        <v>1807</v>
      </c>
      <c r="B1805" t="str">
        <f>"0.00541%"</f>
        <v>0.00541%</v>
      </c>
      <c r="C1805" t="s">
        <v>10</v>
      </c>
      <c r="D1805" t="s">
        <v>10</v>
      </c>
      <c r="E1805" t="str">
        <f>"$ 41,774"</f>
        <v>$ 41,774</v>
      </c>
      <c r="F1805">
        <v>234</v>
      </c>
    </row>
    <row r="1806" spans="1:6">
      <c r="A1806" t="s">
        <v>1808</v>
      </c>
      <c r="B1806" t="str">
        <f>"0.00541%"</f>
        <v>0.00541%</v>
      </c>
      <c r="C1806" t="s">
        <v>10</v>
      </c>
      <c r="D1806" t="s">
        <v>10</v>
      </c>
      <c r="E1806" t="str">
        <f>"$ 41,811"</f>
        <v>$ 41,811</v>
      </c>
      <c r="F1806">
        <v>819</v>
      </c>
    </row>
    <row r="1807" spans="1:6">
      <c r="A1807" t="s">
        <v>1809</v>
      </c>
      <c r="B1807" t="str">
        <f>"0.00541%"</f>
        <v>0.00541%</v>
      </c>
      <c r="C1807" t="s">
        <v>10</v>
      </c>
      <c r="D1807" t="s">
        <v>10</v>
      </c>
      <c r="E1807" t="str">
        <f>"$ 41,742"</f>
        <v>$ 41,742</v>
      </c>
      <c r="F1807">
        <v>423</v>
      </c>
    </row>
    <row r="1808" spans="1:6">
      <c r="A1808" t="s">
        <v>1810</v>
      </c>
      <c r="B1808" t="str">
        <f>"0.00540%"</f>
        <v>0.00540%</v>
      </c>
      <c r="C1808" t="s">
        <v>10</v>
      </c>
      <c r="D1808" t="s">
        <v>10</v>
      </c>
      <c r="E1808" t="str">
        <f>"$ 41,700"</f>
        <v>$ 41,700</v>
      </c>
      <c r="F1808" s="1">
        <v>3960</v>
      </c>
    </row>
    <row r="1809" spans="1:6">
      <c r="A1809" t="s">
        <v>1811</v>
      </c>
      <c r="B1809" t="str">
        <f>"0.00540%"</f>
        <v>0.00540%</v>
      </c>
      <c r="C1809" t="s">
        <v>10</v>
      </c>
      <c r="D1809" t="s">
        <v>10</v>
      </c>
      <c r="E1809" t="str">
        <f>"$ 41,701"</f>
        <v>$ 41,701</v>
      </c>
      <c r="F1809">
        <v>387</v>
      </c>
    </row>
    <row r="1810" spans="1:6">
      <c r="A1810" t="s">
        <v>1812</v>
      </c>
      <c r="B1810" t="str">
        <f>"0.00540%"</f>
        <v>0.00540%</v>
      </c>
      <c r="C1810" t="s">
        <v>10</v>
      </c>
      <c r="D1810" t="s">
        <v>10</v>
      </c>
      <c r="E1810" t="str">
        <f>"$ 41,700"</f>
        <v>$ 41,700</v>
      </c>
      <c r="F1810" s="1">
        <v>1372</v>
      </c>
    </row>
    <row r="1811" spans="1:6">
      <c r="A1811" t="s">
        <v>1813</v>
      </c>
      <c r="B1811" t="str">
        <f>"0.00539%"</f>
        <v>0.00539%</v>
      </c>
      <c r="C1811" t="s">
        <v>10</v>
      </c>
      <c r="D1811" t="s">
        <v>10</v>
      </c>
      <c r="E1811" t="str">
        <f>"$ 41,629"</f>
        <v>$ 41,629</v>
      </c>
      <c r="F1811">
        <v>585</v>
      </c>
    </row>
    <row r="1812" spans="1:6">
      <c r="A1812" t="s">
        <v>1814</v>
      </c>
      <c r="B1812" t="str">
        <f>"0.00537%"</f>
        <v>0.00537%</v>
      </c>
      <c r="C1812" t="s">
        <v>10</v>
      </c>
      <c r="D1812" t="s">
        <v>10</v>
      </c>
      <c r="E1812" t="str">
        <f>"$ 41,450"</f>
        <v>$ 41,450</v>
      </c>
      <c r="F1812" s="1">
        <v>13893</v>
      </c>
    </row>
    <row r="1813" spans="1:6">
      <c r="A1813" t="s">
        <v>1815</v>
      </c>
      <c r="B1813" t="str">
        <f>"0.00537%"</f>
        <v>0.00537%</v>
      </c>
      <c r="C1813" t="s">
        <v>10</v>
      </c>
      <c r="D1813" t="s">
        <v>10</v>
      </c>
      <c r="E1813" t="str">
        <f>"$ 41,438"</f>
        <v>$ 41,438</v>
      </c>
      <c r="F1813" s="1">
        <v>3794</v>
      </c>
    </row>
    <row r="1814" spans="1:6">
      <c r="A1814" t="s">
        <v>1816</v>
      </c>
      <c r="B1814" t="str">
        <f>"0.00537%"</f>
        <v>0.00537%</v>
      </c>
      <c r="C1814" t="s">
        <v>10</v>
      </c>
      <c r="D1814" t="s">
        <v>10</v>
      </c>
      <c r="E1814" t="str">
        <f>"$ 41,449"</f>
        <v>$ 41,449</v>
      </c>
      <c r="F1814">
        <v>740</v>
      </c>
    </row>
    <row r="1815" spans="1:6">
      <c r="A1815" t="s">
        <v>1817</v>
      </c>
      <c r="B1815" t="str">
        <f>"0.00536%"</f>
        <v>0.00536%</v>
      </c>
      <c r="C1815" t="s">
        <v>10</v>
      </c>
      <c r="D1815" t="s">
        <v>10</v>
      </c>
      <c r="E1815" t="str">
        <f>"$ 41,359"</f>
        <v>$ 41,359</v>
      </c>
      <c r="F1815" s="1">
        <v>8515</v>
      </c>
    </row>
    <row r="1816" spans="1:6">
      <c r="A1816" t="s">
        <v>1818</v>
      </c>
      <c r="B1816" t="str">
        <f>"0.00536%"</f>
        <v>0.00536%</v>
      </c>
      <c r="C1816" t="s">
        <v>10</v>
      </c>
      <c r="D1816" t="s">
        <v>10</v>
      </c>
      <c r="E1816" t="str">
        <f>"$ 41,404"</f>
        <v>$ 41,404</v>
      </c>
      <c r="F1816" s="1">
        <v>5233</v>
      </c>
    </row>
    <row r="1817" spans="1:6">
      <c r="A1817" t="s">
        <v>1819</v>
      </c>
      <c r="B1817" t="str">
        <f>"0.00535%"</f>
        <v>0.00535%</v>
      </c>
      <c r="C1817" t="s">
        <v>10</v>
      </c>
      <c r="D1817" t="s">
        <v>10</v>
      </c>
      <c r="E1817" t="str">
        <f>"$ 41,298"</f>
        <v>$ 41,298</v>
      </c>
      <c r="F1817" s="1">
        <v>11481</v>
      </c>
    </row>
    <row r="1818" spans="1:6">
      <c r="A1818" t="s">
        <v>1820</v>
      </c>
      <c r="B1818" t="str">
        <f>"0.00535%"</f>
        <v>0.00535%</v>
      </c>
      <c r="C1818" t="s">
        <v>10</v>
      </c>
      <c r="D1818" t="s">
        <v>10</v>
      </c>
      <c r="E1818" t="str">
        <f>"$ 41,326"</f>
        <v>$ 41,326</v>
      </c>
      <c r="F1818" s="1">
        <v>1364</v>
      </c>
    </row>
    <row r="1819" spans="1:6">
      <c r="A1819" t="s">
        <v>1130</v>
      </c>
      <c r="B1819" t="str">
        <f>"0.00535%"</f>
        <v>0.00535%</v>
      </c>
      <c r="C1819" t="s">
        <v>10</v>
      </c>
      <c r="D1819" t="s">
        <v>10</v>
      </c>
      <c r="E1819" t="str">
        <f>"$ 41,344"</f>
        <v>$ 41,344</v>
      </c>
      <c r="F1819">
        <v>130</v>
      </c>
    </row>
    <row r="1820" spans="1:6">
      <c r="A1820" t="s">
        <v>1821</v>
      </c>
      <c r="B1820" t="str">
        <f>"0.00534%"</f>
        <v>0.00534%</v>
      </c>
      <c r="C1820" t="s">
        <v>10</v>
      </c>
      <c r="D1820" t="s">
        <v>10</v>
      </c>
      <c r="E1820" t="str">
        <f>"$ 41,250"</f>
        <v>$ 41,250</v>
      </c>
      <c r="F1820" s="1">
        <v>54877</v>
      </c>
    </row>
    <row r="1821" spans="1:6">
      <c r="A1821" t="s">
        <v>1822</v>
      </c>
      <c r="B1821" t="str">
        <f>"0.00534%"</f>
        <v>0.00534%</v>
      </c>
      <c r="C1821" t="s">
        <v>10</v>
      </c>
      <c r="D1821" t="s">
        <v>10</v>
      </c>
      <c r="E1821" t="str">
        <f>"$ 41,262"</f>
        <v>$ 41,262</v>
      </c>
      <c r="F1821" s="1">
        <v>4029</v>
      </c>
    </row>
    <row r="1822" spans="1:6">
      <c r="A1822" t="s">
        <v>1823</v>
      </c>
      <c r="B1822" t="str">
        <f>"0.00533%"</f>
        <v>0.00533%</v>
      </c>
      <c r="C1822" t="s">
        <v>10</v>
      </c>
      <c r="D1822" t="s">
        <v>10</v>
      </c>
      <c r="E1822" t="str">
        <f>"$ 41,163"</f>
        <v>$ 41,163</v>
      </c>
      <c r="F1822" s="1">
        <v>4162</v>
      </c>
    </row>
    <row r="1823" spans="1:6">
      <c r="A1823" t="s">
        <v>1824</v>
      </c>
      <c r="B1823" t="str">
        <f>"0.00533%"</f>
        <v>0.00533%</v>
      </c>
      <c r="C1823" t="s">
        <v>10</v>
      </c>
      <c r="D1823" t="s">
        <v>10</v>
      </c>
      <c r="E1823" t="str">
        <f>"$ 41,121"</f>
        <v>$ 41,121</v>
      </c>
      <c r="F1823">
        <v>298</v>
      </c>
    </row>
    <row r="1824" spans="1:6">
      <c r="A1824" t="s">
        <v>1825</v>
      </c>
      <c r="B1824" t="str">
        <f>"0.00531%"</f>
        <v>0.00531%</v>
      </c>
      <c r="C1824" t="s">
        <v>10</v>
      </c>
      <c r="D1824" t="s">
        <v>10</v>
      </c>
      <c r="E1824" t="str">
        <f>"$ 41,010"</f>
        <v>$ 41,010</v>
      </c>
      <c r="F1824" s="1">
        <v>6902</v>
      </c>
    </row>
    <row r="1825" spans="1:6">
      <c r="A1825" t="s">
        <v>1826</v>
      </c>
      <c r="B1825" t="str">
        <f>"0.00531%"</f>
        <v>0.00531%</v>
      </c>
      <c r="C1825" t="s">
        <v>10</v>
      </c>
      <c r="D1825" t="s">
        <v>10</v>
      </c>
      <c r="E1825" t="str">
        <f>"$ 40,980"</f>
        <v>$ 40,980</v>
      </c>
      <c r="F1825">
        <v>442</v>
      </c>
    </row>
    <row r="1826" spans="1:6">
      <c r="A1826" t="s">
        <v>1827</v>
      </c>
      <c r="B1826" t="str">
        <f>"0.00531%"</f>
        <v>0.00531%</v>
      </c>
      <c r="C1826" t="s">
        <v>10</v>
      </c>
      <c r="D1826" t="s">
        <v>10</v>
      </c>
      <c r="E1826" t="str">
        <f>"$ 40,971"</f>
        <v>$ 40,971</v>
      </c>
      <c r="F1826">
        <v>773</v>
      </c>
    </row>
    <row r="1827" spans="1:6">
      <c r="A1827" t="s">
        <v>1828</v>
      </c>
      <c r="B1827" t="str">
        <f>"0.00531%"</f>
        <v>0.00531%</v>
      </c>
      <c r="C1827" t="s">
        <v>10</v>
      </c>
      <c r="D1827" t="s">
        <v>10</v>
      </c>
      <c r="E1827" t="str">
        <f>"$ 40,983"</f>
        <v>$ 40,983</v>
      </c>
      <c r="F1827">
        <v>336</v>
      </c>
    </row>
    <row r="1828" spans="1:6">
      <c r="A1828" t="s">
        <v>1829</v>
      </c>
      <c r="B1828" t="str">
        <f>"0.00529%"</f>
        <v>0.00529%</v>
      </c>
      <c r="C1828" t="s">
        <v>10</v>
      </c>
      <c r="D1828" t="s">
        <v>10</v>
      </c>
      <c r="E1828" t="str">
        <f>"$ 40,842"</f>
        <v>$ 40,842</v>
      </c>
      <c r="F1828">
        <v>412</v>
      </c>
    </row>
    <row r="1829" spans="1:6">
      <c r="A1829" t="s">
        <v>1830</v>
      </c>
      <c r="B1829" t="str">
        <f>"0.00529%"</f>
        <v>0.00529%</v>
      </c>
      <c r="C1829" t="s">
        <v>10</v>
      </c>
      <c r="D1829" t="s">
        <v>10</v>
      </c>
      <c r="E1829" t="str">
        <f>"$ 40,867"</f>
        <v>$ 40,867</v>
      </c>
      <c r="F1829" s="1">
        <v>2022</v>
      </c>
    </row>
    <row r="1830" spans="1:6">
      <c r="A1830" t="s">
        <v>1831</v>
      </c>
      <c r="B1830" t="str">
        <f>"0.00528%"</f>
        <v>0.00528%</v>
      </c>
      <c r="C1830" t="s">
        <v>10</v>
      </c>
      <c r="D1830" t="s">
        <v>10</v>
      </c>
      <c r="E1830" t="str">
        <f>"$ 40,796"</f>
        <v>$ 40,796</v>
      </c>
      <c r="F1830" s="1">
        <v>3204</v>
      </c>
    </row>
    <row r="1831" spans="1:6">
      <c r="A1831" t="s">
        <v>1832</v>
      </c>
      <c r="B1831" t="str">
        <f>"0.00528%"</f>
        <v>0.00528%</v>
      </c>
      <c r="C1831" t="s">
        <v>10</v>
      </c>
      <c r="D1831" t="s">
        <v>10</v>
      </c>
      <c r="E1831" t="str">
        <f>"$ 40,773"</f>
        <v>$ 40,773</v>
      </c>
      <c r="F1831" s="1">
        <v>1573</v>
      </c>
    </row>
    <row r="1832" spans="1:6">
      <c r="A1832" t="s">
        <v>1833</v>
      </c>
      <c r="B1832" t="str">
        <f>"0.00528%"</f>
        <v>0.00528%</v>
      </c>
      <c r="C1832" t="s">
        <v>10</v>
      </c>
      <c r="D1832" t="s">
        <v>10</v>
      </c>
      <c r="E1832" t="str">
        <f>"$ 40,802"</f>
        <v>$ 40,802</v>
      </c>
      <c r="F1832">
        <v>919</v>
      </c>
    </row>
    <row r="1833" spans="1:6">
      <c r="A1833" t="s">
        <v>1834</v>
      </c>
      <c r="B1833" t="str">
        <f>"0.00527%"</f>
        <v>0.00527%</v>
      </c>
      <c r="C1833" t="s">
        <v>10</v>
      </c>
      <c r="D1833" t="s">
        <v>10</v>
      </c>
      <c r="E1833" t="str">
        <f>"$ 40,669"</f>
        <v>$ 40,669</v>
      </c>
      <c r="F1833" s="1">
        <v>1579</v>
      </c>
    </row>
    <row r="1834" spans="1:6">
      <c r="A1834" t="s">
        <v>1835</v>
      </c>
      <c r="B1834" t="str">
        <f>"0.00527%"</f>
        <v>0.00527%</v>
      </c>
      <c r="C1834" t="s">
        <v>10</v>
      </c>
      <c r="D1834" t="s">
        <v>10</v>
      </c>
      <c r="E1834" t="str">
        <f>"$ 40,665"</f>
        <v>$ 40,665</v>
      </c>
      <c r="F1834" s="1">
        <v>8316</v>
      </c>
    </row>
    <row r="1835" spans="1:6">
      <c r="A1835" t="s">
        <v>1836</v>
      </c>
      <c r="B1835" t="str">
        <f>"0.00526%"</f>
        <v>0.00526%</v>
      </c>
      <c r="C1835" t="s">
        <v>10</v>
      </c>
      <c r="D1835" t="s">
        <v>10</v>
      </c>
      <c r="E1835" t="str">
        <f>"$ 40,599"</f>
        <v>$ 40,599</v>
      </c>
      <c r="F1835">
        <v>379</v>
      </c>
    </row>
    <row r="1836" spans="1:6">
      <c r="A1836" t="s">
        <v>1837</v>
      </c>
      <c r="B1836" t="str">
        <f>"0.00526%"</f>
        <v>0.00526%</v>
      </c>
      <c r="C1836" t="s">
        <v>10</v>
      </c>
      <c r="D1836" t="s">
        <v>10</v>
      </c>
      <c r="E1836" t="str">
        <f>"$ 40,605"</f>
        <v>$ 40,605</v>
      </c>
      <c r="F1836">
        <v>552</v>
      </c>
    </row>
    <row r="1837" spans="1:6">
      <c r="A1837" t="s">
        <v>1838</v>
      </c>
      <c r="B1837" t="str">
        <f>"0.00525%"</f>
        <v>0.00525%</v>
      </c>
      <c r="C1837" t="s">
        <v>10</v>
      </c>
      <c r="D1837" t="s">
        <v>10</v>
      </c>
      <c r="E1837" t="str">
        <f>"$ 40,509"</f>
        <v>$ 40,509</v>
      </c>
      <c r="F1837" s="1">
        <v>1220</v>
      </c>
    </row>
    <row r="1838" spans="1:6">
      <c r="A1838" t="s">
        <v>1839</v>
      </c>
      <c r="B1838" t="str">
        <f>"0.00524%"</f>
        <v>0.00524%</v>
      </c>
      <c r="C1838" t="s">
        <v>10</v>
      </c>
      <c r="D1838" t="s">
        <v>10</v>
      </c>
      <c r="E1838" t="str">
        <f>"$ 40,474"</f>
        <v>$ 40,474</v>
      </c>
      <c r="F1838">
        <v>653</v>
      </c>
    </row>
    <row r="1839" spans="1:6">
      <c r="A1839" t="s">
        <v>1840</v>
      </c>
      <c r="B1839" t="str">
        <f>"0.00523%"</f>
        <v>0.00523%</v>
      </c>
      <c r="C1839" t="s">
        <v>10</v>
      </c>
      <c r="D1839" t="s">
        <v>10</v>
      </c>
      <c r="E1839" t="str">
        <f>"$ 40,375"</f>
        <v>$ 40,375</v>
      </c>
      <c r="F1839">
        <v>323</v>
      </c>
    </row>
    <row r="1840" spans="1:6">
      <c r="A1840" t="s">
        <v>1841</v>
      </c>
      <c r="B1840" t="str">
        <f>"0.00523%"</f>
        <v>0.00523%</v>
      </c>
      <c r="C1840" t="s">
        <v>10</v>
      </c>
      <c r="D1840" t="s">
        <v>10</v>
      </c>
      <c r="E1840" t="str">
        <f>"$ 40,361"</f>
        <v>$ 40,361</v>
      </c>
      <c r="F1840" s="1">
        <v>1809</v>
      </c>
    </row>
    <row r="1841" spans="1:6">
      <c r="A1841" t="s">
        <v>1842</v>
      </c>
      <c r="B1841" t="str">
        <f>"0.00523%"</f>
        <v>0.00523%</v>
      </c>
      <c r="C1841" t="s">
        <v>10</v>
      </c>
      <c r="D1841" t="s">
        <v>10</v>
      </c>
      <c r="E1841" t="str">
        <f>"$ 40,418"</f>
        <v>$ 40,418</v>
      </c>
      <c r="F1841" s="1">
        <v>3233</v>
      </c>
    </row>
    <row r="1842" spans="1:6">
      <c r="A1842" t="s">
        <v>1843</v>
      </c>
      <c r="B1842" t="str">
        <f>"0.00523%"</f>
        <v>0.00523%</v>
      </c>
      <c r="C1842" t="s">
        <v>10</v>
      </c>
      <c r="D1842" t="s">
        <v>10</v>
      </c>
      <c r="E1842" t="str">
        <f>"$ 40,362"</f>
        <v>$ 40,362</v>
      </c>
      <c r="F1842">
        <v>228</v>
      </c>
    </row>
    <row r="1843" spans="1:6">
      <c r="A1843" t="s">
        <v>1844</v>
      </c>
      <c r="B1843" t="str">
        <f>"0.00522%"</f>
        <v>0.00522%</v>
      </c>
      <c r="C1843" t="s">
        <v>10</v>
      </c>
      <c r="D1843" t="s">
        <v>10</v>
      </c>
      <c r="E1843" t="str">
        <f>"$ 40,291"</f>
        <v>$ 40,291</v>
      </c>
      <c r="F1843">
        <v>154</v>
      </c>
    </row>
    <row r="1844" spans="1:6">
      <c r="A1844" t="s">
        <v>1845</v>
      </c>
      <c r="B1844" t="str">
        <f>"0.00521%"</f>
        <v>0.00521%</v>
      </c>
      <c r="C1844" t="s">
        <v>10</v>
      </c>
      <c r="D1844" t="s">
        <v>10</v>
      </c>
      <c r="E1844" t="str">
        <f>"$ 40,228"</f>
        <v>$ 40,228</v>
      </c>
      <c r="F1844">
        <v>261</v>
      </c>
    </row>
    <row r="1845" spans="1:6">
      <c r="A1845" t="s">
        <v>1846</v>
      </c>
      <c r="B1845" t="str">
        <f>"0.00521%"</f>
        <v>0.00521%</v>
      </c>
      <c r="C1845" t="s">
        <v>10</v>
      </c>
      <c r="D1845" t="s">
        <v>10</v>
      </c>
      <c r="E1845" t="str">
        <f>"$ 40,237"</f>
        <v>$ 40,237</v>
      </c>
      <c r="F1845">
        <v>594</v>
      </c>
    </row>
    <row r="1846" spans="1:6">
      <c r="A1846" t="s">
        <v>1847</v>
      </c>
      <c r="B1846" t="str">
        <f>"0.00520%"</f>
        <v>0.00520%</v>
      </c>
      <c r="C1846" t="s">
        <v>10</v>
      </c>
      <c r="D1846" t="s">
        <v>10</v>
      </c>
      <c r="E1846" t="str">
        <f>"$ 40,184"</f>
        <v>$ 40,184</v>
      </c>
      <c r="F1846">
        <v>48</v>
      </c>
    </row>
    <row r="1847" spans="1:6">
      <c r="A1847" t="s">
        <v>1848</v>
      </c>
      <c r="B1847" t="str">
        <f>"0.00520%"</f>
        <v>0.00520%</v>
      </c>
      <c r="C1847" t="s">
        <v>10</v>
      </c>
      <c r="D1847" t="s">
        <v>10</v>
      </c>
      <c r="E1847" t="str">
        <f>"$ 40,117"</f>
        <v>$ 40,117</v>
      </c>
      <c r="F1847" s="1">
        <v>1170</v>
      </c>
    </row>
    <row r="1848" spans="1:6">
      <c r="A1848" t="s">
        <v>1849</v>
      </c>
      <c r="B1848" t="str">
        <f>"0.00519%"</f>
        <v>0.00519%</v>
      </c>
      <c r="C1848" t="s">
        <v>10</v>
      </c>
      <c r="D1848" t="s">
        <v>10</v>
      </c>
      <c r="E1848" t="str">
        <f>"$ 40,109"</f>
        <v>$ 40,109</v>
      </c>
      <c r="F1848" s="1">
        <v>1779</v>
      </c>
    </row>
    <row r="1849" spans="1:6">
      <c r="A1849" t="s">
        <v>1850</v>
      </c>
      <c r="B1849" t="str">
        <f>"0.00518%"</f>
        <v>0.00518%</v>
      </c>
      <c r="C1849" t="s">
        <v>10</v>
      </c>
      <c r="D1849" t="s">
        <v>10</v>
      </c>
      <c r="E1849" t="str">
        <f>"$ 40,012"</f>
        <v>$ 40,012</v>
      </c>
      <c r="F1849">
        <v>999</v>
      </c>
    </row>
    <row r="1850" spans="1:6">
      <c r="A1850" t="s">
        <v>1851</v>
      </c>
      <c r="B1850" t="str">
        <f>"0.00518%"</f>
        <v>0.00518%</v>
      </c>
      <c r="C1850" t="s">
        <v>10</v>
      </c>
      <c r="D1850" t="s">
        <v>10</v>
      </c>
      <c r="E1850" t="str">
        <f>"$ 39,982"</f>
        <v>$ 39,982</v>
      </c>
      <c r="F1850">
        <v>148</v>
      </c>
    </row>
    <row r="1851" spans="1:6">
      <c r="A1851" t="s">
        <v>1852</v>
      </c>
      <c r="B1851" t="str">
        <f>"0.00518%"</f>
        <v>0.00518%</v>
      </c>
      <c r="C1851" t="s">
        <v>10</v>
      </c>
      <c r="D1851" t="s">
        <v>10</v>
      </c>
      <c r="E1851" t="str">
        <f>"$ 39,981"</f>
        <v>$ 39,981</v>
      </c>
      <c r="F1851" s="1">
        <v>2670</v>
      </c>
    </row>
    <row r="1852" spans="1:6">
      <c r="A1852" t="s">
        <v>1853</v>
      </c>
      <c r="B1852" t="str">
        <f>"0.00518%"</f>
        <v>0.00518%</v>
      </c>
      <c r="C1852" t="s">
        <v>10</v>
      </c>
      <c r="D1852" t="s">
        <v>10</v>
      </c>
      <c r="E1852" t="str">
        <f>"$ 40,035"</f>
        <v>$ 40,035</v>
      </c>
      <c r="F1852">
        <v>158</v>
      </c>
    </row>
    <row r="1853" spans="1:6">
      <c r="A1853" t="s">
        <v>1854</v>
      </c>
      <c r="B1853" t="str">
        <f>"0.00517%"</f>
        <v>0.00517%</v>
      </c>
      <c r="C1853" t="s">
        <v>10</v>
      </c>
      <c r="D1853" t="s">
        <v>10</v>
      </c>
      <c r="E1853" t="str">
        <f>"$ 39,913"</f>
        <v>$ 39,913</v>
      </c>
      <c r="F1853" s="1">
        <v>9236</v>
      </c>
    </row>
    <row r="1854" spans="1:6">
      <c r="A1854" t="s">
        <v>1855</v>
      </c>
      <c r="B1854" t="str">
        <f>"0.00516%"</f>
        <v>0.00516%</v>
      </c>
      <c r="C1854" t="s">
        <v>10</v>
      </c>
      <c r="D1854" t="s">
        <v>10</v>
      </c>
      <c r="E1854" t="str">
        <f>"$ 39,846"</f>
        <v>$ 39,846</v>
      </c>
      <c r="F1854" s="1">
        <v>1389</v>
      </c>
    </row>
    <row r="1855" spans="1:6">
      <c r="A1855" t="s">
        <v>1856</v>
      </c>
      <c r="B1855" t="str">
        <f>"0.00516%"</f>
        <v>0.00516%</v>
      </c>
      <c r="C1855" t="s">
        <v>10</v>
      </c>
      <c r="D1855" t="s">
        <v>10</v>
      </c>
      <c r="E1855" t="str">
        <f>"$ 39,834"</f>
        <v>$ 39,834</v>
      </c>
      <c r="F1855">
        <v>480</v>
      </c>
    </row>
    <row r="1856" spans="1:6">
      <c r="A1856" t="s">
        <v>1857</v>
      </c>
      <c r="B1856" t="str">
        <f t="shared" ref="B1856:B1861" si="1">"0.00515%"</f>
        <v>0.00515%</v>
      </c>
      <c r="C1856" t="s">
        <v>10</v>
      </c>
      <c r="D1856" t="s">
        <v>10</v>
      </c>
      <c r="E1856" t="str">
        <f>"$ 39,756"</f>
        <v>$ 39,756</v>
      </c>
      <c r="F1856">
        <v>874</v>
      </c>
    </row>
    <row r="1857" spans="1:6">
      <c r="A1857" t="s">
        <v>1858</v>
      </c>
      <c r="B1857" t="str">
        <f t="shared" si="1"/>
        <v>0.00515%</v>
      </c>
      <c r="C1857" t="s">
        <v>10</v>
      </c>
      <c r="D1857" t="s">
        <v>10</v>
      </c>
      <c r="E1857" t="str">
        <f>"$ 39,795"</f>
        <v>$ 39,795</v>
      </c>
      <c r="F1857">
        <v>363</v>
      </c>
    </row>
    <row r="1858" spans="1:6">
      <c r="A1858" t="s">
        <v>1859</v>
      </c>
      <c r="B1858" t="str">
        <f t="shared" si="1"/>
        <v>0.00515%</v>
      </c>
      <c r="C1858" t="s">
        <v>10</v>
      </c>
      <c r="D1858" t="s">
        <v>10</v>
      </c>
      <c r="E1858" t="str">
        <f>"$ 39,740"</f>
        <v>$ 39,740</v>
      </c>
      <c r="F1858">
        <v>335</v>
      </c>
    </row>
    <row r="1859" spans="1:6">
      <c r="A1859" t="s">
        <v>1860</v>
      </c>
      <c r="B1859" t="str">
        <f t="shared" si="1"/>
        <v>0.00515%</v>
      </c>
      <c r="C1859" t="s">
        <v>10</v>
      </c>
      <c r="D1859" t="s">
        <v>10</v>
      </c>
      <c r="E1859" t="str">
        <f>"$ 39,786"</f>
        <v>$ 39,786</v>
      </c>
      <c r="F1859">
        <v>623</v>
      </c>
    </row>
    <row r="1860" spans="1:6">
      <c r="A1860" t="s">
        <v>1861</v>
      </c>
      <c r="B1860" t="str">
        <f t="shared" si="1"/>
        <v>0.00515%</v>
      </c>
      <c r="C1860" t="s">
        <v>10</v>
      </c>
      <c r="D1860" t="s">
        <v>10</v>
      </c>
      <c r="E1860" t="str">
        <f>"$ 39,799"</f>
        <v>$ 39,799</v>
      </c>
      <c r="F1860" s="1">
        <v>2776</v>
      </c>
    </row>
    <row r="1861" spans="1:6">
      <c r="A1861" t="s">
        <v>1862</v>
      </c>
      <c r="B1861" t="str">
        <f t="shared" si="1"/>
        <v>0.00515%</v>
      </c>
      <c r="C1861" t="s">
        <v>10</v>
      </c>
      <c r="D1861" t="s">
        <v>10</v>
      </c>
      <c r="E1861" t="str">
        <f>"$ 39,730"</f>
        <v>$ 39,730</v>
      </c>
      <c r="F1861">
        <v>377</v>
      </c>
    </row>
    <row r="1862" spans="1:6">
      <c r="A1862" t="s">
        <v>1863</v>
      </c>
      <c r="B1862" t="str">
        <f>"0.00513%"</f>
        <v>0.00513%</v>
      </c>
      <c r="C1862" t="s">
        <v>10</v>
      </c>
      <c r="D1862" t="s">
        <v>10</v>
      </c>
      <c r="E1862" t="str">
        <f>"$ 39,627"</f>
        <v>$ 39,627</v>
      </c>
      <c r="F1862">
        <v>976</v>
      </c>
    </row>
    <row r="1863" spans="1:6">
      <c r="A1863" t="s">
        <v>1864</v>
      </c>
      <c r="B1863" t="str">
        <f>"0.00513%"</f>
        <v>0.00513%</v>
      </c>
      <c r="C1863" t="s">
        <v>10</v>
      </c>
      <c r="D1863" t="s">
        <v>10</v>
      </c>
      <c r="E1863" t="str">
        <f>"$ 39,605"</f>
        <v>$ 39,605</v>
      </c>
      <c r="F1863" s="1">
        <v>46072</v>
      </c>
    </row>
    <row r="1864" spans="1:6">
      <c r="A1864" t="s">
        <v>1865</v>
      </c>
      <c r="B1864" t="str">
        <f>"0.00513%"</f>
        <v>0.00513%</v>
      </c>
      <c r="C1864" t="s">
        <v>10</v>
      </c>
      <c r="D1864" t="s">
        <v>10</v>
      </c>
      <c r="E1864" t="str">
        <f>"$ 39,637"</f>
        <v>$ 39,637</v>
      </c>
      <c r="F1864" s="1">
        <v>12536</v>
      </c>
    </row>
    <row r="1865" spans="1:6">
      <c r="A1865" t="s">
        <v>1866</v>
      </c>
      <c r="B1865" t="str">
        <f>"0.00513%"</f>
        <v>0.00513%</v>
      </c>
      <c r="C1865" t="s">
        <v>10</v>
      </c>
      <c r="D1865" t="s">
        <v>10</v>
      </c>
      <c r="E1865" t="str">
        <f>"$ 39,620"</f>
        <v>$ 39,620</v>
      </c>
      <c r="F1865">
        <v>272</v>
      </c>
    </row>
    <row r="1866" spans="1:6">
      <c r="A1866" t="s">
        <v>1867</v>
      </c>
      <c r="B1866" t="str">
        <f>"0.00512%"</f>
        <v>0.00512%</v>
      </c>
      <c r="C1866" t="s">
        <v>10</v>
      </c>
      <c r="D1866" t="s">
        <v>10</v>
      </c>
      <c r="E1866" t="str">
        <f>"$ 39,533"</f>
        <v>$ 39,533</v>
      </c>
      <c r="F1866">
        <v>256</v>
      </c>
    </row>
    <row r="1867" spans="1:6">
      <c r="A1867" t="s">
        <v>1868</v>
      </c>
      <c r="B1867" t="str">
        <f>"0.00512%"</f>
        <v>0.00512%</v>
      </c>
      <c r="C1867" t="s">
        <v>10</v>
      </c>
      <c r="D1867" t="s">
        <v>10</v>
      </c>
      <c r="E1867" t="str">
        <f>"$ 39,504"</f>
        <v>$ 39,504</v>
      </c>
      <c r="F1867" s="1">
        <v>2935</v>
      </c>
    </row>
    <row r="1868" spans="1:6">
      <c r="A1868" t="s">
        <v>1869</v>
      </c>
      <c r="B1868" t="str">
        <f>"0.00511%"</f>
        <v>0.00511%</v>
      </c>
      <c r="C1868" t="s">
        <v>10</v>
      </c>
      <c r="D1868" t="s">
        <v>10</v>
      </c>
      <c r="E1868" t="str">
        <f>"$ 39,464"</f>
        <v>$ 39,464</v>
      </c>
      <c r="F1868" s="1">
        <v>1056</v>
      </c>
    </row>
    <row r="1869" spans="1:6">
      <c r="A1869" t="s">
        <v>1870</v>
      </c>
      <c r="B1869" t="str">
        <f>"0.00511%"</f>
        <v>0.00511%</v>
      </c>
      <c r="C1869" t="s">
        <v>10</v>
      </c>
      <c r="D1869" t="s">
        <v>10</v>
      </c>
      <c r="E1869" t="str">
        <f>"$ 39,425"</f>
        <v>$ 39,425</v>
      </c>
      <c r="F1869" s="1">
        <v>6603</v>
      </c>
    </row>
    <row r="1870" spans="1:6">
      <c r="A1870" t="s">
        <v>1871</v>
      </c>
      <c r="B1870" t="str">
        <f>"0.00510%"</f>
        <v>0.00510%</v>
      </c>
      <c r="C1870" t="s">
        <v>10</v>
      </c>
      <c r="D1870" t="s">
        <v>10</v>
      </c>
      <c r="E1870" t="str">
        <f>"$ 39,348"</f>
        <v>$ 39,348</v>
      </c>
      <c r="F1870">
        <v>278</v>
      </c>
    </row>
    <row r="1871" spans="1:6">
      <c r="A1871" t="s">
        <v>1872</v>
      </c>
      <c r="B1871" t="str">
        <f>"0.00509%"</f>
        <v>0.00509%</v>
      </c>
      <c r="C1871" t="s">
        <v>10</v>
      </c>
      <c r="D1871" t="s">
        <v>10</v>
      </c>
      <c r="E1871" t="str">
        <f>"$ 39,285"</f>
        <v>$ 39,285</v>
      </c>
      <c r="F1871" s="1">
        <v>2104</v>
      </c>
    </row>
    <row r="1872" spans="1:6">
      <c r="A1872" t="s">
        <v>1873</v>
      </c>
      <c r="B1872" t="str">
        <f>"0.00509%"</f>
        <v>0.00509%</v>
      </c>
      <c r="C1872" t="s">
        <v>10</v>
      </c>
      <c r="D1872" t="s">
        <v>10</v>
      </c>
      <c r="E1872" t="str">
        <f>"$ 39,309"</f>
        <v>$ 39,309</v>
      </c>
      <c r="F1872" s="1">
        <v>1929</v>
      </c>
    </row>
    <row r="1873" spans="1:6">
      <c r="A1873" t="s">
        <v>1874</v>
      </c>
      <c r="B1873" t="str">
        <f>"0.00509%"</f>
        <v>0.00509%</v>
      </c>
      <c r="C1873" t="s">
        <v>10</v>
      </c>
      <c r="D1873" t="s">
        <v>10</v>
      </c>
      <c r="E1873" t="str">
        <f>"$ 39,332"</f>
        <v>$ 39,332</v>
      </c>
      <c r="F1873">
        <v>399</v>
      </c>
    </row>
    <row r="1874" spans="1:6">
      <c r="A1874" t="s">
        <v>1875</v>
      </c>
      <c r="B1874" t="str">
        <f>"0.00509%"</f>
        <v>0.00509%</v>
      </c>
      <c r="C1874" t="s">
        <v>10</v>
      </c>
      <c r="D1874" t="s">
        <v>10</v>
      </c>
      <c r="E1874" t="str">
        <f>"$ 39,304"</f>
        <v>$ 39,304</v>
      </c>
      <c r="F1874" s="1">
        <v>3433</v>
      </c>
    </row>
    <row r="1875" spans="1:6">
      <c r="A1875" t="s">
        <v>1876</v>
      </c>
      <c r="B1875" t="str">
        <f>"0.00508%"</f>
        <v>0.00508%</v>
      </c>
      <c r="C1875" t="s">
        <v>10</v>
      </c>
      <c r="D1875" t="s">
        <v>10</v>
      </c>
      <c r="E1875" t="str">
        <f>"$ 39,250"</f>
        <v>$ 39,250</v>
      </c>
      <c r="F1875" s="1">
        <v>6347</v>
      </c>
    </row>
    <row r="1876" spans="1:6">
      <c r="A1876" t="s">
        <v>1877</v>
      </c>
      <c r="B1876" t="str">
        <f>"0.00508%"</f>
        <v>0.00508%</v>
      </c>
      <c r="C1876" t="s">
        <v>10</v>
      </c>
      <c r="D1876" t="s">
        <v>10</v>
      </c>
      <c r="E1876" t="str">
        <f>"$ 39,231"</f>
        <v>$ 39,231</v>
      </c>
      <c r="F1876" s="1">
        <v>5174</v>
      </c>
    </row>
    <row r="1877" spans="1:6">
      <c r="A1877" t="s">
        <v>1878</v>
      </c>
      <c r="B1877" t="str">
        <f>"0.00508%"</f>
        <v>0.00508%</v>
      </c>
      <c r="C1877" t="s">
        <v>10</v>
      </c>
      <c r="D1877" t="s">
        <v>10</v>
      </c>
      <c r="E1877" t="str">
        <f>"$ 39,233"</f>
        <v>$ 39,233</v>
      </c>
      <c r="F1877">
        <v>639</v>
      </c>
    </row>
    <row r="1878" spans="1:6">
      <c r="A1878" t="s">
        <v>1879</v>
      </c>
      <c r="B1878" t="str">
        <f>"0.00507%"</f>
        <v>0.00507%</v>
      </c>
      <c r="C1878" t="s">
        <v>10</v>
      </c>
      <c r="D1878" t="s">
        <v>10</v>
      </c>
      <c r="E1878" t="str">
        <f>"$ 39,175"</f>
        <v>$ 39,175</v>
      </c>
      <c r="F1878" s="1">
        <v>16822</v>
      </c>
    </row>
    <row r="1879" spans="1:6">
      <c r="A1879" t="s">
        <v>1880</v>
      </c>
      <c r="B1879" t="str">
        <f>"0.00506%"</f>
        <v>0.00506%</v>
      </c>
      <c r="C1879" t="s">
        <v>10</v>
      </c>
      <c r="D1879" t="s">
        <v>10</v>
      </c>
      <c r="E1879" t="str">
        <f>"$ 39,063"</f>
        <v>$ 39,063</v>
      </c>
      <c r="F1879">
        <v>324</v>
      </c>
    </row>
    <row r="1880" spans="1:6">
      <c r="A1880" t="s">
        <v>1881</v>
      </c>
      <c r="B1880" t="str">
        <f>"0.00506%"</f>
        <v>0.00506%</v>
      </c>
      <c r="C1880" t="s">
        <v>10</v>
      </c>
      <c r="D1880" t="s">
        <v>10</v>
      </c>
      <c r="E1880" t="str">
        <f>"$ 39,069"</f>
        <v>$ 39,069</v>
      </c>
      <c r="F1880" s="1">
        <v>6840</v>
      </c>
    </row>
    <row r="1881" spans="1:6">
      <c r="A1881" t="s">
        <v>1882</v>
      </c>
      <c r="B1881" t="str">
        <f>"0.00505%"</f>
        <v>0.00505%</v>
      </c>
      <c r="C1881" t="s">
        <v>10</v>
      </c>
      <c r="D1881" t="s">
        <v>10</v>
      </c>
      <c r="E1881" t="str">
        <f>"$ 39,027"</f>
        <v>$ 39,027</v>
      </c>
      <c r="F1881" s="1">
        <v>15191</v>
      </c>
    </row>
    <row r="1882" spans="1:6">
      <c r="A1882" t="s">
        <v>1883</v>
      </c>
      <c r="B1882" t="str">
        <f>"0.00504%"</f>
        <v>0.00504%</v>
      </c>
      <c r="C1882" t="s">
        <v>10</v>
      </c>
      <c r="D1882" t="s">
        <v>10</v>
      </c>
      <c r="E1882" t="str">
        <f>"$ 38,952"</f>
        <v>$ 38,952</v>
      </c>
      <c r="F1882">
        <v>693</v>
      </c>
    </row>
    <row r="1883" spans="1:6">
      <c r="A1883" t="s">
        <v>1884</v>
      </c>
      <c r="B1883" t="str">
        <f>"0.00504%"</f>
        <v>0.00504%</v>
      </c>
      <c r="C1883" t="s">
        <v>10</v>
      </c>
      <c r="D1883" t="s">
        <v>10</v>
      </c>
      <c r="E1883" t="str">
        <f>"$ 38,941"</f>
        <v>$ 38,941</v>
      </c>
      <c r="F1883">
        <v>556</v>
      </c>
    </row>
    <row r="1884" spans="1:6">
      <c r="A1884" t="s">
        <v>1885</v>
      </c>
      <c r="B1884" t="str">
        <f>"0.00504%"</f>
        <v>0.00504%</v>
      </c>
      <c r="C1884" t="s">
        <v>10</v>
      </c>
      <c r="D1884" t="s">
        <v>10</v>
      </c>
      <c r="E1884" t="str">
        <f>"$ 38,929"</f>
        <v>$ 38,929</v>
      </c>
      <c r="F1884">
        <v>491</v>
      </c>
    </row>
    <row r="1885" spans="1:6">
      <c r="A1885" t="s">
        <v>1886</v>
      </c>
      <c r="B1885" t="str">
        <f>"0.00504%"</f>
        <v>0.00504%</v>
      </c>
      <c r="C1885" t="s">
        <v>10</v>
      </c>
      <c r="D1885" t="s">
        <v>10</v>
      </c>
      <c r="E1885" t="str">
        <f>"$ 38,909"</f>
        <v>$ 38,909</v>
      </c>
      <c r="F1885">
        <v>310</v>
      </c>
    </row>
    <row r="1886" spans="1:6">
      <c r="A1886" t="s">
        <v>1887</v>
      </c>
      <c r="B1886" t="str">
        <f>"0.00504%"</f>
        <v>0.00504%</v>
      </c>
      <c r="C1886" t="s">
        <v>10</v>
      </c>
      <c r="D1886" t="s">
        <v>10</v>
      </c>
      <c r="E1886" t="str">
        <f>"$ 38,956"</f>
        <v>$ 38,956</v>
      </c>
      <c r="F1886" s="1">
        <v>1414</v>
      </c>
    </row>
    <row r="1887" spans="1:6">
      <c r="A1887" t="s">
        <v>1888</v>
      </c>
      <c r="B1887" t="str">
        <f>"0.00503%"</f>
        <v>0.00503%</v>
      </c>
      <c r="C1887" t="s">
        <v>10</v>
      </c>
      <c r="D1887" t="s">
        <v>10</v>
      </c>
      <c r="E1887" t="str">
        <f>"$ 38,806"</f>
        <v>$ 38,806</v>
      </c>
      <c r="F1887" s="1">
        <v>3311</v>
      </c>
    </row>
    <row r="1888" spans="1:6">
      <c r="A1888" t="s">
        <v>1889</v>
      </c>
      <c r="B1888" t="str">
        <f>"0.00503%"</f>
        <v>0.00503%</v>
      </c>
      <c r="C1888" t="s">
        <v>10</v>
      </c>
      <c r="D1888" t="s">
        <v>10</v>
      </c>
      <c r="E1888" t="str">
        <f>"$ 38,843"</f>
        <v>$ 38,843</v>
      </c>
      <c r="F1888">
        <v>243</v>
      </c>
    </row>
    <row r="1889" spans="1:6">
      <c r="A1889" t="s">
        <v>1890</v>
      </c>
      <c r="B1889" t="str">
        <f>"0.00503%"</f>
        <v>0.00503%</v>
      </c>
      <c r="C1889" t="s">
        <v>10</v>
      </c>
      <c r="D1889" t="s">
        <v>10</v>
      </c>
      <c r="E1889" t="str">
        <f>"$ 38,814"</f>
        <v>$ 38,814</v>
      </c>
      <c r="F1889" s="1">
        <v>1135</v>
      </c>
    </row>
    <row r="1890" spans="1:6">
      <c r="A1890" t="s">
        <v>1891</v>
      </c>
      <c r="B1890" t="str">
        <f>"0.00503%"</f>
        <v>0.00503%</v>
      </c>
      <c r="C1890" t="s">
        <v>10</v>
      </c>
      <c r="D1890" t="s">
        <v>10</v>
      </c>
      <c r="E1890" t="str">
        <f>"$ 38,835"</f>
        <v>$ 38,835</v>
      </c>
      <c r="F1890" s="1">
        <v>11259</v>
      </c>
    </row>
    <row r="1891" spans="1:6">
      <c r="A1891" t="s">
        <v>1892</v>
      </c>
      <c r="B1891" t="str">
        <f>"0.00503%"</f>
        <v>0.00503%</v>
      </c>
      <c r="C1891" t="s">
        <v>10</v>
      </c>
      <c r="D1891" t="s">
        <v>10</v>
      </c>
      <c r="E1891" t="str">
        <f>"$ 38,817"</f>
        <v>$ 38,817</v>
      </c>
      <c r="F1891">
        <v>269</v>
      </c>
    </row>
    <row r="1892" spans="1:6">
      <c r="A1892" t="s">
        <v>1893</v>
      </c>
      <c r="B1892" t="str">
        <f>"0.00502%"</f>
        <v>0.00502%</v>
      </c>
      <c r="C1892" t="s">
        <v>10</v>
      </c>
      <c r="D1892" t="s">
        <v>10</v>
      </c>
      <c r="E1892" t="str">
        <f>"$ 38,759"</f>
        <v>$ 38,759</v>
      </c>
      <c r="F1892" s="1">
        <v>3382</v>
      </c>
    </row>
    <row r="1893" spans="1:6">
      <c r="A1893" t="s">
        <v>1894</v>
      </c>
      <c r="B1893" t="str">
        <f>"0.00502%"</f>
        <v>0.00502%</v>
      </c>
      <c r="C1893" t="s">
        <v>10</v>
      </c>
      <c r="D1893" t="s">
        <v>10</v>
      </c>
      <c r="E1893" t="str">
        <f>"$ 38,734"</f>
        <v>$ 38,734</v>
      </c>
      <c r="F1893">
        <v>565</v>
      </c>
    </row>
    <row r="1894" spans="1:6">
      <c r="A1894" t="s">
        <v>1895</v>
      </c>
      <c r="B1894" t="str">
        <f>"0.00502%"</f>
        <v>0.00502%</v>
      </c>
      <c r="C1894" t="s">
        <v>10</v>
      </c>
      <c r="D1894" t="s">
        <v>10</v>
      </c>
      <c r="E1894" t="str">
        <f>"$ 38,762"</f>
        <v>$ 38,762</v>
      </c>
      <c r="F1894" s="1">
        <v>14225</v>
      </c>
    </row>
    <row r="1895" spans="1:6">
      <c r="A1895" t="s">
        <v>1896</v>
      </c>
      <c r="B1895" t="str">
        <f>"0.00501%"</f>
        <v>0.00501%</v>
      </c>
      <c r="C1895" t="s">
        <v>10</v>
      </c>
      <c r="D1895" t="s">
        <v>10</v>
      </c>
      <c r="E1895" t="str">
        <f>"$ 38,679"</f>
        <v>$ 38,679</v>
      </c>
      <c r="F1895">
        <v>200</v>
      </c>
    </row>
    <row r="1896" spans="1:6">
      <c r="A1896" t="s">
        <v>1897</v>
      </c>
      <c r="B1896" t="str">
        <f>"0.00500%"</f>
        <v>0.00500%</v>
      </c>
      <c r="C1896" t="s">
        <v>10</v>
      </c>
      <c r="D1896" t="s">
        <v>10</v>
      </c>
      <c r="E1896" t="str">
        <f>"$ 38,623"</f>
        <v>$ 38,623</v>
      </c>
      <c r="F1896" s="1">
        <v>2969</v>
      </c>
    </row>
    <row r="1897" spans="1:6">
      <c r="A1897" t="s">
        <v>1898</v>
      </c>
      <c r="B1897" t="str">
        <f>"0.00499%"</f>
        <v>0.00499%</v>
      </c>
      <c r="C1897" t="s">
        <v>10</v>
      </c>
      <c r="D1897" t="s">
        <v>10</v>
      </c>
      <c r="E1897" t="str">
        <f>"$ 38,530"</f>
        <v>$ 38,530</v>
      </c>
      <c r="F1897" s="1">
        <v>1683</v>
      </c>
    </row>
    <row r="1898" spans="1:6">
      <c r="A1898" t="s">
        <v>1899</v>
      </c>
      <c r="B1898" t="str">
        <f>"0.00499%"</f>
        <v>0.00499%</v>
      </c>
      <c r="C1898" t="s">
        <v>10</v>
      </c>
      <c r="D1898" t="s">
        <v>10</v>
      </c>
      <c r="E1898" t="str">
        <f>"$ 38,549"</f>
        <v>$ 38,549</v>
      </c>
      <c r="F1898" s="1">
        <v>3566</v>
      </c>
    </row>
    <row r="1899" spans="1:6">
      <c r="A1899" t="s">
        <v>1900</v>
      </c>
      <c r="B1899" t="str">
        <f>"0.00498%"</f>
        <v>0.00498%</v>
      </c>
      <c r="C1899" t="s">
        <v>10</v>
      </c>
      <c r="D1899" t="s">
        <v>10</v>
      </c>
      <c r="E1899" t="str">
        <f>"$ 38,485"</f>
        <v>$ 38,485</v>
      </c>
      <c r="F1899" s="1">
        <v>7741</v>
      </c>
    </row>
    <row r="1900" spans="1:6">
      <c r="A1900" t="s">
        <v>1901</v>
      </c>
      <c r="B1900" t="str">
        <f>"0.00498%"</f>
        <v>0.00498%</v>
      </c>
      <c r="C1900" t="s">
        <v>10</v>
      </c>
      <c r="D1900" t="s">
        <v>10</v>
      </c>
      <c r="E1900" t="str">
        <f>"$ 38,462"</f>
        <v>$ 38,462</v>
      </c>
      <c r="F1900" s="1">
        <v>1996</v>
      </c>
    </row>
    <row r="1901" spans="1:6">
      <c r="A1901" t="s">
        <v>1902</v>
      </c>
      <c r="B1901" t="str">
        <f>"0.00498%"</f>
        <v>0.00498%</v>
      </c>
      <c r="C1901" t="s">
        <v>10</v>
      </c>
      <c r="D1901" t="s">
        <v>10</v>
      </c>
      <c r="E1901" t="str">
        <f>"$ 38,424"</f>
        <v>$ 38,424</v>
      </c>
      <c r="F1901">
        <v>223</v>
      </c>
    </row>
    <row r="1902" spans="1:6">
      <c r="A1902" t="s">
        <v>1903</v>
      </c>
      <c r="B1902" t="str">
        <f>"0.00498%"</f>
        <v>0.00498%</v>
      </c>
      <c r="C1902" t="s">
        <v>10</v>
      </c>
      <c r="D1902" t="s">
        <v>10</v>
      </c>
      <c r="E1902" t="str">
        <f>"$ 38,457"</f>
        <v>$ 38,457</v>
      </c>
      <c r="F1902">
        <v>135</v>
      </c>
    </row>
    <row r="1903" spans="1:6">
      <c r="A1903" t="s">
        <v>1904</v>
      </c>
      <c r="B1903" t="str">
        <f>"0.00498%"</f>
        <v>0.00498%</v>
      </c>
      <c r="C1903" t="s">
        <v>10</v>
      </c>
      <c r="D1903" t="s">
        <v>10</v>
      </c>
      <c r="E1903" t="str">
        <f>"$ 38,466"</f>
        <v>$ 38,466</v>
      </c>
      <c r="F1903" s="1">
        <v>42546</v>
      </c>
    </row>
    <row r="1904" spans="1:6">
      <c r="A1904" t="s">
        <v>1905</v>
      </c>
      <c r="B1904" t="str">
        <f>"0.00497%"</f>
        <v>0.00497%</v>
      </c>
      <c r="C1904" t="s">
        <v>10</v>
      </c>
      <c r="D1904" t="s">
        <v>10</v>
      </c>
      <c r="E1904" t="str">
        <f>"$ 38,401"</f>
        <v>$ 38,401</v>
      </c>
      <c r="F1904" s="1">
        <v>22225</v>
      </c>
    </row>
    <row r="1905" spans="1:6">
      <c r="A1905" t="s">
        <v>1906</v>
      </c>
      <c r="B1905" t="str">
        <f t="shared" ref="B1905:B1910" si="2">"0.00496%"</f>
        <v>0.00496%</v>
      </c>
      <c r="C1905" t="s">
        <v>10</v>
      </c>
      <c r="D1905" t="s">
        <v>10</v>
      </c>
      <c r="E1905" t="str">
        <f>"$ 38,318"</f>
        <v>$ 38,318</v>
      </c>
      <c r="F1905">
        <v>270</v>
      </c>
    </row>
    <row r="1906" spans="1:6">
      <c r="A1906" t="s">
        <v>1907</v>
      </c>
      <c r="B1906" t="str">
        <f t="shared" si="2"/>
        <v>0.00496%</v>
      </c>
      <c r="C1906" t="s">
        <v>10</v>
      </c>
      <c r="D1906" t="s">
        <v>10</v>
      </c>
      <c r="E1906" t="str">
        <f>"$ 38,271"</f>
        <v>$ 38,271</v>
      </c>
      <c r="F1906">
        <v>181</v>
      </c>
    </row>
    <row r="1907" spans="1:6">
      <c r="A1907" t="s">
        <v>1908</v>
      </c>
      <c r="B1907" t="str">
        <f t="shared" si="2"/>
        <v>0.00496%</v>
      </c>
      <c r="C1907" t="s">
        <v>10</v>
      </c>
      <c r="D1907" t="s">
        <v>10</v>
      </c>
      <c r="E1907" t="str">
        <f>"$ 38,265"</f>
        <v>$ 38,265</v>
      </c>
      <c r="F1907">
        <v>689</v>
      </c>
    </row>
    <row r="1908" spans="1:6">
      <c r="A1908" t="s">
        <v>1909</v>
      </c>
      <c r="B1908" t="str">
        <f t="shared" si="2"/>
        <v>0.00496%</v>
      </c>
      <c r="C1908" t="s">
        <v>10</v>
      </c>
      <c r="D1908" t="s">
        <v>10</v>
      </c>
      <c r="E1908" t="str">
        <f>"$ 38,302"</f>
        <v>$ 38,302</v>
      </c>
      <c r="F1908">
        <v>392</v>
      </c>
    </row>
    <row r="1909" spans="1:6">
      <c r="A1909" t="s">
        <v>1910</v>
      </c>
      <c r="B1909" t="str">
        <f t="shared" si="2"/>
        <v>0.00496%</v>
      </c>
      <c r="C1909" t="s">
        <v>10</v>
      </c>
      <c r="D1909" t="s">
        <v>10</v>
      </c>
      <c r="E1909" t="str">
        <f>"$ 38,336"</f>
        <v>$ 38,336</v>
      </c>
      <c r="F1909" s="1">
        <v>1587</v>
      </c>
    </row>
    <row r="1910" spans="1:6">
      <c r="A1910" t="s">
        <v>1911</v>
      </c>
      <c r="B1910" t="str">
        <f t="shared" si="2"/>
        <v>0.00496%</v>
      </c>
      <c r="C1910" t="s">
        <v>10</v>
      </c>
      <c r="D1910" t="s">
        <v>10</v>
      </c>
      <c r="E1910" t="str">
        <f>"$ 38,320"</f>
        <v>$ 38,320</v>
      </c>
      <c r="F1910">
        <v>688</v>
      </c>
    </row>
    <row r="1911" spans="1:6">
      <c r="A1911" t="s">
        <v>1912</v>
      </c>
      <c r="B1911" t="str">
        <f>"0.00495%"</f>
        <v>0.00495%</v>
      </c>
      <c r="C1911" t="s">
        <v>10</v>
      </c>
      <c r="D1911" t="s">
        <v>10</v>
      </c>
      <c r="E1911" t="str">
        <f>"$ 38,217"</f>
        <v>$ 38,217</v>
      </c>
      <c r="F1911" s="1">
        <v>2128</v>
      </c>
    </row>
    <row r="1912" spans="1:6">
      <c r="A1912" t="s">
        <v>1913</v>
      </c>
      <c r="B1912" t="str">
        <f>"0.00495%"</f>
        <v>0.00495%</v>
      </c>
      <c r="C1912" t="s">
        <v>10</v>
      </c>
      <c r="D1912" t="s">
        <v>10</v>
      </c>
      <c r="E1912" t="str">
        <f>"$ 38,188"</f>
        <v>$ 38,188</v>
      </c>
      <c r="F1912">
        <v>990</v>
      </c>
    </row>
    <row r="1913" spans="1:6">
      <c r="A1913" t="s">
        <v>1914</v>
      </c>
      <c r="B1913" t="str">
        <f>"0.00495%"</f>
        <v>0.00495%</v>
      </c>
      <c r="C1913" t="s">
        <v>10</v>
      </c>
      <c r="D1913" t="s">
        <v>10</v>
      </c>
      <c r="E1913" t="str">
        <f>"$ 38,189"</f>
        <v>$ 38,189</v>
      </c>
      <c r="F1913">
        <v>528</v>
      </c>
    </row>
    <row r="1914" spans="1:6">
      <c r="A1914" t="s">
        <v>1915</v>
      </c>
      <c r="B1914" t="str">
        <f>"0.00495%"</f>
        <v>0.00495%</v>
      </c>
      <c r="C1914" t="s">
        <v>10</v>
      </c>
      <c r="D1914" t="s">
        <v>10</v>
      </c>
      <c r="E1914" t="str">
        <f>"$ 38,195"</f>
        <v>$ 38,195</v>
      </c>
      <c r="F1914">
        <v>499</v>
      </c>
    </row>
    <row r="1915" spans="1:6">
      <c r="A1915" t="s">
        <v>1916</v>
      </c>
      <c r="B1915" t="str">
        <f>"0.00494%"</f>
        <v>0.00494%</v>
      </c>
      <c r="C1915" t="s">
        <v>10</v>
      </c>
      <c r="D1915" t="s">
        <v>10</v>
      </c>
      <c r="E1915" t="str">
        <f>"$ 38,168"</f>
        <v>$ 38,168</v>
      </c>
      <c r="F1915" s="1">
        <v>1046</v>
      </c>
    </row>
    <row r="1916" spans="1:6">
      <c r="A1916" t="s">
        <v>1917</v>
      </c>
      <c r="B1916" t="str">
        <f>"0.00494%"</f>
        <v>0.00494%</v>
      </c>
      <c r="C1916" t="s">
        <v>10</v>
      </c>
      <c r="D1916" t="s">
        <v>10</v>
      </c>
      <c r="E1916" t="str">
        <f>"$ 38,180"</f>
        <v>$ 38,180</v>
      </c>
      <c r="F1916" s="1">
        <v>1016</v>
      </c>
    </row>
    <row r="1917" spans="1:6">
      <c r="A1917" t="s">
        <v>1918</v>
      </c>
      <c r="B1917" t="str">
        <f>"0.00494%"</f>
        <v>0.00494%</v>
      </c>
      <c r="C1917" t="s">
        <v>10</v>
      </c>
      <c r="D1917" t="s">
        <v>10</v>
      </c>
      <c r="E1917" t="str">
        <f>"$ 38,172"</f>
        <v>$ 38,172</v>
      </c>
      <c r="F1917">
        <v>639</v>
      </c>
    </row>
    <row r="1918" spans="1:6">
      <c r="A1918" t="s">
        <v>1919</v>
      </c>
      <c r="B1918" t="str">
        <f>"0.00494%"</f>
        <v>0.00494%</v>
      </c>
      <c r="C1918" t="s">
        <v>10</v>
      </c>
      <c r="D1918" t="s">
        <v>10</v>
      </c>
      <c r="E1918" t="str">
        <f>"$ 38,184"</f>
        <v>$ 38,184</v>
      </c>
      <c r="F1918">
        <v>688</v>
      </c>
    </row>
    <row r="1919" spans="1:6">
      <c r="A1919" t="s">
        <v>1920</v>
      </c>
      <c r="B1919" t="str">
        <f>"0.00494%"</f>
        <v>0.00494%</v>
      </c>
      <c r="C1919" t="s">
        <v>10</v>
      </c>
      <c r="D1919" t="s">
        <v>10</v>
      </c>
      <c r="E1919" t="str">
        <f>"$ 38,159"</f>
        <v>$ 38,159</v>
      </c>
      <c r="F1919">
        <v>409</v>
      </c>
    </row>
    <row r="1920" spans="1:6">
      <c r="A1920" t="s">
        <v>1921</v>
      </c>
      <c r="B1920" t="str">
        <f>"0.00493%"</f>
        <v>0.00493%</v>
      </c>
      <c r="C1920" t="s">
        <v>10</v>
      </c>
      <c r="D1920" t="s">
        <v>10</v>
      </c>
      <c r="E1920" t="str">
        <f>"$ 38,047"</f>
        <v>$ 38,047</v>
      </c>
      <c r="F1920" s="1">
        <v>5633</v>
      </c>
    </row>
    <row r="1921" spans="1:6">
      <c r="A1921" t="s">
        <v>1922</v>
      </c>
      <c r="B1921" t="str">
        <f>"0.00493%"</f>
        <v>0.00493%</v>
      </c>
      <c r="C1921" t="s">
        <v>10</v>
      </c>
      <c r="D1921" t="s">
        <v>10</v>
      </c>
      <c r="E1921" t="str">
        <f>"$ 38,097"</f>
        <v>$ 38,097</v>
      </c>
      <c r="F1921" s="1">
        <v>3080</v>
      </c>
    </row>
    <row r="1922" spans="1:6">
      <c r="A1922" t="s">
        <v>1923</v>
      </c>
      <c r="B1922" t="str">
        <f>"0.00493%"</f>
        <v>0.00493%</v>
      </c>
      <c r="C1922" t="s">
        <v>10</v>
      </c>
      <c r="D1922" t="s">
        <v>10</v>
      </c>
      <c r="E1922" t="str">
        <f>"$ 38,064"</f>
        <v>$ 38,064</v>
      </c>
      <c r="F1922">
        <v>595</v>
      </c>
    </row>
    <row r="1923" spans="1:6">
      <c r="A1923" t="s">
        <v>1924</v>
      </c>
      <c r="B1923" t="str">
        <f>"0.00493%"</f>
        <v>0.00493%</v>
      </c>
      <c r="C1923" t="s">
        <v>10</v>
      </c>
      <c r="D1923" t="s">
        <v>10</v>
      </c>
      <c r="E1923" t="str">
        <f>"$ 38,048"</f>
        <v>$ 38,048</v>
      </c>
      <c r="F1923" s="1">
        <v>5121</v>
      </c>
    </row>
    <row r="1924" spans="1:6">
      <c r="A1924" t="s">
        <v>1925</v>
      </c>
      <c r="B1924" t="str">
        <f>"0.00492%"</f>
        <v>0.00492%</v>
      </c>
      <c r="C1924" t="s">
        <v>10</v>
      </c>
      <c r="D1924" t="s">
        <v>10</v>
      </c>
      <c r="E1924" t="str">
        <f>"$ 37,960"</f>
        <v>$ 37,960</v>
      </c>
      <c r="F1924" s="1">
        <v>12445</v>
      </c>
    </row>
    <row r="1925" spans="1:6">
      <c r="A1925" t="s">
        <v>1926</v>
      </c>
      <c r="B1925" t="str">
        <f>"0.00492%"</f>
        <v>0.00492%</v>
      </c>
      <c r="C1925" t="s">
        <v>10</v>
      </c>
      <c r="D1925" t="s">
        <v>10</v>
      </c>
      <c r="E1925" t="str">
        <f>"$ 37,983"</f>
        <v>$ 37,983</v>
      </c>
      <c r="F1925" s="1">
        <v>8271</v>
      </c>
    </row>
    <row r="1926" spans="1:6">
      <c r="A1926" t="s">
        <v>1927</v>
      </c>
      <c r="B1926" t="str">
        <f>"0.00492%"</f>
        <v>0.00492%</v>
      </c>
      <c r="C1926" t="s">
        <v>10</v>
      </c>
      <c r="D1926" t="s">
        <v>10</v>
      </c>
      <c r="E1926" t="str">
        <f>"$ 38,013"</f>
        <v>$ 38,013</v>
      </c>
      <c r="F1926">
        <v>165</v>
      </c>
    </row>
    <row r="1927" spans="1:6">
      <c r="A1927" t="s">
        <v>1928</v>
      </c>
      <c r="B1927" t="str">
        <f>"0.00492%"</f>
        <v>0.00492%</v>
      </c>
      <c r="C1927" t="s">
        <v>10</v>
      </c>
      <c r="D1927" t="s">
        <v>10</v>
      </c>
      <c r="E1927" t="str">
        <f>"$ 37,989"</f>
        <v>$ 37,989</v>
      </c>
      <c r="F1927" s="1">
        <v>4156</v>
      </c>
    </row>
    <row r="1928" spans="1:6">
      <c r="A1928" t="s">
        <v>1929</v>
      </c>
      <c r="B1928" t="str">
        <f>"0.00492%"</f>
        <v>0.00492%</v>
      </c>
      <c r="C1928" t="s">
        <v>10</v>
      </c>
      <c r="D1928" t="s">
        <v>10</v>
      </c>
      <c r="E1928" t="str">
        <f>"$ 37,975"</f>
        <v>$ 37,975</v>
      </c>
      <c r="F1928">
        <v>808</v>
      </c>
    </row>
    <row r="1929" spans="1:6">
      <c r="A1929" t="s">
        <v>1930</v>
      </c>
      <c r="B1929" t="str">
        <f>"0.00491%"</f>
        <v>0.00491%</v>
      </c>
      <c r="C1929" t="s">
        <v>10</v>
      </c>
      <c r="D1929" t="s">
        <v>10</v>
      </c>
      <c r="E1929" t="str">
        <f>"$ 37,890"</f>
        <v>$ 37,890</v>
      </c>
      <c r="F1929">
        <v>460</v>
      </c>
    </row>
    <row r="1930" spans="1:6">
      <c r="A1930" t="s">
        <v>1931</v>
      </c>
      <c r="B1930" t="str">
        <f>"0.00491%"</f>
        <v>0.00491%</v>
      </c>
      <c r="C1930" t="s">
        <v>10</v>
      </c>
      <c r="D1930" t="s">
        <v>10</v>
      </c>
      <c r="E1930" t="str">
        <f>"$ 37,910"</f>
        <v>$ 37,910</v>
      </c>
      <c r="F1930">
        <v>264</v>
      </c>
    </row>
    <row r="1931" spans="1:6">
      <c r="A1931" t="s">
        <v>1932</v>
      </c>
      <c r="B1931" t="str">
        <f>"0.00491%"</f>
        <v>0.00491%</v>
      </c>
      <c r="C1931" t="s">
        <v>10</v>
      </c>
      <c r="D1931" t="s">
        <v>10</v>
      </c>
      <c r="E1931" t="str">
        <f>"$ 37,906"</f>
        <v>$ 37,906</v>
      </c>
      <c r="F1931">
        <v>148</v>
      </c>
    </row>
    <row r="1932" spans="1:6">
      <c r="A1932" t="s">
        <v>1933</v>
      </c>
      <c r="B1932" t="str">
        <f>"0.00490%"</f>
        <v>0.00490%</v>
      </c>
      <c r="C1932" t="s">
        <v>10</v>
      </c>
      <c r="D1932" t="s">
        <v>10</v>
      </c>
      <c r="E1932" t="str">
        <f>"$ 37,831"</f>
        <v>$ 37,831</v>
      </c>
      <c r="F1932">
        <v>564</v>
      </c>
    </row>
    <row r="1933" spans="1:6">
      <c r="A1933" t="s">
        <v>1934</v>
      </c>
      <c r="B1933" t="str">
        <f>"0.00488%"</f>
        <v>0.00488%</v>
      </c>
      <c r="C1933" t="s">
        <v>10</v>
      </c>
      <c r="D1933" t="s">
        <v>10</v>
      </c>
      <c r="E1933" t="str">
        <f>"$ 37,697"</f>
        <v>$ 37,697</v>
      </c>
      <c r="F1933" s="1">
        <v>1748</v>
      </c>
    </row>
    <row r="1934" spans="1:6">
      <c r="A1934" t="s">
        <v>1935</v>
      </c>
      <c r="B1934" t="str">
        <f>"0.00488%"</f>
        <v>0.00488%</v>
      </c>
      <c r="C1934" t="s">
        <v>10</v>
      </c>
      <c r="D1934" t="s">
        <v>10</v>
      </c>
      <c r="E1934" t="str">
        <f>"$ 37,707"</f>
        <v>$ 37,707</v>
      </c>
      <c r="F1934">
        <v>335</v>
      </c>
    </row>
    <row r="1935" spans="1:6">
      <c r="A1935" t="s">
        <v>1936</v>
      </c>
      <c r="B1935" t="str">
        <f>"0.00488%"</f>
        <v>0.00488%</v>
      </c>
      <c r="C1935" t="s">
        <v>10</v>
      </c>
      <c r="D1935" t="s">
        <v>10</v>
      </c>
      <c r="E1935" t="str">
        <f>"$ 37,653"</f>
        <v>$ 37,653</v>
      </c>
      <c r="F1935" s="1">
        <v>1536</v>
      </c>
    </row>
    <row r="1936" spans="1:6">
      <c r="A1936" t="s">
        <v>1937</v>
      </c>
      <c r="B1936" t="str">
        <f>"0.00488%"</f>
        <v>0.00488%</v>
      </c>
      <c r="C1936" t="s">
        <v>10</v>
      </c>
      <c r="D1936" t="s">
        <v>10</v>
      </c>
      <c r="E1936" t="str">
        <f>"$ 37,685"</f>
        <v>$ 37,685</v>
      </c>
      <c r="F1936" s="1">
        <v>9658</v>
      </c>
    </row>
    <row r="1937" spans="1:6">
      <c r="A1937" t="s">
        <v>1938</v>
      </c>
      <c r="B1937" t="str">
        <f>"0.00487%"</f>
        <v>0.00487%</v>
      </c>
      <c r="C1937" t="s">
        <v>10</v>
      </c>
      <c r="D1937" t="s">
        <v>10</v>
      </c>
      <c r="E1937" t="str">
        <f>"$ 37,573"</f>
        <v>$ 37,573</v>
      </c>
      <c r="F1937">
        <v>493</v>
      </c>
    </row>
    <row r="1938" spans="1:6">
      <c r="A1938" t="s">
        <v>1939</v>
      </c>
      <c r="B1938" t="str">
        <f>"0.00486%"</f>
        <v>0.00486%</v>
      </c>
      <c r="C1938" t="s">
        <v>10</v>
      </c>
      <c r="D1938" t="s">
        <v>10</v>
      </c>
      <c r="E1938" t="str">
        <f>"$ 37,523"</f>
        <v>$ 37,523</v>
      </c>
      <c r="F1938">
        <v>666</v>
      </c>
    </row>
    <row r="1939" spans="1:6">
      <c r="A1939" t="s">
        <v>1940</v>
      </c>
      <c r="B1939" t="str">
        <f>"0.00486%"</f>
        <v>0.00486%</v>
      </c>
      <c r="C1939" t="s">
        <v>10</v>
      </c>
      <c r="D1939" t="s">
        <v>10</v>
      </c>
      <c r="E1939" t="str">
        <f>"$ 37,549"</f>
        <v>$ 37,549</v>
      </c>
      <c r="F1939">
        <v>253</v>
      </c>
    </row>
    <row r="1940" spans="1:6">
      <c r="A1940" t="s">
        <v>1941</v>
      </c>
      <c r="B1940" t="str">
        <f>"0.00486%"</f>
        <v>0.00486%</v>
      </c>
      <c r="C1940" t="s">
        <v>10</v>
      </c>
      <c r="D1940" t="s">
        <v>10</v>
      </c>
      <c r="E1940" t="str">
        <f>"$ 37,508"</f>
        <v>$ 37,508</v>
      </c>
      <c r="F1940" s="1">
        <v>2788</v>
      </c>
    </row>
    <row r="1941" spans="1:6">
      <c r="A1941" t="s">
        <v>1942</v>
      </c>
      <c r="B1941" t="str">
        <f t="shared" ref="B1941:B1948" si="3">"0.00484%"</f>
        <v>0.00484%</v>
      </c>
      <c r="C1941" t="s">
        <v>10</v>
      </c>
      <c r="D1941" t="s">
        <v>10</v>
      </c>
      <c r="E1941" t="str">
        <f>"$ 37,376"</f>
        <v>$ 37,376</v>
      </c>
      <c r="F1941" s="1">
        <v>9551</v>
      </c>
    </row>
    <row r="1942" spans="1:6">
      <c r="A1942" t="s">
        <v>1943</v>
      </c>
      <c r="B1942" t="str">
        <f t="shared" si="3"/>
        <v>0.00484%</v>
      </c>
      <c r="C1942" t="s">
        <v>10</v>
      </c>
      <c r="D1942" t="s">
        <v>10</v>
      </c>
      <c r="E1942" t="str">
        <f>"$ 37,345"</f>
        <v>$ 37,345</v>
      </c>
      <c r="F1942">
        <v>245</v>
      </c>
    </row>
    <row r="1943" spans="1:6">
      <c r="A1943" t="s">
        <v>1944</v>
      </c>
      <c r="B1943" t="str">
        <f t="shared" si="3"/>
        <v>0.00484%</v>
      </c>
      <c r="C1943" t="s">
        <v>10</v>
      </c>
      <c r="D1943" t="s">
        <v>10</v>
      </c>
      <c r="E1943" t="str">
        <f>"$ 37,345"</f>
        <v>$ 37,345</v>
      </c>
      <c r="F1943" s="1">
        <v>5848</v>
      </c>
    </row>
    <row r="1944" spans="1:6">
      <c r="A1944" t="s">
        <v>1945</v>
      </c>
      <c r="B1944" t="str">
        <f t="shared" si="3"/>
        <v>0.00484%</v>
      </c>
      <c r="C1944" t="s">
        <v>10</v>
      </c>
      <c r="D1944" t="s">
        <v>10</v>
      </c>
      <c r="E1944" t="str">
        <f>"$ 37,399"</f>
        <v>$ 37,399</v>
      </c>
      <c r="F1944" s="1">
        <v>53361</v>
      </c>
    </row>
    <row r="1945" spans="1:6">
      <c r="A1945" t="s">
        <v>1946</v>
      </c>
      <c r="B1945" t="str">
        <f t="shared" si="3"/>
        <v>0.00484%</v>
      </c>
      <c r="C1945" t="s">
        <v>10</v>
      </c>
      <c r="D1945" t="s">
        <v>10</v>
      </c>
      <c r="E1945" t="str">
        <f>"$ 37,337"</f>
        <v>$ 37,337</v>
      </c>
      <c r="F1945" s="1">
        <v>11340</v>
      </c>
    </row>
    <row r="1946" spans="1:6">
      <c r="A1946" t="s">
        <v>1947</v>
      </c>
      <c r="B1946" t="str">
        <f t="shared" si="3"/>
        <v>0.00484%</v>
      </c>
      <c r="C1946" t="s">
        <v>10</v>
      </c>
      <c r="D1946" t="s">
        <v>10</v>
      </c>
      <c r="E1946" t="str">
        <f>"$ 37,347"</f>
        <v>$ 37,347</v>
      </c>
      <c r="F1946" s="1">
        <v>17377</v>
      </c>
    </row>
    <row r="1947" spans="1:6">
      <c r="A1947" t="s">
        <v>1948</v>
      </c>
      <c r="B1947" t="str">
        <f t="shared" si="3"/>
        <v>0.00484%</v>
      </c>
      <c r="C1947" t="s">
        <v>10</v>
      </c>
      <c r="D1947" t="s">
        <v>10</v>
      </c>
      <c r="E1947" t="str">
        <f>"$ 37,349"</f>
        <v>$ 37,349</v>
      </c>
      <c r="F1947" s="1">
        <v>1303</v>
      </c>
    </row>
    <row r="1948" spans="1:6">
      <c r="A1948" t="s">
        <v>1949</v>
      </c>
      <c r="B1948" t="str">
        <f t="shared" si="3"/>
        <v>0.00484%</v>
      </c>
      <c r="C1948" t="s">
        <v>10</v>
      </c>
      <c r="D1948" t="s">
        <v>10</v>
      </c>
      <c r="E1948" t="str">
        <f>"$ 37,403"</f>
        <v>$ 37,403</v>
      </c>
      <c r="F1948" s="1">
        <v>1419</v>
      </c>
    </row>
    <row r="1949" spans="1:6">
      <c r="A1949" t="s">
        <v>1950</v>
      </c>
      <c r="B1949" t="str">
        <f>"0.00483%"</f>
        <v>0.00483%</v>
      </c>
      <c r="C1949" t="s">
        <v>10</v>
      </c>
      <c r="D1949" t="s">
        <v>10</v>
      </c>
      <c r="E1949" t="str">
        <f>"$ 37,271"</f>
        <v>$ 37,271</v>
      </c>
      <c r="F1949">
        <v>995</v>
      </c>
    </row>
    <row r="1950" spans="1:6">
      <c r="A1950" t="s">
        <v>1951</v>
      </c>
      <c r="B1950" t="str">
        <f>"0.00483%"</f>
        <v>0.00483%</v>
      </c>
      <c r="C1950" t="s">
        <v>10</v>
      </c>
      <c r="D1950" t="s">
        <v>10</v>
      </c>
      <c r="E1950" t="str">
        <f>"$ 37,276"</f>
        <v>$ 37,276</v>
      </c>
      <c r="F1950">
        <v>255</v>
      </c>
    </row>
    <row r="1951" spans="1:6">
      <c r="A1951" t="s">
        <v>1952</v>
      </c>
      <c r="B1951" t="str">
        <f>"0.00483%"</f>
        <v>0.00483%</v>
      </c>
      <c r="C1951" t="s">
        <v>10</v>
      </c>
      <c r="D1951" t="s">
        <v>10</v>
      </c>
      <c r="E1951" t="str">
        <f>"$ 37,282"</f>
        <v>$ 37,282</v>
      </c>
      <c r="F1951">
        <v>586</v>
      </c>
    </row>
    <row r="1952" spans="1:6">
      <c r="A1952" t="s">
        <v>1953</v>
      </c>
      <c r="B1952" t="str">
        <f>"0.00482%"</f>
        <v>0.00482%</v>
      </c>
      <c r="C1952" t="s">
        <v>10</v>
      </c>
      <c r="D1952" t="s">
        <v>10</v>
      </c>
      <c r="E1952" t="str">
        <f>"$ 37,217"</f>
        <v>$ 37,217</v>
      </c>
      <c r="F1952">
        <v>46</v>
      </c>
    </row>
    <row r="1953" spans="1:6">
      <c r="A1953" t="s">
        <v>1954</v>
      </c>
      <c r="B1953" t="str">
        <f>"0.00482%"</f>
        <v>0.00482%</v>
      </c>
      <c r="C1953" t="s">
        <v>10</v>
      </c>
      <c r="D1953" t="s">
        <v>10</v>
      </c>
      <c r="E1953" t="str">
        <f>"$ 37,224"</f>
        <v>$ 37,224</v>
      </c>
      <c r="F1953">
        <v>788</v>
      </c>
    </row>
    <row r="1954" spans="1:6">
      <c r="A1954" t="s">
        <v>1955</v>
      </c>
      <c r="B1954" t="str">
        <f>"0.00481%"</f>
        <v>0.00481%</v>
      </c>
      <c r="C1954" t="s">
        <v>10</v>
      </c>
      <c r="D1954" t="s">
        <v>10</v>
      </c>
      <c r="E1954" t="str">
        <f>"$ 37,122"</f>
        <v>$ 37,122</v>
      </c>
      <c r="F1954" s="1">
        <v>1442</v>
      </c>
    </row>
    <row r="1955" spans="1:6">
      <c r="A1955" t="s">
        <v>1956</v>
      </c>
      <c r="B1955" t="str">
        <f>"0.00481%"</f>
        <v>0.00481%</v>
      </c>
      <c r="C1955" t="s">
        <v>10</v>
      </c>
      <c r="D1955" t="s">
        <v>10</v>
      </c>
      <c r="E1955" t="str">
        <f>"$ 37,147"</f>
        <v>$ 37,147</v>
      </c>
      <c r="F1955">
        <v>318</v>
      </c>
    </row>
    <row r="1956" spans="1:6">
      <c r="A1956" t="s">
        <v>1957</v>
      </c>
      <c r="B1956" t="str">
        <f>"0.00480%"</f>
        <v>0.00480%</v>
      </c>
      <c r="C1956" t="s">
        <v>10</v>
      </c>
      <c r="D1956" t="s">
        <v>10</v>
      </c>
      <c r="E1956" t="str">
        <f>"$ 37,066"</f>
        <v>$ 37,066</v>
      </c>
      <c r="F1956" s="1">
        <v>4152</v>
      </c>
    </row>
    <row r="1957" spans="1:6">
      <c r="A1957" t="s">
        <v>1958</v>
      </c>
      <c r="B1957" t="str">
        <f>"0.00480%"</f>
        <v>0.00480%</v>
      </c>
      <c r="C1957" t="s">
        <v>10</v>
      </c>
      <c r="D1957" t="s">
        <v>10</v>
      </c>
      <c r="E1957" t="str">
        <f>"$ 37,041"</f>
        <v>$ 37,041</v>
      </c>
      <c r="F1957" s="1">
        <v>1430</v>
      </c>
    </row>
    <row r="1958" spans="1:6">
      <c r="A1958" t="s">
        <v>1959</v>
      </c>
      <c r="B1958" t="str">
        <f>"0.00480%"</f>
        <v>0.00480%</v>
      </c>
      <c r="C1958" t="s">
        <v>10</v>
      </c>
      <c r="D1958" t="s">
        <v>10</v>
      </c>
      <c r="E1958" t="str">
        <f>"$ 37,034"</f>
        <v>$ 37,034</v>
      </c>
      <c r="F1958">
        <v>688</v>
      </c>
    </row>
    <row r="1959" spans="1:6">
      <c r="A1959" t="s">
        <v>1960</v>
      </c>
      <c r="B1959" t="str">
        <f>"0.00479%"</f>
        <v>0.00479%</v>
      </c>
      <c r="C1959" t="s">
        <v>10</v>
      </c>
      <c r="D1959" t="s">
        <v>10</v>
      </c>
      <c r="E1959" t="str">
        <f>"$ 37,001"</f>
        <v>$ 37,001</v>
      </c>
      <c r="F1959" s="1">
        <v>2398</v>
      </c>
    </row>
    <row r="1960" spans="1:6">
      <c r="A1960" t="s">
        <v>1961</v>
      </c>
      <c r="B1960" t="str">
        <f>"0.00479%"</f>
        <v>0.00479%</v>
      </c>
      <c r="C1960" t="s">
        <v>10</v>
      </c>
      <c r="D1960" t="s">
        <v>10</v>
      </c>
      <c r="E1960" t="str">
        <f>"$ 36,964"</f>
        <v>$ 36,964</v>
      </c>
      <c r="F1960" s="1">
        <v>1241</v>
      </c>
    </row>
    <row r="1961" spans="1:6">
      <c r="A1961" t="s">
        <v>1962</v>
      </c>
      <c r="B1961" t="str">
        <f>"0.00479%"</f>
        <v>0.00479%</v>
      </c>
      <c r="C1961" t="s">
        <v>10</v>
      </c>
      <c r="D1961" t="s">
        <v>10</v>
      </c>
      <c r="E1961" t="str">
        <f>"$ 37,020"</f>
        <v>$ 37,020</v>
      </c>
      <c r="F1961">
        <v>121</v>
      </c>
    </row>
    <row r="1962" spans="1:6">
      <c r="A1962" t="s">
        <v>1963</v>
      </c>
      <c r="B1962" t="str">
        <f>"0.00479%"</f>
        <v>0.00479%</v>
      </c>
      <c r="C1962" t="s">
        <v>10</v>
      </c>
      <c r="D1962" t="s">
        <v>10</v>
      </c>
      <c r="E1962" t="str">
        <f>"$ 37,015"</f>
        <v>$ 37,015</v>
      </c>
      <c r="F1962" s="1">
        <v>3834</v>
      </c>
    </row>
    <row r="1963" spans="1:6">
      <c r="A1963" t="s">
        <v>1964</v>
      </c>
      <c r="B1963" t="str">
        <f>"0.00479%"</f>
        <v>0.00479%</v>
      </c>
      <c r="C1963" t="s">
        <v>10</v>
      </c>
      <c r="D1963" t="s">
        <v>10</v>
      </c>
      <c r="E1963" t="str">
        <f>"$ 36,986"</f>
        <v>$ 36,986</v>
      </c>
      <c r="F1963">
        <v>256</v>
      </c>
    </row>
    <row r="1964" spans="1:6">
      <c r="A1964" t="s">
        <v>1965</v>
      </c>
      <c r="B1964" t="str">
        <f>"0.00478%"</f>
        <v>0.00478%</v>
      </c>
      <c r="C1964" t="s">
        <v>10</v>
      </c>
      <c r="D1964" t="s">
        <v>10</v>
      </c>
      <c r="E1964" t="str">
        <f>"$ 36,874"</f>
        <v>$ 36,874</v>
      </c>
      <c r="F1964" s="1">
        <v>2313</v>
      </c>
    </row>
    <row r="1965" spans="1:6">
      <c r="A1965" t="s">
        <v>1966</v>
      </c>
      <c r="B1965" t="str">
        <f>"0.00478%"</f>
        <v>0.00478%</v>
      </c>
      <c r="C1965" t="s">
        <v>10</v>
      </c>
      <c r="D1965" t="s">
        <v>10</v>
      </c>
      <c r="E1965" t="str">
        <f>"$ 36,935"</f>
        <v>$ 36,935</v>
      </c>
      <c r="F1965" s="1">
        <v>2669</v>
      </c>
    </row>
    <row r="1966" spans="1:6">
      <c r="A1966" t="s">
        <v>1967</v>
      </c>
      <c r="B1966" t="str">
        <f>"0.00477%"</f>
        <v>0.00477%</v>
      </c>
      <c r="C1966" t="s">
        <v>10</v>
      </c>
      <c r="D1966" t="s">
        <v>10</v>
      </c>
      <c r="E1966" t="str">
        <f>"$ 36,865"</f>
        <v>$ 36,865</v>
      </c>
      <c r="F1966">
        <v>389</v>
      </c>
    </row>
    <row r="1967" spans="1:6">
      <c r="A1967" t="s">
        <v>1968</v>
      </c>
      <c r="B1967" t="str">
        <f>"0.00476%"</f>
        <v>0.00476%</v>
      </c>
      <c r="C1967" t="s">
        <v>10</v>
      </c>
      <c r="D1967" t="s">
        <v>10</v>
      </c>
      <c r="E1967" t="str">
        <f>"$ 36,779"</f>
        <v>$ 36,779</v>
      </c>
      <c r="F1967" s="1">
        <v>7951</v>
      </c>
    </row>
    <row r="1968" spans="1:6">
      <c r="A1968" t="s">
        <v>1969</v>
      </c>
      <c r="B1968" t="str">
        <f>"0.00476%"</f>
        <v>0.00476%</v>
      </c>
      <c r="C1968" t="s">
        <v>10</v>
      </c>
      <c r="D1968" t="s">
        <v>10</v>
      </c>
      <c r="E1968" t="str">
        <f>"$ 36,726"</f>
        <v>$ 36,726</v>
      </c>
      <c r="F1968">
        <v>288</v>
      </c>
    </row>
    <row r="1969" spans="1:6">
      <c r="A1969" t="s">
        <v>1970</v>
      </c>
      <c r="B1969" t="str">
        <f>"0.00475%"</f>
        <v>0.00475%</v>
      </c>
      <c r="C1969" t="s">
        <v>10</v>
      </c>
      <c r="D1969" t="s">
        <v>10</v>
      </c>
      <c r="E1969" t="str">
        <f>"$ 36,686"</f>
        <v>$ 36,686</v>
      </c>
      <c r="F1969" s="1">
        <v>7031</v>
      </c>
    </row>
    <row r="1970" spans="1:6">
      <c r="A1970" t="s">
        <v>1971</v>
      </c>
      <c r="B1970" t="str">
        <f>"0.00475%"</f>
        <v>0.00475%</v>
      </c>
      <c r="C1970" t="s">
        <v>10</v>
      </c>
      <c r="D1970" t="s">
        <v>10</v>
      </c>
      <c r="E1970" t="str">
        <f>"$ 36,641"</f>
        <v>$ 36,641</v>
      </c>
      <c r="F1970">
        <v>405</v>
      </c>
    </row>
    <row r="1971" spans="1:6">
      <c r="A1971" t="s">
        <v>1972</v>
      </c>
      <c r="B1971" t="str">
        <f>"0.00474%"</f>
        <v>0.00474%</v>
      </c>
      <c r="C1971" t="s">
        <v>10</v>
      </c>
      <c r="D1971" t="s">
        <v>10</v>
      </c>
      <c r="E1971" t="str">
        <f>"$ 36,636"</f>
        <v>$ 36,636</v>
      </c>
      <c r="F1971">
        <v>643</v>
      </c>
    </row>
    <row r="1972" spans="1:6">
      <c r="A1972" t="s">
        <v>1973</v>
      </c>
      <c r="B1972" t="str">
        <f>"0.00474%"</f>
        <v>0.00474%</v>
      </c>
      <c r="C1972" t="s">
        <v>10</v>
      </c>
      <c r="D1972" t="s">
        <v>10</v>
      </c>
      <c r="E1972" t="str">
        <f>"$ 36,606"</f>
        <v>$ 36,606</v>
      </c>
      <c r="F1972">
        <v>973</v>
      </c>
    </row>
    <row r="1973" spans="1:6">
      <c r="A1973" t="s">
        <v>1974</v>
      </c>
      <c r="B1973" t="str">
        <f>"0.00473%"</f>
        <v>0.00473%</v>
      </c>
      <c r="C1973" t="s">
        <v>10</v>
      </c>
      <c r="D1973" t="s">
        <v>10</v>
      </c>
      <c r="E1973" t="str">
        <f>"$ 36,506"</f>
        <v>$ 36,506</v>
      </c>
      <c r="F1973">
        <v>593</v>
      </c>
    </row>
    <row r="1974" spans="1:6">
      <c r="A1974" t="s">
        <v>1975</v>
      </c>
      <c r="B1974" t="str">
        <f>"0.00473%"</f>
        <v>0.00473%</v>
      </c>
      <c r="C1974" t="s">
        <v>10</v>
      </c>
      <c r="D1974" t="s">
        <v>10</v>
      </c>
      <c r="E1974" t="str">
        <f>"$ 36,501"</f>
        <v>$ 36,501</v>
      </c>
      <c r="F1974">
        <v>807</v>
      </c>
    </row>
    <row r="1975" spans="1:6">
      <c r="A1975" t="s">
        <v>1976</v>
      </c>
      <c r="B1975" t="str">
        <f>"0.00473%"</f>
        <v>0.00473%</v>
      </c>
      <c r="C1975" t="s">
        <v>10</v>
      </c>
      <c r="D1975" t="s">
        <v>10</v>
      </c>
      <c r="E1975" t="str">
        <f>"$ 36,509"</f>
        <v>$ 36,509</v>
      </c>
      <c r="F1975">
        <v>412</v>
      </c>
    </row>
    <row r="1976" spans="1:6">
      <c r="A1976" t="s">
        <v>1977</v>
      </c>
      <c r="B1976" t="str">
        <f>"0.00473%"</f>
        <v>0.00473%</v>
      </c>
      <c r="C1976" t="s">
        <v>10</v>
      </c>
      <c r="D1976" t="s">
        <v>10</v>
      </c>
      <c r="E1976" t="str">
        <f>"$ 36,502"</f>
        <v>$ 36,502</v>
      </c>
      <c r="F1976" s="1">
        <v>2780</v>
      </c>
    </row>
    <row r="1977" spans="1:6">
      <c r="A1977" t="s">
        <v>1978</v>
      </c>
      <c r="B1977" t="str">
        <f>"0.00472%"</f>
        <v>0.00472%</v>
      </c>
      <c r="C1977" t="s">
        <v>10</v>
      </c>
      <c r="D1977" t="s">
        <v>10</v>
      </c>
      <c r="E1977" t="str">
        <f>"$ 36,483"</f>
        <v>$ 36,483</v>
      </c>
      <c r="F1977">
        <v>374</v>
      </c>
    </row>
    <row r="1978" spans="1:6">
      <c r="A1978" t="s">
        <v>1979</v>
      </c>
      <c r="B1978" t="str">
        <f>"0.00471%"</f>
        <v>0.00471%</v>
      </c>
      <c r="C1978" t="s">
        <v>10</v>
      </c>
      <c r="D1978" t="s">
        <v>10</v>
      </c>
      <c r="E1978" t="str">
        <f>"$ 36,382"</f>
        <v>$ 36,382</v>
      </c>
      <c r="F1978">
        <v>335</v>
      </c>
    </row>
    <row r="1979" spans="1:6">
      <c r="A1979" t="s">
        <v>1980</v>
      </c>
      <c r="B1979" t="str">
        <f>"0.00471%"</f>
        <v>0.00471%</v>
      </c>
      <c r="C1979" t="s">
        <v>10</v>
      </c>
      <c r="D1979" t="s">
        <v>10</v>
      </c>
      <c r="E1979" t="str">
        <f>"$ 36,401"</f>
        <v>$ 36,401</v>
      </c>
      <c r="F1979" s="1">
        <v>9435</v>
      </c>
    </row>
    <row r="1980" spans="1:6">
      <c r="A1980" t="s">
        <v>1981</v>
      </c>
      <c r="B1980" t="str">
        <f>"0.00471%"</f>
        <v>0.00471%</v>
      </c>
      <c r="C1980" t="s">
        <v>10</v>
      </c>
      <c r="D1980" t="s">
        <v>10</v>
      </c>
      <c r="E1980" t="str">
        <f>"$ 36,386"</f>
        <v>$ 36,386</v>
      </c>
      <c r="F1980">
        <v>356</v>
      </c>
    </row>
    <row r="1981" spans="1:6">
      <c r="A1981" t="s">
        <v>1982</v>
      </c>
      <c r="B1981" t="str">
        <f>"0.00471%"</f>
        <v>0.00471%</v>
      </c>
      <c r="C1981" t="s">
        <v>10</v>
      </c>
      <c r="D1981" t="s">
        <v>10</v>
      </c>
      <c r="E1981" t="str">
        <f>"$ 36,337"</f>
        <v>$ 36,337</v>
      </c>
      <c r="F1981">
        <v>467</v>
      </c>
    </row>
    <row r="1982" spans="1:6">
      <c r="A1982" t="s">
        <v>1983</v>
      </c>
      <c r="B1982" t="str">
        <f>"0.00470%"</f>
        <v>0.00470%</v>
      </c>
      <c r="C1982" t="s">
        <v>10</v>
      </c>
      <c r="D1982" t="s">
        <v>10</v>
      </c>
      <c r="E1982" t="str">
        <f>"$ 36,313"</f>
        <v>$ 36,313</v>
      </c>
      <c r="F1982">
        <v>725</v>
      </c>
    </row>
    <row r="1983" spans="1:6">
      <c r="A1983" t="s">
        <v>1984</v>
      </c>
      <c r="B1983" t="str">
        <f>"0.00470%"</f>
        <v>0.00470%</v>
      </c>
      <c r="C1983" t="s">
        <v>10</v>
      </c>
      <c r="D1983" t="s">
        <v>10</v>
      </c>
      <c r="E1983" t="str">
        <f>"$ 36,266"</f>
        <v>$ 36,266</v>
      </c>
      <c r="F1983" s="1">
        <v>2971</v>
      </c>
    </row>
    <row r="1984" spans="1:6">
      <c r="A1984" t="s">
        <v>1985</v>
      </c>
      <c r="B1984" t="str">
        <f>"0.00470%"</f>
        <v>0.00470%</v>
      </c>
      <c r="C1984" t="s">
        <v>10</v>
      </c>
      <c r="D1984" t="s">
        <v>10</v>
      </c>
      <c r="E1984" t="str">
        <f>"$ 36,308"</f>
        <v>$ 36,308</v>
      </c>
      <c r="F1984" s="1">
        <v>1982</v>
      </c>
    </row>
    <row r="1985" spans="1:6">
      <c r="A1985" t="s">
        <v>1986</v>
      </c>
      <c r="B1985" t="str">
        <f>"0.00470%"</f>
        <v>0.00470%</v>
      </c>
      <c r="C1985" t="s">
        <v>10</v>
      </c>
      <c r="D1985" t="s">
        <v>10</v>
      </c>
      <c r="E1985" t="str">
        <f>"$ 36,292"</f>
        <v>$ 36,292</v>
      </c>
      <c r="F1985">
        <v>594</v>
      </c>
    </row>
    <row r="1986" spans="1:6">
      <c r="A1986" t="s">
        <v>1987</v>
      </c>
      <c r="B1986" t="str">
        <f>"0.00469%"</f>
        <v>0.00469%</v>
      </c>
      <c r="C1986" t="s">
        <v>10</v>
      </c>
      <c r="D1986" t="s">
        <v>10</v>
      </c>
      <c r="E1986" t="str">
        <f>"$ 36,240"</f>
        <v>$ 36,240</v>
      </c>
      <c r="F1986" s="1">
        <v>33980</v>
      </c>
    </row>
    <row r="1987" spans="1:6">
      <c r="A1987" t="s">
        <v>1988</v>
      </c>
      <c r="B1987" t="str">
        <f>"0.00468%"</f>
        <v>0.00468%</v>
      </c>
      <c r="C1987" t="s">
        <v>10</v>
      </c>
      <c r="D1987" t="s">
        <v>10</v>
      </c>
      <c r="E1987" t="str">
        <f>"$ 36,125"</f>
        <v>$ 36,125</v>
      </c>
      <c r="F1987" s="1">
        <v>18843</v>
      </c>
    </row>
    <row r="1988" spans="1:6">
      <c r="A1988" t="s">
        <v>1989</v>
      </c>
      <c r="B1988" t="str">
        <f>"0.00467%"</f>
        <v>0.00467%</v>
      </c>
      <c r="C1988" t="s">
        <v>10</v>
      </c>
      <c r="D1988" t="s">
        <v>10</v>
      </c>
      <c r="E1988" t="str">
        <f>"$ 36,029"</f>
        <v>$ 36,029</v>
      </c>
      <c r="F1988" s="1">
        <v>1814</v>
      </c>
    </row>
    <row r="1989" spans="1:6">
      <c r="A1989" t="s">
        <v>1990</v>
      </c>
      <c r="B1989" t="str">
        <f>"0.00467%"</f>
        <v>0.00467%</v>
      </c>
      <c r="C1989" t="s">
        <v>10</v>
      </c>
      <c r="D1989" t="s">
        <v>10</v>
      </c>
      <c r="E1989" t="str">
        <f>"$ 36,065"</f>
        <v>$ 36,065</v>
      </c>
      <c r="F1989" s="1">
        <v>4496</v>
      </c>
    </row>
    <row r="1990" spans="1:6">
      <c r="A1990" t="s">
        <v>1991</v>
      </c>
      <c r="B1990" t="str">
        <f>"0.00466%"</f>
        <v>0.00466%</v>
      </c>
      <c r="C1990" t="s">
        <v>10</v>
      </c>
      <c r="D1990" t="s">
        <v>10</v>
      </c>
      <c r="E1990" t="str">
        <f>"$ 36,017"</f>
        <v>$ 36,017</v>
      </c>
      <c r="F1990">
        <v>384</v>
      </c>
    </row>
    <row r="1991" spans="1:6">
      <c r="A1991" t="s">
        <v>1992</v>
      </c>
      <c r="B1991" t="str">
        <f>"0.00466%"</f>
        <v>0.00466%</v>
      </c>
      <c r="C1991" t="s">
        <v>10</v>
      </c>
      <c r="D1991" t="s">
        <v>10</v>
      </c>
      <c r="E1991" t="str">
        <f>"$ 35,969"</f>
        <v>$ 35,969</v>
      </c>
      <c r="F1991" s="1">
        <v>1047</v>
      </c>
    </row>
    <row r="1992" spans="1:6">
      <c r="A1992" t="s">
        <v>1993</v>
      </c>
      <c r="B1992" t="str">
        <f>"0.00466%"</f>
        <v>0.00466%</v>
      </c>
      <c r="C1992" t="s">
        <v>10</v>
      </c>
      <c r="D1992" t="s">
        <v>10</v>
      </c>
      <c r="E1992" t="str">
        <f>"$ 35,976"</f>
        <v>$ 35,976</v>
      </c>
      <c r="F1992" s="1">
        <v>13947</v>
      </c>
    </row>
    <row r="1993" spans="1:6">
      <c r="A1993" t="s">
        <v>1994</v>
      </c>
      <c r="B1993" t="str">
        <f>"0.00466%"</f>
        <v>0.00466%</v>
      </c>
      <c r="C1993" t="s">
        <v>10</v>
      </c>
      <c r="D1993" t="s">
        <v>10</v>
      </c>
      <c r="E1993" t="str">
        <f>"$ 35,948"</f>
        <v>$ 35,948</v>
      </c>
      <c r="F1993">
        <v>338</v>
      </c>
    </row>
    <row r="1994" spans="1:6">
      <c r="A1994" t="s">
        <v>1995</v>
      </c>
      <c r="B1994" t="str">
        <f>"0.00465%"</f>
        <v>0.00465%</v>
      </c>
      <c r="C1994" t="s">
        <v>10</v>
      </c>
      <c r="D1994" t="s">
        <v>10</v>
      </c>
      <c r="E1994" t="str">
        <f>"$ 35,936"</f>
        <v>$ 35,936</v>
      </c>
      <c r="F1994" s="1">
        <v>2315</v>
      </c>
    </row>
    <row r="1995" spans="1:6">
      <c r="A1995" t="s">
        <v>1996</v>
      </c>
      <c r="B1995" t="str">
        <f>"0.00465%"</f>
        <v>0.00465%</v>
      </c>
      <c r="C1995" t="s">
        <v>10</v>
      </c>
      <c r="D1995" t="s">
        <v>10</v>
      </c>
      <c r="E1995" t="str">
        <f>"$ 35,933"</f>
        <v>$ 35,933</v>
      </c>
      <c r="F1995">
        <v>315</v>
      </c>
    </row>
    <row r="1996" spans="1:6">
      <c r="A1996" t="s">
        <v>1997</v>
      </c>
      <c r="B1996" t="str">
        <f>"0.00464%"</f>
        <v>0.00464%</v>
      </c>
      <c r="C1996" t="s">
        <v>10</v>
      </c>
      <c r="D1996" t="s">
        <v>10</v>
      </c>
      <c r="E1996" t="str">
        <f>"$ 35,836"</f>
        <v>$ 35,836</v>
      </c>
      <c r="F1996" s="1">
        <v>6842</v>
      </c>
    </row>
    <row r="1997" spans="1:6">
      <c r="A1997" t="s">
        <v>1998</v>
      </c>
      <c r="B1997" t="str">
        <f>"0.00464%"</f>
        <v>0.00464%</v>
      </c>
      <c r="C1997" t="s">
        <v>10</v>
      </c>
      <c r="D1997" t="s">
        <v>10</v>
      </c>
      <c r="E1997" t="str">
        <f>"$ 35,866"</f>
        <v>$ 35,866</v>
      </c>
      <c r="F1997">
        <v>822</v>
      </c>
    </row>
    <row r="1998" spans="1:6">
      <c r="A1998" t="s">
        <v>1999</v>
      </c>
      <c r="B1998" t="str">
        <f>"0.00463%"</f>
        <v>0.00463%</v>
      </c>
      <c r="C1998" t="s">
        <v>10</v>
      </c>
      <c r="D1998" t="s">
        <v>10</v>
      </c>
      <c r="E1998" t="str">
        <f>"$ 35,724"</f>
        <v>$ 35,724</v>
      </c>
      <c r="F1998">
        <v>327</v>
      </c>
    </row>
    <row r="1999" spans="1:6">
      <c r="A1999" t="s">
        <v>2000</v>
      </c>
      <c r="B1999" t="str">
        <f>"0.00463%"</f>
        <v>0.00463%</v>
      </c>
      <c r="C1999" t="s">
        <v>10</v>
      </c>
      <c r="D1999" t="s">
        <v>10</v>
      </c>
      <c r="E1999" t="str">
        <f>"$ 35,726"</f>
        <v>$ 35,726</v>
      </c>
      <c r="F1999">
        <v>189</v>
      </c>
    </row>
    <row r="2000" spans="1:6">
      <c r="A2000" t="s">
        <v>2001</v>
      </c>
      <c r="B2000" t="str">
        <f>"0.00462%"</f>
        <v>0.00462%</v>
      </c>
      <c r="C2000" t="s">
        <v>10</v>
      </c>
      <c r="D2000" t="s">
        <v>10</v>
      </c>
      <c r="E2000" t="str">
        <f>"$ 35,703"</f>
        <v>$ 35,703</v>
      </c>
      <c r="F2000" s="1">
        <v>1977</v>
      </c>
    </row>
    <row r="2001" spans="1:6">
      <c r="A2001" t="s">
        <v>2002</v>
      </c>
      <c r="B2001" t="str">
        <f>"0.00462%"</f>
        <v>0.00462%</v>
      </c>
      <c r="C2001" t="s">
        <v>10</v>
      </c>
      <c r="D2001" t="s">
        <v>10</v>
      </c>
      <c r="E2001" t="str">
        <f>"$ 35,661"</f>
        <v>$ 35,661</v>
      </c>
      <c r="F2001">
        <v>793</v>
      </c>
    </row>
    <row r="2002" spans="1:6">
      <c r="A2002" t="s">
        <v>2003</v>
      </c>
      <c r="B2002" t="str">
        <f>"0.00462%"</f>
        <v>0.00462%</v>
      </c>
      <c r="C2002" t="s">
        <v>10</v>
      </c>
      <c r="D2002" t="s">
        <v>10</v>
      </c>
      <c r="E2002" t="str">
        <f>"$ 35,702"</f>
        <v>$ 35,702</v>
      </c>
      <c r="F2002">
        <v>462</v>
      </c>
    </row>
    <row r="2003" spans="1:6">
      <c r="A2003" t="s">
        <v>2004</v>
      </c>
      <c r="B2003" t="str">
        <f>"0.00462%"</f>
        <v>0.00462%</v>
      </c>
      <c r="C2003" t="s">
        <v>10</v>
      </c>
      <c r="D2003" t="s">
        <v>10</v>
      </c>
      <c r="E2003" t="str">
        <f>"$ 35,682"</f>
        <v>$ 35,682</v>
      </c>
      <c r="F2003" s="1">
        <v>1760</v>
      </c>
    </row>
    <row r="2004" spans="1:6">
      <c r="A2004" t="s">
        <v>2005</v>
      </c>
      <c r="B2004" t="str">
        <f>"0.00461%"</f>
        <v>0.00461%</v>
      </c>
      <c r="C2004" t="s">
        <v>10</v>
      </c>
      <c r="D2004" t="s">
        <v>10</v>
      </c>
      <c r="E2004" t="str">
        <f>"$ 35,593"</f>
        <v>$ 35,593</v>
      </c>
      <c r="F2004" s="1">
        <v>1256</v>
      </c>
    </row>
    <row r="2005" spans="1:6">
      <c r="A2005" t="s">
        <v>2006</v>
      </c>
      <c r="B2005" t="str">
        <f>"0.00461%"</f>
        <v>0.00461%</v>
      </c>
      <c r="C2005" t="s">
        <v>10</v>
      </c>
      <c r="D2005" t="s">
        <v>10</v>
      </c>
      <c r="E2005" t="str">
        <f>"$ 35,595"</f>
        <v>$ 35,595</v>
      </c>
      <c r="F2005" s="1">
        <v>58594</v>
      </c>
    </row>
    <row r="2006" spans="1:6">
      <c r="A2006" t="s">
        <v>2007</v>
      </c>
      <c r="B2006" t="str">
        <f>"0.00461%"</f>
        <v>0.00461%</v>
      </c>
      <c r="C2006" t="s">
        <v>10</v>
      </c>
      <c r="D2006" t="s">
        <v>10</v>
      </c>
      <c r="E2006" t="str">
        <f>"$ 35,626"</f>
        <v>$ 35,626</v>
      </c>
      <c r="F2006" s="1">
        <v>4189</v>
      </c>
    </row>
    <row r="2007" spans="1:6">
      <c r="A2007" t="s">
        <v>2008</v>
      </c>
      <c r="B2007" t="str">
        <f>"0.00460%"</f>
        <v>0.00460%</v>
      </c>
      <c r="C2007" t="s">
        <v>10</v>
      </c>
      <c r="D2007" t="s">
        <v>10</v>
      </c>
      <c r="E2007" t="str">
        <f>"$ 35,504"</f>
        <v>$ 35,504</v>
      </c>
      <c r="F2007" s="1">
        <v>1272</v>
      </c>
    </row>
    <row r="2008" spans="1:6">
      <c r="A2008" t="s">
        <v>2009</v>
      </c>
      <c r="B2008" t="str">
        <f>"0.00460%"</f>
        <v>0.00460%</v>
      </c>
      <c r="C2008" t="s">
        <v>10</v>
      </c>
      <c r="D2008" t="s">
        <v>10</v>
      </c>
      <c r="E2008" t="str">
        <f>"$ 35,497"</f>
        <v>$ 35,497</v>
      </c>
      <c r="F2008" s="1">
        <v>20284</v>
      </c>
    </row>
    <row r="2009" spans="1:6">
      <c r="A2009" t="s">
        <v>2010</v>
      </c>
      <c r="B2009" t="str">
        <f>"0.00459%"</f>
        <v>0.00459%</v>
      </c>
      <c r="C2009" t="s">
        <v>10</v>
      </c>
      <c r="D2009" t="s">
        <v>10</v>
      </c>
      <c r="E2009" t="str">
        <f>"$ 35,469"</f>
        <v>$ 35,469</v>
      </c>
      <c r="F2009">
        <v>258</v>
      </c>
    </row>
    <row r="2010" spans="1:6">
      <c r="A2010" t="s">
        <v>2011</v>
      </c>
      <c r="B2010" t="str">
        <f>"0.00459%"</f>
        <v>0.00459%</v>
      </c>
      <c r="C2010" t="s">
        <v>10</v>
      </c>
      <c r="D2010" t="s">
        <v>10</v>
      </c>
      <c r="E2010" t="str">
        <f>"$ 35,407"</f>
        <v>$ 35,407</v>
      </c>
      <c r="F2010" s="1">
        <v>6349</v>
      </c>
    </row>
    <row r="2011" spans="1:6">
      <c r="A2011" t="s">
        <v>2012</v>
      </c>
      <c r="B2011" t="str">
        <f>"0.00459%"</f>
        <v>0.00459%</v>
      </c>
      <c r="C2011" t="s">
        <v>10</v>
      </c>
      <c r="D2011" t="s">
        <v>10</v>
      </c>
      <c r="E2011" t="str">
        <f>"$ 35,480"</f>
        <v>$ 35,480</v>
      </c>
      <c r="F2011">
        <v>154</v>
      </c>
    </row>
    <row r="2012" spans="1:6">
      <c r="A2012" t="s">
        <v>2013</v>
      </c>
      <c r="B2012" t="str">
        <f>"0.00459%"</f>
        <v>0.00459%</v>
      </c>
      <c r="C2012" t="s">
        <v>10</v>
      </c>
      <c r="D2012" t="s">
        <v>10</v>
      </c>
      <c r="E2012" t="str">
        <f>"$ 35,443"</f>
        <v>$ 35,443</v>
      </c>
      <c r="F2012" s="1">
        <v>1650</v>
      </c>
    </row>
    <row r="2013" spans="1:6">
      <c r="A2013" t="s">
        <v>2014</v>
      </c>
      <c r="B2013" t="str">
        <f>"0.00458%"</f>
        <v>0.00458%</v>
      </c>
      <c r="C2013" t="s">
        <v>10</v>
      </c>
      <c r="D2013" t="s">
        <v>10</v>
      </c>
      <c r="E2013" t="str">
        <f>"$ 35,377"</f>
        <v>$ 35,377</v>
      </c>
      <c r="F2013">
        <v>317</v>
      </c>
    </row>
    <row r="2014" spans="1:6">
      <c r="A2014" t="s">
        <v>2015</v>
      </c>
      <c r="B2014" t="str">
        <f>"0.00458%"</f>
        <v>0.00458%</v>
      </c>
      <c r="C2014" t="s">
        <v>10</v>
      </c>
      <c r="D2014" t="s">
        <v>10</v>
      </c>
      <c r="E2014" t="str">
        <f>"$ 35,331"</f>
        <v>$ 35,331</v>
      </c>
      <c r="F2014" s="1">
        <v>2392</v>
      </c>
    </row>
    <row r="2015" spans="1:6">
      <c r="A2015" t="s">
        <v>2016</v>
      </c>
      <c r="B2015" t="str">
        <f>"0.00458%"</f>
        <v>0.00458%</v>
      </c>
      <c r="C2015" t="s">
        <v>10</v>
      </c>
      <c r="D2015" t="s">
        <v>10</v>
      </c>
      <c r="E2015" t="str">
        <f>"$ 35,369"</f>
        <v>$ 35,369</v>
      </c>
      <c r="F2015" s="1">
        <v>20148</v>
      </c>
    </row>
    <row r="2016" spans="1:6">
      <c r="A2016" t="s">
        <v>2017</v>
      </c>
      <c r="B2016" t="str">
        <f>"0.00458%"</f>
        <v>0.00458%</v>
      </c>
      <c r="C2016" t="s">
        <v>10</v>
      </c>
      <c r="D2016" t="s">
        <v>10</v>
      </c>
      <c r="E2016" t="str">
        <f>"$ 35,396"</f>
        <v>$ 35,396</v>
      </c>
      <c r="F2016" s="1">
        <v>1054</v>
      </c>
    </row>
    <row r="2017" spans="1:6">
      <c r="A2017" t="s">
        <v>2018</v>
      </c>
      <c r="B2017" t="str">
        <f>"0.00457%"</f>
        <v>0.00457%</v>
      </c>
      <c r="C2017" t="s">
        <v>10</v>
      </c>
      <c r="D2017" t="s">
        <v>10</v>
      </c>
      <c r="E2017" t="str">
        <f>"$ 35,304"</f>
        <v>$ 35,304</v>
      </c>
      <c r="F2017" s="1">
        <v>43477</v>
      </c>
    </row>
    <row r="2018" spans="1:6">
      <c r="A2018" t="s">
        <v>2019</v>
      </c>
      <c r="B2018" t="str">
        <f>"0.00457%"</f>
        <v>0.00457%</v>
      </c>
      <c r="C2018" t="s">
        <v>10</v>
      </c>
      <c r="D2018" t="s">
        <v>10</v>
      </c>
      <c r="E2018" t="str">
        <f>"$ 35,285"</f>
        <v>$ 35,285</v>
      </c>
      <c r="F2018">
        <v>872</v>
      </c>
    </row>
    <row r="2019" spans="1:6">
      <c r="A2019" t="s">
        <v>2020</v>
      </c>
      <c r="B2019" t="str">
        <f>"0.00457%"</f>
        <v>0.00457%</v>
      </c>
      <c r="C2019" t="s">
        <v>10</v>
      </c>
      <c r="D2019" t="s">
        <v>10</v>
      </c>
      <c r="E2019" t="str">
        <f>"$ 35,288"</f>
        <v>$ 35,288</v>
      </c>
      <c r="F2019" s="1">
        <v>9307</v>
      </c>
    </row>
    <row r="2020" spans="1:6">
      <c r="A2020" t="s">
        <v>2021</v>
      </c>
      <c r="B2020" t="str">
        <f>"0.00457%"</f>
        <v>0.00457%</v>
      </c>
      <c r="C2020" t="s">
        <v>10</v>
      </c>
      <c r="D2020" t="s">
        <v>10</v>
      </c>
      <c r="E2020" t="str">
        <f>"$ 35,284"</f>
        <v>$ 35,284</v>
      </c>
      <c r="F2020">
        <v>577</v>
      </c>
    </row>
    <row r="2021" spans="1:6">
      <c r="A2021" t="s">
        <v>2022</v>
      </c>
      <c r="B2021" t="str">
        <f>"0.00456%"</f>
        <v>0.00456%</v>
      </c>
      <c r="C2021" t="s">
        <v>10</v>
      </c>
      <c r="D2021" t="s">
        <v>10</v>
      </c>
      <c r="E2021" t="str">
        <f>"$ 35,208"</f>
        <v>$ 35,208</v>
      </c>
      <c r="F2021" s="1">
        <v>81531</v>
      </c>
    </row>
    <row r="2022" spans="1:6">
      <c r="A2022" t="s">
        <v>2023</v>
      </c>
      <c r="B2022" t="str">
        <f>"0.00455%"</f>
        <v>0.00455%</v>
      </c>
      <c r="C2022" t="s">
        <v>10</v>
      </c>
      <c r="D2022" t="s">
        <v>10</v>
      </c>
      <c r="E2022" t="str">
        <f>"$ 35,132"</f>
        <v>$ 35,132</v>
      </c>
      <c r="F2022" s="1">
        <v>4041</v>
      </c>
    </row>
    <row r="2023" spans="1:6">
      <c r="A2023" t="s">
        <v>2024</v>
      </c>
      <c r="B2023" t="str">
        <f>"0.00455%"</f>
        <v>0.00455%</v>
      </c>
      <c r="C2023" t="s">
        <v>10</v>
      </c>
      <c r="D2023" t="s">
        <v>10</v>
      </c>
      <c r="E2023" t="str">
        <f>"$ 35,164"</f>
        <v>$ 35,164</v>
      </c>
      <c r="F2023" s="1">
        <v>1617</v>
      </c>
    </row>
    <row r="2024" spans="1:6">
      <c r="A2024" t="s">
        <v>2025</v>
      </c>
      <c r="B2024" t="str">
        <f>"0.00455%"</f>
        <v>0.00455%</v>
      </c>
      <c r="C2024" t="s">
        <v>10</v>
      </c>
      <c r="D2024" t="s">
        <v>10</v>
      </c>
      <c r="E2024" t="str">
        <f>"$ 35,128"</f>
        <v>$ 35,128</v>
      </c>
      <c r="F2024" s="1">
        <v>1136</v>
      </c>
    </row>
    <row r="2025" spans="1:6">
      <c r="A2025" t="s">
        <v>2026</v>
      </c>
      <c r="B2025" t="str">
        <f>"0.00455%"</f>
        <v>0.00455%</v>
      </c>
      <c r="C2025" t="s">
        <v>10</v>
      </c>
      <c r="D2025" t="s">
        <v>10</v>
      </c>
      <c r="E2025" t="str">
        <f>"$ 35,116"</f>
        <v>$ 35,116</v>
      </c>
      <c r="F2025" s="1">
        <v>5076</v>
      </c>
    </row>
    <row r="2026" spans="1:6">
      <c r="A2026" t="s">
        <v>2027</v>
      </c>
      <c r="B2026" t="str">
        <f>"0.00455%"</f>
        <v>0.00455%</v>
      </c>
      <c r="C2026" t="s">
        <v>10</v>
      </c>
      <c r="D2026" t="s">
        <v>10</v>
      </c>
      <c r="E2026" t="str">
        <f>"$ 35,144"</f>
        <v>$ 35,144</v>
      </c>
      <c r="F2026">
        <v>924</v>
      </c>
    </row>
    <row r="2027" spans="1:6">
      <c r="A2027" t="s">
        <v>2028</v>
      </c>
      <c r="B2027" t="str">
        <f>"0.00454%"</f>
        <v>0.00454%</v>
      </c>
      <c r="C2027" t="s">
        <v>10</v>
      </c>
      <c r="D2027" t="s">
        <v>10</v>
      </c>
      <c r="E2027" t="str">
        <f>"$ 35,085"</f>
        <v>$ 35,085</v>
      </c>
      <c r="F2027">
        <v>813</v>
      </c>
    </row>
    <row r="2028" spans="1:6">
      <c r="A2028" t="s">
        <v>2029</v>
      </c>
      <c r="B2028" t="str">
        <f>"0.00454%"</f>
        <v>0.00454%</v>
      </c>
      <c r="C2028" t="s">
        <v>10</v>
      </c>
      <c r="D2028" t="s">
        <v>10</v>
      </c>
      <c r="E2028" t="str">
        <f>"$ 35,084"</f>
        <v>$ 35,084</v>
      </c>
      <c r="F2028" s="1">
        <v>36042</v>
      </c>
    </row>
    <row r="2029" spans="1:6">
      <c r="A2029" t="s">
        <v>2030</v>
      </c>
      <c r="B2029" t="str">
        <f>"0.00453%"</f>
        <v>0.00453%</v>
      </c>
      <c r="C2029" t="s">
        <v>10</v>
      </c>
      <c r="D2029" t="s">
        <v>10</v>
      </c>
      <c r="E2029" t="str">
        <f>"$ 34,983"</f>
        <v>$ 34,983</v>
      </c>
      <c r="F2029">
        <v>67</v>
      </c>
    </row>
    <row r="2030" spans="1:6">
      <c r="A2030" t="s">
        <v>2031</v>
      </c>
      <c r="B2030" t="str">
        <f>"0.00452%"</f>
        <v>0.00452%</v>
      </c>
      <c r="C2030" t="s">
        <v>10</v>
      </c>
      <c r="D2030" t="s">
        <v>10</v>
      </c>
      <c r="E2030" t="str">
        <f>"$ 34,906"</f>
        <v>$ 34,906</v>
      </c>
      <c r="F2030" s="1">
        <v>27051</v>
      </c>
    </row>
    <row r="2031" spans="1:6">
      <c r="A2031" t="s">
        <v>2032</v>
      </c>
      <c r="B2031" t="str">
        <f>"0.00452%"</f>
        <v>0.00452%</v>
      </c>
      <c r="C2031" t="s">
        <v>10</v>
      </c>
      <c r="D2031" t="s">
        <v>10</v>
      </c>
      <c r="E2031" t="str">
        <f>"$ 34,928"</f>
        <v>$ 34,928</v>
      </c>
      <c r="F2031">
        <v>194</v>
      </c>
    </row>
    <row r="2032" spans="1:6">
      <c r="A2032" t="s">
        <v>2033</v>
      </c>
      <c r="B2032" t="str">
        <f>"0.00452%"</f>
        <v>0.00452%</v>
      </c>
      <c r="C2032" t="s">
        <v>10</v>
      </c>
      <c r="D2032" t="s">
        <v>10</v>
      </c>
      <c r="E2032" t="str">
        <f>"$ 34,929"</f>
        <v>$ 34,929</v>
      </c>
      <c r="F2032" s="1">
        <v>17490</v>
      </c>
    </row>
    <row r="2033" spans="1:6">
      <c r="A2033" t="s">
        <v>2034</v>
      </c>
      <c r="B2033" t="str">
        <f>"0.00451%"</f>
        <v>0.00451%</v>
      </c>
      <c r="C2033" t="s">
        <v>10</v>
      </c>
      <c r="D2033" t="s">
        <v>10</v>
      </c>
      <c r="E2033" t="str">
        <f>"$ 34,807"</f>
        <v>$ 34,807</v>
      </c>
      <c r="F2033">
        <v>441</v>
      </c>
    </row>
    <row r="2034" spans="1:6">
      <c r="A2034" t="s">
        <v>2035</v>
      </c>
      <c r="B2034" t="str">
        <f>"0.00451%"</f>
        <v>0.00451%</v>
      </c>
      <c r="C2034" t="s">
        <v>10</v>
      </c>
      <c r="D2034" t="s">
        <v>10</v>
      </c>
      <c r="E2034" t="str">
        <f>"$ 34,831"</f>
        <v>$ 34,831</v>
      </c>
      <c r="F2034">
        <v>610</v>
      </c>
    </row>
    <row r="2035" spans="1:6">
      <c r="A2035" t="s">
        <v>2036</v>
      </c>
      <c r="B2035" t="str">
        <f>"0.00451%"</f>
        <v>0.00451%</v>
      </c>
      <c r="C2035" t="s">
        <v>10</v>
      </c>
      <c r="D2035" t="s">
        <v>10</v>
      </c>
      <c r="E2035" t="str">
        <f>"$ 34,846"</f>
        <v>$ 34,846</v>
      </c>
      <c r="F2035">
        <v>228</v>
      </c>
    </row>
    <row r="2036" spans="1:6">
      <c r="A2036" t="s">
        <v>2037</v>
      </c>
      <c r="B2036" t="str">
        <f>"0.00450%"</f>
        <v>0.00450%</v>
      </c>
      <c r="C2036" t="s">
        <v>10</v>
      </c>
      <c r="D2036" t="s">
        <v>10</v>
      </c>
      <c r="E2036" t="str">
        <f>"$ 34,720"</f>
        <v>$ 34,720</v>
      </c>
      <c r="F2036">
        <v>732</v>
      </c>
    </row>
    <row r="2037" spans="1:6">
      <c r="A2037" t="s">
        <v>2038</v>
      </c>
      <c r="B2037" t="str">
        <f>"0.00450%"</f>
        <v>0.00450%</v>
      </c>
      <c r="C2037" t="s">
        <v>10</v>
      </c>
      <c r="D2037" t="s">
        <v>10</v>
      </c>
      <c r="E2037" t="str">
        <f>"$ 34,732"</f>
        <v>$ 34,732</v>
      </c>
      <c r="F2037" s="1">
        <v>1353</v>
      </c>
    </row>
    <row r="2038" spans="1:6">
      <c r="A2038" t="s">
        <v>2039</v>
      </c>
      <c r="B2038" t="str">
        <f>"0.00450%"</f>
        <v>0.00450%</v>
      </c>
      <c r="C2038" t="s">
        <v>10</v>
      </c>
      <c r="D2038" t="s">
        <v>10</v>
      </c>
      <c r="E2038" t="str">
        <f>"$ 34,730"</f>
        <v>$ 34,730</v>
      </c>
      <c r="F2038" s="1">
        <v>13064</v>
      </c>
    </row>
    <row r="2039" spans="1:6">
      <c r="A2039" t="s">
        <v>2040</v>
      </c>
      <c r="B2039" t="str">
        <f>"0.00450%"</f>
        <v>0.00450%</v>
      </c>
      <c r="C2039" t="s">
        <v>10</v>
      </c>
      <c r="D2039" t="s">
        <v>10</v>
      </c>
      <c r="E2039" t="str">
        <f>"$ 34,727"</f>
        <v>$ 34,727</v>
      </c>
      <c r="F2039">
        <v>315</v>
      </c>
    </row>
    <row r="2040" spans="1:6">
      <c r="A2040" t="s">
        <v>2041</v>
      </c>
      <c r="B2040" t="str">
        <f>"0.00449%"</f>
        <v>0.00449%</v>
      </c>
      <c r="C2040" t="s">
        <v>10</v>
      </c>
      <c r="D2040" t="s">
        <v>10</v>
      </c>
      <c r="E2040" t="str">
        <f>"$ 34,667"</f>
        <v>$ 34,667</v>
      </c>
      <c r="F2040" s="1">
        <v>4832</v>
      </c>
    </row>
    <row r="2041" spans="1:6">
      <c r="A2041" t="s">
        <v>2042</v>
      </c>
      <c r="B2041" t="str">
        <f>"0.00449%"</f>
        <v>0.00449%</v>
      </c>
      <c r="C2041" t="s">
        <v>10</v>
      </c>
      <c r="D2041" t="s">
        <v>10</v>
      </c>
      <c r="E2041" t="str">
        <f>"$ 34,657"</f>
        <v>$ 34,657</v>
      </c>
      <c r="F2041" s="1">
        <v>1056</v>
      </c>
    </row>
    <row r="2042" spans="1:6">
      <c r="A2042" t="s">
        <v>2043</v>
      </c>
      <c r="B2042" t="str">
        <f>"0.00448%"</f>
        <v>0.00448%</v>
      </c>
      <c r="C2042" t="s">
        <v>10</v>
      </c>
      <c r="D2042" t="s">
        <v>10</v>
      </c>
      <c r="E2042" t="str">
        <f>"$ 34,631"</f>
        <v>$ 34,631</v>
      </c>
      <c r="F2042" s="1">
        <v>20737</v>
      </c>
    </row>
    <row r="2043" spans="1:6">
      <c r="A2043" t="s">
        <v>2044</v>
      </c>
      <c r="B2043" t="str">
        <f>"0.00448%"</f>
        <v>0.00448%</v>
      </c>
      <c r="C2043" t="s">
        <v>10</v>
      </c>
      <c r="D2043" t="s">
        <v>10</v>
      </c>
      <c r="E2043" t="str">
        <f>"$ 34,558"</f>
        <v>$ 34,558</v>
      </c>
      <c r="F2043">
        <v>811</v>
      </c>
    </row>
    <row r="2044" spans="1:6">
      <c r="A2044" t="s">
        <v>2045</v>
      </c>
      <c r="B2044" t="str">
        <f>"0.00448%"</f>
        <v>0.00448%</v>
      </c>
      <c r="C2044" t="s">
        <v>10</v>
      </c>
      <c r="D2044" t="s">
        <v>10</v>
      </c>
      <c r="E2044" t="str">
        <f>"$ 34,616"</f>
        <v>$ 34,616</v>
      </c>
      <c r="F2044" s="1">
        <v>1864</v>
      </c>
    </row>
    <row r="2045" spans="1:6">
      <c r="A2045" t="s">
        <v>2046</v>
      </c>
      <c r="B2045" t="str">
        <f>"0.00447%"</f>
        <v>0.00447%</v>
      </c>
      <c r="C2045" t="s">
        <v>10</v>
      </c>
      <c r="D2045" t="s">
        <v>10</v>
      </c>
      <c r="E2045" t="str">
        <f>"$ 34,548"</f>
        <v>$ 34,548</v>
      </c>
      <c r="F2045" s="1">
        <v>1858</v>
      </c>
    </row>
    <row r="2046" spans="1:6">
      <c r="A2046" t="s">
        <v>2047</v>
      </c>
      <c r="B2046" t="str">
        <f>"0.00447%"</f>
        <v>0.00447%</v>
      </c>
      <c r="C2046" t="s">
        <v>10</v>
      </c>
      <c r="D2046" t="s">
        <v>10</v>
      </c>
      <c r="E2046" t="str">
        <f>"$ 34,544"</f>
        <v>$ 34,544</v>
      </c>
      <c r="F2046" s="1">
        <v>1186</v>
      </c>
    </row>
    <row r="2047" spans="1:6">
      <c r="A2047" t="s">
        <v>2048</v>
      </c>
      <c r="B2047" t="str">
        <f>"0.00447%"</f>
        <v>0.00447%</v>
      </c>
      <c r="C2047" t="s">
        <v>10</v>
      </c>
      <c r="D2047" t="s">
        <v>10</v>
      </c>
      <c r="E2047" t="str">
        <f>"$ 34,539"</f>
        <v>$ 34,539</v>
      </c>
      <c r="F2047" s="1">
        <v>1784</v>
      </c>
    </row>
    <row r="2048" spans="1:6">
      <c r="A2048" t="s">
        <v>2049</v>
      </c>
      <c r="B2048" t="str">
        <f>"0.00447%"</f>
        <v>0.00447%</v>
      </c>
      <c r="C2048" t="s">
        <v>10</v>
      </c>
      <c r="D2048" t="s">
        <v>10</v>
      </c>
      <c r="E2048" t="str">
        <f>"$ 34,552"</f>
        <v>$ 34,552</v>
      </c>
      <c r="F2048" s="1">
        <v>1077</v>
      </c>
    </row>
    <row r="2049" spans="1:6">
      <c r="A2049" t="s">
        <v>2050</v>
      </c>
      <c r="B2049" t="str">
        <f>"0.00447%"</f>
        <v>0.00447%</v>
      </c>
      <c r="C2049" t="s">
        <v>10</v>
      </c>
      <c r="D2049" t="s">
        <v>10</v>
      </c>
      <c r="E2049" t="str">
        <f>"$ 34,522"</f>
        <v>$ 34,522</v>
      </c>
      <c r="F2049">
        <v>991</v>
      </c>
    </row>
    <row r="2050" spans="1:6">
      <c r="A2050" t="s">
        <v>2051</v>
      </c>
      <c r="B2050" t="str">
        <f>"0.00446%"</f>
        <v>0.00446%</v>
      </c>
      <c r="C2050" t="s">
        <v>10</v>
      </c>
      <c r="D2050" t="s">
        <v>10</v>
      </c>
      <c r="E2050" t="str">
        <f>"$ 34,407"</f>
        <v>$ 34,407</v>
      </c>
      <c r="F2050">
        <v>726</v>
      </c>
    </row>
    <row r="2051" spans="1:6">
      <c r="A2051" t="s">
        <v>2052</v>
      </c>
      <c r="B2051" t="str">
        <f>"0.00446%"</f>
        <v>0.00446%</v>
      </c>
      <c r="C2051" t="s">
        <v>10</v>
      </c>
      <c r="D2051" t="s">
        <v>10</v>
      </c>
      <c r="E2051" t="str">
        <f>"$ 34,441"</f>
        <v>$ 34,441</v>
      </c>
      <c r="F2051" s="1">
        <v>8907</v>
      </c>
    </row>
    <row r="2052" spans="1:6">
      <c r="A2052" t="s">
        <v>2053</v>
      </c>
      <c r="B2052" t="str">
        <f>"0.00445%"</f>
        <v>0.00445%</v>
      </c>
      <c r="C2052" t="s">
        <v>10</v>
      </c>
      <c r="D2052" t="s">
        <v>10</v>
      </c>
      <c r="E2052" t="str">
        <f>"$ 34,328"</f>
        <v>$ 34,328</v>
      </c>
      <c r="F2052">
        <v>282</v>
      </c>
    </row>
    <row r="2053" spans="1:6">
      <c r="A2053" t="s">
        <v>2054</v>
      </c>
      <c r="B2053" t="str">
        <f>"0.00445%"</f>
        <v>0.00445%</v>
      </c>
      <c r="C2053" t="s">
        <v>10</v>
      </c>
      <c r="D2053" t="s">
        <v>10</v>
      </c>
      <c r="E2053" t="str">
        <f>"$ 34,325"</f>
        <v>$ 34,325</v>
      </c>
      <c r="F2053" s="1">
        <v>1656</v>
      </c>
    </row>
    <row r="2054" spans="1:6">
      <c r="A2054" t="s">
        <v>2055</v>
      </c>
      <c r="B2054" t="str">
        <f>"0.00443%"</f>
        <v>0.00443%</v>
      </c>
      <c r="C2054" t="s">
        <v>10</v>
      </c>
      <c r="D2054" t="s">
        <v>10</v>
      </c>
      <c r="E2054" t="str">
        <f>"$ 34,173"</f>
        <v>$ 34,173</v>
      </c>
      <c r="F2054" s="1">
        <v>8858</v>
      </c>
    </row>
    <row r="2055" spans="1:6">
      <c r="A2055" t="s">
        <v>2056</v>
      </c>
      <c r="B2055" t="str">
        <f>"0.00443%"</f>
        <v>0.00443%</v>
      </c>
      <c r="C2055" t="s">
        <v>10</v>
      </c>
      <c r="D2055" t="s">
        <v>10</v>
      </c>
      <c r="E2055" t="str">
        <f>"$ 34,176"</f>
        <v>$ 34,176</v>
      </c>
      <c r="F2055">
        <v>623</v>
      </c>
    </row>
    <row r="2056" spans="1:6">
      <c r="A2056" t="s">
        <v>2057</v>
      </c>
      <c r="B2056" t="str">
        <f>"0.00443%"</f>
        <v>0.00443%</v>
      </c>
      <c r="C2056" t="s">
        <v>10</v>
      </c>
      <c r="D2056" t="s">
        <v>10</v>
      </c>
      <c r="E2056" t="str">
        <f>"$ 34,175"</f>
        <v>$ 34,175</v>
      </c>
      <c r="F2056" s="1">
        <v>1254</v>
      </c>
    </row>
    <row r="2057" spans="1:6">
      <c r="A2057" t="s">
        <v>2058</v>
      </c>
      <c r="B2057" t="str">
        <f>"0.00443%"</f>
        <v>0.00443%</v>
      </c>
      <c r="C2057" t="s">
        <v>10</v>
      </c>
      <c r="D2057" t="s">
        <v>10</v>
      </c>
      <c r="E2057" t="str">
        <f>"$ 34,246"</f>
        <v>$ 34,246</v>
      </c>
      <c r="F2057" s="1">
        <v>21342</v>
      </c>
    </row>
    <row r="2058" spans="1:6">
      <c r="A2058" t="s">
        <v>2059</v>
      </c>
      <c r="B2058" t="str">
        <f t="shared" ref="B2058:B2064" si="4">"0.00442%"</f>
        <v>0.00442%</v>
      </c>
      <c r="C2058" t="s">
        <v>10</v>
      </c>
      <c r="D2058" t="s">
        <v>10</v>
      </c>
      <c r="E2058" t="str">
        <f>"$ 34,093"</f>
        <v>$ 34,093</v>
      </c>
      <c r="F2058" s="1">
        <v>1758</v>
      </c>
    </row>
    <row r="2059" spans="1:6">
      <c r="A2059" t="s">
        <v>2060</v>
      </c>
      <c r="B2059" t="str">
        <f t="shared" si="4"/>
        <v>0.00442%</v>
      </c>
      <c r="C2059" t="s">
        <v>10</v>
      </c>
      <c r="D2059" t="s">
        <v>10</v>
      </c>
      <c r="E2059" t="str">
        <f>"$ 34,119"</f>
        <v>$ 34,119</v>
      </c>
      <c r="F2059">
        <v>764</v>
      </c>
    </row>
    <row r="2060" spans="1:6">
      <c r="A2060" t="s">
        <v>2061</v>
      </c>
      <c r="B2060" t="str">
        <f t="shared" si="4"/>
        <v>0.00442%</v>
      </c>
      <c r="C2060" t="s">
        <v>10</v>
      </c>
      <c r="D2060" t="s">
        <v>10</v>
      </c>
      <c r="E2060" t="str">
        <f>"$ 34,168"</f>
        <v>$ 34,168</v>
      </c>
      <c r="F2060">
        <v>606</v>
      </c>
    </row>
    <row r="2061" spans="1:6">
      <c r="A2061" t="s">
        <v>2062</v>
      </c>
      <c r="B2061" t="str">
        <f t="shared" si="4"/>
        <v>0.00442%</v>
      </c>
      <c r="C2061" t="s">
        <v>10</v>
      </c>
      <c r="D2061" t="s">
        <v>10</v>
      </c>
      <c r="E2061" t="str">
        <f>"$ 34,112"</f>
        <v>$ 34,112</v>
      </c>
      <c r="F2061" s="1">
        <v>8373</v>
      </c>
    </row>
    <row r="2062" spans="1:6">
      <c r="A2062" t="s">
        <v>2063</v>
      </c>
      <c r="B2062" t="str">
        <f t="shared" si="4"/>
        <v>0.00442%</v>
      </c>
      <c r="C2062" t="s">
        <v>10</v>
      </c>
      <c r="D2062" t="s">
        <v>10</v>
      </c>
      <c r="E2062" t="str">
        <f>"$ 34,118"</f>
        <v>$ 34,118</v>
      </c>
      <c r="F2062">
        <v>261</v>
      </c>
    </row>
    <row r="2063" spans="1:6">
      <c r="A2063" t="s">
        <v>2064</v>
      </c>
      <c r="B2063" t="str">
        <f t="shared" si="4"/>
        <v>0.00442%</v>
      </c>
      <c r="C2063" t="s">
        <v>10</v>
      </c>
      <c r="D2063" t="s">
        <v>10</v>
      </c>
      <c r="E2063" t="str">
        <f>"$ 34,124"</f>
        <v>$ 34,124</v>
      </c>
      <c r="F2063">
        <v>183</v>
      </c>
    </row>
    <row r="2064" spans="1:6">
      <c r="A2064" t="s">
        <v>2065</v>
      </c>
      <c r="B2064" t="str">
        <f t="shared" si="4"/>
        <v>0.00442%</v>
      </c>
      <c r="C2064" t="s">
        <v>10</v>
      </c>
      <c r="D2064" t="s">
        <v>10</v>
      </c>
      <c r="E2064" t="str">
        <f>"$ 34,128"</f>
        <v>$ 34,128</v>
      </c>
      <c r="F2064">
        <v>291</v>
      </c>
    </row>
    <row r="2065" spans="1:6">
      <c r="A2065" t="s">
        <v>2066</v>
      </c>
      <c r="B2065" t="str">
        <f>"0.00441%"</f>
        <v>0.00441%</v>
      </c>
      <c r="C2065" t="s">
        <v>10</v>
      </c>
      <c r="D2065" t="s">
        <v>10</v>
      </c>
      <c r="E2065" t="str">
        <f>"$ 34,083"</f>
        <v>$ 34,083</v>
      </c>
      <c r="F2065">
        <v>726</v>
      </c>
    </row>
    <row r="2066" spans="1:6">
      <c r="A2066" t="s">
        <v>2067</v>
      </c>
      <c r="B2066" t="str">
        <f>"0.00441%"</f>
        <v>0.00441%</v>
      </c>
      <c r="C2066" t="s">
        <v>10</v>
      </c>
      <c r="D2066" t="s">
        <v>10</v>
      </c>
      <c r="E2066" t="str">
        <f>"$ 34,048"</f>
        <v>$ 34,048</v>
      </c>
      <c r="F2066">
        <v>546</v>
      </c>
    </row>
    <row r="2067" spans="1:6">
      <c r="A2067" t="s">
        <v>2068</v>
      </c>
      <c r="B2067" t="str">
        <f>"0.00441%"</f>
        <v>0.00441%</v>
      </c>
      <c r="C2067" t="s">
        <v>10</v>
      </c>
      <c r="D2067" t="s">
        <v>10</v>
      </c>
      <c r="E2067" t="str">
        <f>"$ 34,021"</f>
        <v>$ 34,021</v>
      </c>
      <c r="F2067">
        <v>805</v>
      </c>
    </row>
    <row r="2068" spans="1:6">
      <c r="A2068" t="s">
        <v>2069</v>
      </c>
      <c r="B2068" t="str">
        <f>"0.00441%"</f>
        <v>0.00441%</v>
      </c>
      <c r="C2068" t="s">
        <v>10</v>
      </c>
      <c r="D2068" t="s">
        <v>10</v>
      </c>
      <c r="E2068" t="str">
        <f>"$ 34,069"</f>
        <v>$ 34,069</v>
      </c>
      <c r="F2068">
        <v>353</v>
      </c>
    </row>
    <row r="2069" spans="1:6">
      <c r="A2069" t="s">
        <v>2070</v>
      </c>
      <c r="B2069" t="str">
        <f>"0.00440%"</f>
        <v>0.00440%</v>
      </c>
      <c r="C2069" t="s">
        <v>10</v>
      </c>
      <c r="D2069" t="s">
        <v>10</v>
      </c>
      <c r="E2069" t="str">
        <f>"$ 33,946"</f>
        <v>$ 33,946</v>
      </c>
      <c r="F2069">
        <v>198</v>
      </c>
    </row>
    <row r="2070" spans="1:6">
      <c r="A2070" t="s">
        <v>2071</v>
      </c>
      <c r="B2070" t="str">
        <f>"0.00440%"</f>
        <v>0.00440%</v>
      </c>
      <c r="C2070" t="s">
        <v>10</v>
      </c>
      <c r="D2070" t="s">
        <v>10</v>
      </c>
      <c r="E2070" t="str">
        <f>"$ 33,952"</f>
        <v>$ 33,952</v>
      </c>
      <c r="F2070">
        <v>598</v>
      </c>
    </row>
    <row r="2071" spans="1:6">
      <c r="A2071" t="s">
        <v>2072</v>
      </c>
      <c r="B2071" t="str">
        <f>"0.00440%"</f>
        <v>0.00440%</v>
      </c>
      <c r="C2071" t="s">
        <v>10</v>
      </c>
      <c r="D2071" t="s">
        <v>10</v>
      </c>
      <c r="E2071" t="str">
        <f>"$ 33,944"</f>
        <v>$ 33,944</v>
      </c>
      <c r="F2071">
        <v>301</v>
      </c>
    </row>
    <row r="2072" spans="1:6">
      <c r="A2072" t="s">
        <v>2073</v>
      </c>
      <c r="B2072" t="str">
        <f>"0.00440%"</f>
        <v>0.00440%</v>
      </c>
      <c r="C2072" t="s">
        <v>10</v>
      </c>
      <c r="D2072" t="s">
        <v>10</v>
      </c>
      <c r="E2072" t="str">
        <f>"$ 33,976"</f>
        <v>$ 33,976</v>
      </c>
      <c r="F2072">
        <v>356</v>
      </c>
    </row>
    <row r="2073" spans="1:6">
      <c r="A2073" t="s">
        <v>2074</v>
      </c>
      <c r="B2073" t="str">
        <f>"0.00440%"</f>
        <v>0.00440%</v>
      </c>
      <c r="C2073" t="s">
        <v>10</v>
      </c>
      <c r="D2073" t="s">
        <v>10</v>
      </c>
      <c r="E2073" t="str">
        <f>"$ 34,009"</f>
        <v>$ 34,009</v>
      </c>
      <c r="F2073">
        <v>713</v>
      </c>
    </row>
    <row r="2074" spans="1:6">
      <c r="A2074" t="s">
        <v>2075</v>
      </c>
      <c r="B2074" t="str">
        <f>"0.00439%"</f>
        <v>0.00439%</v>
      </c>
      <c r="C2074" t="s">
        <v>10</v>
      </c>
      <c r="D2074" t="s">
        <v>10</v>
      </c>
      <c r="E2074" t="str">
        <f>"$ 33,929"</f>
        <v>$ 33,929</v>
      </c>
      <c r="F2074">
        <v>292</v>
      </c>
    </row>
    <row r="2075" spans="1:6">
      <c r="A2075" t="s">
        <v>2076</v>
      </c>
      <c r="B2075" t="str">
        <f>"0.00439%"</f>
        <v>0.00439%</v>
      </c>
      <c r="C2075" t="s">
        <v>10</v>
      </c>
      <c r="D2075" t="s">
        <v>10</v>
      </c>
      <c r="E2075" t="str">
        <f>"$ 33,871"</f>
        <v>$ 33,871</v>
      </c>
      <c r="F2075" s="1">
        <v>6202</v>
      </c>
    </row>
    <row r="2076" spans="1:6">
      <c r="A2076" t="s">
        <v>2077</v>
      </c>
      <c r="B2076" t="str">
        <f>"0.00439%"</f>
        <v>0.00439%</v>
      </c>
      <c r="C2076" t="s">
        <v>10</v>
      </c>
      <c r="D2076" t="s">
        <v>10</v>
      </c>
      <c r="E2076" t="str">
        <f>"$ 33,926"</f>
        <v>$ 33,926</v>
      </c>
      <c r="F2076" s="1">
        <v>4652</v>
      </c>
    </row>
    <row r="2077" spans="1:6">
      <c r="A2077" t="s">
        <v>2078</v>
      </c>
      <c r="B2077" t="str">
        <f>"0.00439%"</f>
        <v>0.00439%</v>
      </c>
      <c r="C2077" t="s">
        <v>10</v>
      </c>
      <c r="D2077" t="s">
        <v>10</v>
      </c>
      <c r="E2077" t="str">
        <f>"$ 33,881"</f>
        <v>$ 33,881</v>
      </c>
      <c r="F2077">
        <v>424</v>
      </c>
    </row>
    <row r="2078" spans="1:6">
      <c r="A2078" t="s">
        <v>2079</v>
      </c>
      <c r="B2078" t="str">
        <f>"0.00438%"</f>
        <v>0.00438%</v>
      </c>
      <c r="C2078" t="s">
        <v>10</v>
      </c>
      <c r="D2078" t="s">
        <v>10</v>
      </c>
      <c r="E2078" t="str">
        <f>"$ 33,796"</f>
        <v>$ 33,796</v>
      </c>
      <c r="F2078">
        <v>364</v>
      </c>
    </row>
    <row r="2079" spans="1:6">
      <c r="A2079" t="s">
        <v>2080</v>
      </c>
      <c r="B2079" t="str">
        <f>"0.00438%"</f>
        <v>0.00438%</v>
      </c>
      <c r="C2079" t="s">
        <v>10</v>
      </c>
      <c r="D2079" t="s">
        <v>10</v>
      </c>
      <c r="E2079" t="str">
        <f>"$ 33,846"</f>
        <v>$ 33,846</v>
      </c>
      <c r="F2079" s="1">
        <v>1874</v>
      </c>
    </row>
    <row r="2080" spans="1:6">
      <c r="A2080" t="s">
        <v>2081</v>
      </c>
      <c r="B2080" t="str">
        <f>"0.00437%"</f>
        <v>0.00437%</v>
      </c>
      <c r="C2080" t="s">
        <v>10</v>
      </c>
      <c r="D2080" t="s">
        <v>10</v>
      </c>
      <c r="E2080" t="str">
        <f>"$ 33,756"</f>
        <v>$ 33,756</v>
      </c>
      <c r="F2080" s="1">
        <v>1221</v>
      </c>
    </row>
    <row r="2081" spans="1:6">
      <c r="A2081" t="s">
        <v>2082</v>
      </c>
      <c r="B2081" t="str">
        <f>"0.00437%"</f>
        <v>0.00437%</v>
      </c>
      <c r="C2081" t="s">
        <v>10</v>
      </c>
      <c r="D2081" t="s">
        <v>10</v>
      </c>
      <c r="E2081" t="str">
        <f>"$ 33,752"</f>
        <v>$ 33,752</v>
      </c>
      <c r="F2081">
        <v>372</v>
      </c>
    </row>
    <row r="2082" spans="1:6">
      <c r="A2082" t="s">
        <v>2083</v>
      </c>
      <c r="B2082" t="str">
        <f>"0.00437%"</f>
        <v>0.00437%</v>
      </c>
      <c r="C2082" t="s">
        <v>10</v>
      </c>
      <c r="D2082" t="s">
        <v>10</v>
      </c>
      <c r="E2082" t="str">
        <f>"$ 33,757"</f>
        <v>$ 33,757</v>
      </c>
      <c r="F2082" s="1">
        <v>2121</v>
      </c>
    </row>
    <row r="2083" spans="1:6">
      <c r="A2083" t="s">
        <v>2084</v>
      </c>
      <c r="B2083" t="str">
        <f>"0.00436%"</f>
        <v>0.00436%</v>
      </c>
      <c r="C2083" t="s">
        <v>10</v>
      </c>
      <c r="D2083" t="s">
        <v>10</v>
      </c>
      <c r="E2083" t="str">
        <f>"$ 33,689"</f>
        <v>$ 33,689</v>
      </c>
      <c r="F2083">
        <v>333</v>
      </c>
    </row>
    <row r="2084" spans="1:6">
      <c r="A2084" t="s">
        <v>2085</v>
      </c>
      <c r="B2084" t="str">
        <f>"0.00436%"</f>
        <v>0.00436%</v>
      </c>
      <c r="C2084" t="s">
        <v>10</v>
      </c>
      <c r="D2084" t="s">
        <v>10</v>
      </c>
      <c r="E2084" t="str">
        <f>"$ 33,648"</f>
        <v>$ 33,648</v>
      </c>
      <c r="F2084">
        <v>577</v>
      </c>
    </row>
    <row r="2085" spans="1:6">
      <c r="A2085" t="s">
        <v>2086</v>
      </c>
      <c r="B2085" t="str">
        <f>"0.00436%"</f>
        <v>0.00436%</v>
      </c>
      <c r="C2085" t="s">
        <v>10</v>
      </c>
      <c r="D2085" t="s">
        <v>10</v>
      </c>
      <c r="E2085" t="str">
        <f>"$ 33,683"</f>
        <v>$ 33,683</v>
      </c>
      <c r="F2085">
        <v>149</v>
      </c>
    </row>
    <row r="2086" spans="1:6">
      <c r="A2086" t="s">
        <v>2087</v>
      </c>
      <c r="B2086" t="str">
        <f t="shared" ref="B2086:B2091" si="5">"0.00435%"</f>
        <v>0.00435%</v>
      </c>
      <c r="C2086" t="s">
        <v>10</v>
      </c>
      <c r="D2086" t="s">
        <v>10</v>
      </c>
      <c r="E2086" t="str">
        <f>"$ 33,619"</f>
        <v>$ 33,619</v>
      </c>
      <c r="F2086" s="1">
        <v>1468</v>
      </c>
    </row>
    <row r="2087" spans="1:6">
      <c r="A2087" t="s">
        <v>2088</v>
      </c>
      <c r="B2087" t="str">
        <f t="shared" si="5"/>
        <v>0.00435%</v>
      </c>
      <c r="C2087" t="s">
        <v>10</v>
      </c>
      <c r="D2087" t="s">
        <v>10</v>
      </c>
      <c r="E2087" t="str">
        <f>"$ 33,557"</f>
        <v>$ 33,557</v>
      </c>
      <c r="F2087">
        <v>650</v>
      </c>
    </row>
    <row r="2088" spans="1:6">
      <c r="A2088" t="s">
        <v>2089</v>
      </c>
      <c r="B2088" t="str">
        <f t="shared" si="5"/>
        <v>0.00435%</v>
      </c>
      <c r="C2088" t="s">
        <v>10</v>
      </c>
      <c r="D2088" t="s">
        <v>10</v>
      </c>
      <c r="E2088" t="str">
        <f>"$ 33,621"</f>
        <v>$ 33,621</v>
      </c>
      <c r="F2088">
        <v>793</v>
      </c>
    </row>
    <row r="2089" spans="1:6">
      <c r="A2089" t="s">
        <v>2090</v>
      </c>
      <c r="B2089" t="str">
        <f t="shared" si="5"/>
        <v>0.00435%</v>
      </c>
      <c r="C2089" t="s">
        <v>10</v>
      </c>
      <c r="D2089" t="s">
        <v>10</v>
      </c>
      <c r="E2089" t="str">
        <f>"$ 33,625"</f>
        <v>$ 33,625</v>
      </c>
      <c r="F2089">
        <v>219</v>
      </c>
    </row>
    <row r="2090" spans="1:6">
      <c r="A2090" t="s">
        <v>2091</v>
      </c>
      <c r="B2090" t="str">
        <f t="shared" si="5"/>
        <v>0.00435%</v>
      </c>
      <c r="C2090" t="s">
        <v>10</v>
      </c>
      <c r="D2090" t="s">
        <v>10</v>
      </c>
      <c r="E2090" t="str">
        <f>"$ 33,585"</f>
        <v>$ 33,585</v>
      </c>
      <c r="F2090" s="1">
        <v>2292</v>
      </c>
    </row>
    <row r="2091" spans="1:6">
      <c r="A2091" t="s">
        <v>2092</v>
      </c>
      <c r="B2091" t="str">
        <f t="shared" si="5"/>
        <v>0.00435%</v>
      </c>
      <c r="C2091" t="s">
        <v>10</v>
      </c>
      <c r="D2091" t="s">
        <v>10</v>
      </c>
      <c r="E2091" t="str">
        <f>"$ 33,582"</f>
        <v>$ 33,582</v>
      </c>
      <c r="F2091">
        <v>768</v>
      </c>
    </row>
    <row r="2092" spans="1:6">
      <c r="A2092" t="s">
        <v>2093</v>
      </c>
      <c r="B2092" t="str">
        <f>"0.00434%"</f>
        <v>0.00434%</v>
      </c>
      <c r="C2092" t="s">
        <v>10</v>
      </c>
      <c r="D2092" t="s">
        <v>10</v>
      </c>
      <c r="E2092" t="str">
        <f>"$ 33,480"</f>
        <v>$ 33,480</v>
      </c>
      <c r="F2092" s="1">
        <v>2060</v>
      </c>
    </row>
    <row r="2093" spans="1:6">
      <c r="A2093" t="s">
        <v>2094</v>
      </c>
      <c r="B2093" t="str">
        <f>"0.00433%"</f>
        <v>0.00433%</v>
      </c>
      <c r="C2093" t="s">
        <v>10</v>
      </c>
      <c r="D2093" t="s">
        <v>10</v>
      </c>
      <c r="E2093" t="str">
        <f>"$ 33,453"</f>
        <v>$ 33,453</v>
      </c>
      <c r="F2093" s="1">
        <v>11582</v>
      </c>
    </row>
    <row r="2094" spans="1:6">
      <c r="A2094" t="s">
        <v>2095</v>
      </c>
      <c r="B2094" t="str">
        <f>"0.00432%"</f>
        <v>0.00432%</v>
      </c>
      <c r="C2094" t="s">
        <v>10</v>
      </c>
      <c r="D2094" t="s">
        <v>10</v>
      </c>
      <c r="E2094" t="str">
        <f>"$ 33,349"</f>
        <v>$ 33,349</v>
      </c>
      <c r="F2094" s="1">
        <v>1047</v>
      </c>
    </row>
    <row r="2095" spans="1:6">
      <c r="A2095" t="s">
        <v>2096</v>
      </c>
      <c r="B2095" t="str">
        <f>"0.00432%"</f>
        <v>0.00432%</v>
      </c>
      <c r="C2095" t="s">
        <v>10</v>
      </c>
      <c r="D2095" t="s">
        <v>10</v>
      </c>
      <c r="E2095" t="str">
        <f>"$ 33,352"</f>
        <v>$ 33,352</v>
      </c>
      <c r="F2095">
        <v>405</v>
      </c>
    </row>
    <row r="2096" spans="1:6">
      <c r="A2096" t="s">
        <v>2097</v>
      </c>
      <c r="B2096" t="str">
        <f>"0.00432%"</f>
        <v>0.00432%</v>
      </c>
      <c r="C2096" t="s">
        <v>10</v>
      </c>
      <c r="D2096" t="s">
        <v>10</v>
      </c>
      <c r="E2096" t="str">
        <f>"$ 33,348"</f>
        <v>$ 33,348</v>
      </c>
      <c r="F2096">
        <v>228</v>
      </c>
    </row>
    <row r="2097" spans="1:6">
      <c r="A2097" t="s">
        <v>2098</v>
      </c>
      <c r="B2097" t="str">
        <f>"0.00431%"</f>
        <v>0.00431%</v>
      </c>
      <c r="C2097" t="s">
        <v>10</v>
      </c>
      <c r="D2097" t="s">
        <v>10</v>
      </c>
      <c r="E2097" t="str">
        <f>"$ 33,260"</f>
        <v>$ 33,260</v>
      </c>
      <c r="F2097" s="1">
        <v>1431</v>
      </c>
    </row>
    <row r="2098" spans="1:6">
      <c r="A2098" t="s">
        <v>2099</v>
      </c>
      <c r="B2098" t="str">
        <f>"0.00430%"</f>
        <v>0.00430%</v>
      </c>
      <c r="C2098" t="s">
        <v>10</v>
      </c>
      <c r="D2098" t="s">
        <v>10</v>
      </c>
      <c r="E2098" t="str">
        <f>"$ 33,229"</f>
        <v>$ 33,229</v>
      </c>
      <c r="F2098" s="1">
        <v>1496</v>
      </c>
    </row>
    <row r="2099" spans="1:6">
      <c r="A2099" t="s">
        <v>2100</v>
      </c>
      <c r="B2099" t="str">
        <f>"0.00430%"</f>
        <v>0.00430%</v>
      </c>
      <c r="C2099" t="s">
        <v>10</v>
      </c>
      <c r="D2099" t="s">
        <v>10</v>
      </c>
      <c r="E2099" t="str">
        <f>"$ 33,201"</f>
        <v>$ 33,201</v>
      </c>
      <c r="F2099">
        <v>232</v>
      </c>
    </row>
    <row r="2100" spans="1:6">
      <c r="A2100" t="s">
        <v>2101</v>
      </c>
      <c r="B2100" t="str">
        <f t="shared" ref="B2100:B2106" si="6">"0.00429%"</f>
        <v>0.00429%</v>
      </c>
      <c r="C2100" t="s">
        <v>10</v>
      </c>
      <c r="D2100" t="s">
        <v>10</v>
      </c>
      <c r="E2100" t="str">
        <f>"$ 33,089"</f>
        <v>$ 33,089</v>
      </c>
      <c r="F2100" s="1">
        <v>3006</v>
      </c>
    </row>
    <row r="2101" spans="1:6">
      <c r="A2101" t="s">
        <v>2102</v>
      </c>
      <c r="B2101" t="str">
        <f t="shared" si="6"/>
        <v>0.00429%</v>
      </c>
      <c r="C2101" t="s">
        <v>10</v>
      </c>
      <c r="D2101" t="s">
        <v>10</v>
      </c>
      <c r="E2101" t="str">
        <f>"$ 33,100"</f>
        <v>$ 33,100</v>
      </c>
      <c r="F2101">
        <v>687</v>
      </c>
    </row>
    <row r="2102" spans="1:6">
      <c r="A2102" t="s">
        <v>2103</v>
      </c>
      <c r="B2102" t="str">
        <f t="shared" si="6"/>
        <v>0.00429%</v>
      </c>
      <c r="C2102" t="s">
        <v>10</v>
      </c>
      <c r="D2102" t="s">
        <v>10</v>
      </c>
      <c r="E2102" t="str">
        <f>"$ 33,158"</f>
        <v>$ 33,158</v>
      </c>
      <c r="F2102" s="1">
        <v>22665</v>
      </c>
    </row>
    <row r="2103" spans="1:6">
      <c r="A2103" t="s">
        <v>2104</v>
      </c>
      <c r="B2103" t="str">
        <f t="shared" si="6"/>
        <v>0.00429%</v>
      </c>
      <c r="C2103" t="s">
        <v>10</v>
      </c>
      <c r="D2103" t="s">
        <v>10</v>
      </c>
      <c r="E2103" t="str">
        <f>"$ 33,104"</f>
        <v>$ 33,104</v>
      </c>
      <c r="F2103">
        <v>382</v>
      </c>
    </row>
    <row r="2104" spans="1:6">
      <c r="A2104" t="s">
        <v>2105</v>
      </c>
      <c r="B2104" t="str">
        <f t="shared" si="6"/>
        <v>0.00429%</v>
      </c>
      <c r="C2104" t="s">
        <v>10</v>
      </c>
      <c r="D2104" t="s">
        <v>10</v>
      </c>
      <c r="E2104" t="str">
        <f>"$ 33,144"</f>
        <v>$ 33,144</v>
      </c>
      <c r="F2104" s="1">
        <v>2083</v>
      </c>
    </row>
    <row r="2105" spans="1:6">
      <c r="A2105" t="s">
        <v>2106</v>
      </c>
      <c r="B2105" t="str">
        <f t="shared" si="6"/>
        <v>0.00429%</v>
      </c>
      <c r="C2105" t="s">
        <v>10</v>
      </c>
      <c r="D2105" t="s">
        <v>10</v>
      </c>
      <c r="E2105" t="str">
        <f>"$ 33,105"</f>
        <v>$ 33,105</v>
      </c>
      <c r="F2105" s="1">
        <v>4718</v>
      </c>
    </row>
    <row r="2106" spans="1:6">
      <c r="A2106" t="s">
        <v>2107</v>
      </c>
      <c r="B2106" t="str">
        <f t="shared" si="6"/>
        <v>0.00429%</v>
      </c>
      <c r="C2106" t="s">
        <v>10</v>
      </c>
      <c r="D2106" t="s">
        <v>10</v>
      </c>
      <c r="E2106" t="str">
        <f>"$ 33,153"</f>
        <v>$ 33,153</v>
      </c>
      <c r="F2106">
        <v>330</v>
      </c>
    </row>
    <row r="2107" spans="1:6">
      <c r="A2107" t="s">
        <v>2108</v>
      </c>
      <c r="B2107" t="str">
        <f>"0.00428%"</f>
        <v>0.00428%</v>
      </c>
      <c r="C2107" t="s">
        <v>10</v>
      </c>
      <c r="D2107" t="s">
        <v>10</v>
      </c>
      <c r="E2107" t="str">
        <f>"$ 33,038"</f>
        <v>$ 33,038</v>
      </c>
      <c r="F2107" s="1">
        <v>2577</v>
      </c>
    </row>
    <row r="2108" spans="1:6">
      <c r="A2108" t="s">
        <v>2109</v>
      </c>
      <c r="B2108" t="str">
        <f>"0.00428%"</f>
        <v>0.00428%</v>
      </c>
      <c r="C2108" t="s">
        <v>10</v>
      </c>
      <c r="D2108" t="s">
        <v>10</v>
      </c>
      <c r="E2108" t="str">
        <f>"$ 33,084"</f>
        <v>$ 33,084</v>
      </c>
      <c r="F2108">
        <v>627</v>
      </c>
    </row>
    <row r="2109" spans="1:6">
      <c r="A2109" t="s">
        <v>2110</v>
      </c>
      <c r="B2109" t="str">
        <f>"0.00427%"</f>
        <v>0.00427%</v>
      </c>
      <c r="C2109" t="s">
        <v>10</v>
      </c>
      <c r="D2109" t="s">
        <v>10</v>
      </c>
      <c r="E2109" t="str">
        <f>"$ 32,998"</f>
        <v>$ 32,998</v>
      </c>
      <c r="F2109" s="1">
        <v>2072</v>
      </c>
    </row>
    <row r="2110" spans="1:6">
      <c r="A2110" t="s">
        <v>2111</v>
      </c>
      <c r="B2110" t="str">
        <f>"0.00427%"</f>
        <v>0.00427%</v>
      </c>
      <c r="C2110" t="s">
        <v>10</v>
      </c>
      <c r="D2110" t="s">
        <v>10</v>
      </c>
      <c r="E2110" t="str">
        <f>"$ 32,951"</f>
        <v>$ 32,951</v>
      </c>
      <c r="F2110">
        <v>610</v>
      </c>
    </row>
    <row r="2111" spans="1:6">
      <c r="A2111" t="s">
        <v>2112</v>
      </c>
      <c r="B2111" t="str">
        <f>"0.00427%"</f>
        <v>0.00427%</v>
      </c>
      <c r="C2111" t="s">
        <v>10</v>
      </c>
      <c r="D2111" t="s">
        <v>10</v>
      </c>
      <c r="E2111" t="str">
        <f>"$ 32,982"</f>
        <v>$ 32,982</v>
      </c>
      <c r="F2111">
        <v>408</v>
      </c>
    </row>
    <row r="2112" spans="1:6">
      <c r="A2112" t="s">
        <v>2113</v>
      </c>
      <c r="B2112" t="str">
        <f>"0.00426%"</f>
        <v>0.00426%</v>
      </c>
      <c r="C2112" t="s">
        <v>10</v>
      </c>
      <c r="D2112" t="s">
        <v>10</v>
      </c>
      <c r="E2112" t="str">
        <f>"$ 32,898"</f>
        <v>$ 32,898</v>
      </c>
      <c r="F2112" s="1">
        <v>25559</v>
      </c>
    </row>
    <row r="2113" spans="1:6">
      <c r="A2113" t="s">
        <v>2114</v>
      </c>
      <c r="B2113" t="str">
        <f>"0.00426%"</f>
        <v>0.00426%</v>
      </c>
      <c r="C2113" t="s">
        <v>10</v>
      </c>
      <c r="D2113" t="s">
        <v>10</v>
      </c>
      <c r="E2113" t="str">
        <f>"$ 32,898"</f>
        <v>$ 32,898</v>
      </c>
      <c r="F2113" s="1">
        <v>2905</v>
      </c>
    </row>
    <row r="2114" spans="1:6">
      <c r="A2114" t="s">
        <v>2115</v>
      </c>
      <c r="B2114" t="str">
        <f>"0.00426%"</f>
        <v>0.00426%</v>
      </c>
      <c r="C2114" t="s">
        <v>10</v>
      </c>
      <c r="D2114" t="s">
        <v>10</v>
      </c>
      <c r="E2114" t="str">
        <f>"$ 32,877"</f>
        <v>$ 32,877</v>
      </c>
      <c r="F2114">
        <v>227</v>
      </c>
    </row>
    <row r="2115" spans="1:6">
      <c r="A2115" t="s">
        <v>2116</v>
      </c>
      <c r="B2115" t="str">
        <f>"0.00425%"</f>
        <v>0.00425%</v>
      </c>
      <c r="C2115" t="s">
        <v>10</v>
      </c>
      <c r="D2115" t="s">
        <v>10</v>
      </c>
      <c r="E2115" t="str">
        <f>"$ 32,813"</f>
        <v>$ 32,813</v>
      </c>
      <c r="F2115">
        <v>445</v>
      </c>
    </row>
    <row r="2116" spans="1:6">
      <c r="A2116" t="s">
        <v>2117</v>
      </c>
      <c r="B2116" t="str">
        <f>"0.00425%"</f>
        <v>0.00425%</v>
      </c>
      <c r="C2116" t="s">
        <v>10</v>
      </c>
      <c r="D2116" t="s">
        <v>10</v>
      </c>
      <c r="E2116" t="str">
        <f>"$ 32,798"</f>
        <v>$ 32,798</v>
      </c>
      <c r="F2116" s="1">
        <v>1182</v>
      </c>
    </row>
    <row r="2117" spans="1:6">
      <c r="A2117" t="s">
        <v>2118</v>
      </c>
      <c r="B2117" t="str">
        <f>"0.00425%"</f>
        <v>0.00425%</v>
      </c>
      <c r="C2117" t="s">
        <v>10</v>
      </c>
      <c r="D2117" t="s">
        <v>10</v>
      </c>
      <c r="E2117" t="str">
        <f>"$ 32,838"</f>
        <v>$ 32,838</v>
      </c>
      <c r="F2117" s="1">
        <v>3251</v>
      </c>
    </row>
    <row r="2118" spans="1:6">
      <c r="A2118" t="s">
        <v>2119</v>
      </c>
      <c r="B2118" t="str">
        <f t="shared" ref="B2118:B2125" si="7">"0.00424%"</f>
        <v>0.00424%</v>
      </c>
      <c r="C2118" t="s">
        <v>10</v>
      </c>
      <c r="D2118" t="s">
        <v>10</v>
      </c>
      <c r="E2118" t="str">
        <f>"$ 32,778"</f>
        <v>$ 32,778</v>
      </c>
      <c r="F2118">
        <v>621</v>
      </c>
    </row>
    <row r="2119" spans="1:6">
      <c r="A2119" t="s">
        <v>2120</v>
      </c>
      <c r="B2119" t="str">
        <f t="shared" si="7"/>
        <v>0.00424%</v>
      </c>
      <c r="C2119" t="s">
        <v>10</v>
      </c>
      <c r="D2119" t="s">
        <v>10</v>
      </c>
      <c r="E2119" t="str">
        <f>"$ 32,741"</f>
        <v>$ 32,741</v>
      </c>
      <c r="F2119">
        <v>633</v>
      </c>
    </row>
    <row r="2120" spans="1:6">
      <c r="A2120" t="s">
        <v>2121</v>
      </c>
      <c r="B2120" t="str">
        <f t="shared" si="7"/>
        <v>0.00424%</v>
      </c>
      <c r="C2120" t="s">
        <v>10</v>
      </c>
      <c r="D2120" t="s">
        <v>10</v>
      </c>
      <c r="E2120" t="str">
        <f>"$ 32,728"</f>
        <v>$ 32,728</v>
      </c>
      <c r="F2120">
        <v>685</v>
      </c>
    </row>
    <row r="2121" spans="1:6">
      <c r="A2121" t="s">
        <v>2122</v>
      </c>
      <c r="B2121" t="str">
        <f t="shared" si="7"/>
        <v>0.00424%</v>
      </c>
      <c r="C2121" t="s">
        <v>10</v>
      </c>
      <c r="D2121" t="s">
        <v>10</v>
      </c>
      <c r="E2121" t="str">
        <f>"$ 32,734"</f>
        <v>$ 32,734</v>
      </c>
      <c r="F2121">
        <v>384</v>
      </c>
    </row>
    <row r="2122" spans="1:6">
      <c r="A2122" t="s">
        <v>2123</v>
      </c>
      <c r="B2122" t="str">
        <f t="shared" si="7"/>
        <v>0.00424%</v>
      </c>
      <c r="C2122" t="s">
        <v>10</v>
      </c>
      <c r="D2122" t="s">
        <v>10</v>
      </c>
      <c r="E2122" t="str">
        <f>"$ 32,738"</f>
        <v>$ 32,738</v>
      </c>
      <c r="F2122">
        <v>132</v>
      </c>
    </row>
    <row r="2123" spans="1:6">
      <c r="A2123" t="s">
        <v>2124</v>
      </c>
      <c r="B2123" t="str">
        <f t="shared" si="7"/>
        <v>0.00424%</v>
      </c>
      <c r="C2123" t="s">
        <v>10</v>
      </c>
      <c r="D2123" t="s">
        <v>10</v>
      </c>
      <c r="E2123" t="str">
        <f>"$ 32,703"</f>
        <v>$ 32,703</v>
      </c>
      <c r="F2123" s="1">
        <v>13675</v>
      </c>
    </row>
    <row r="2124" spans="1:6">
      <c r="A2124" t="s">
        <v>2125</v>
      </c>
      <c r="B2124" t="str">
        <f t="shared" si="7"/>
        <v>0.00424%</v>
      </c>
      <c r="C2124" t="s">
        <v>10</v>
      </c>
      <c r="D2124" t="s">
        <v>10</v>
      </c>
      <c r="E2124" t="str">
        <f>"$ 32,732"</f>
        <v>$ 32,732</v>
      </c>
      <c r="F2124">
        <v>791</v>
      </c>
    </row>
    <row r="2125" spans="1:6">
      <c r="A2125" t="s">
        <v>2126</v>
      </c>
      <c r="B2125" t="str">
        <f t="shared" si="7"/>
        <v>0.00424%</v>
      </c>
      <c r="C2125" t="s">
        <v>10</v>
      </c>
      <c r="D2125" t="s">
        <v>10</v>
      </c>
      <c r="E2125" t="str">
        <f>"$ 32,758"</f>
        <v>$ 32,758</v>
      </c>
      <c r="F2125">
        <v>688</v>
      </c>
    </row>
    <row r="2126" spans="1:6">
      <c r="A2126" t="s">
        <v>2127</v>
      </c>
      <c r="B2126" t="str">
        <f>"0.00423%"</f>
        <v>0.00423%</v>
      </c>
      <c r="C2126" t="s">
        <v>10</v>
      </c>
      <c r="D2126" t="s">
        <v>10</v>
      </c>
      <c r="E2126" t="str">
        <f>"$ 32,654"</f>
        <v>$ 32,654</v>
      </c>
      <c r="F2126" s="1">
        <v>166130</v>
      </c>
    </row>
    <row r="2127" spans="1:6">
      <c r="A2127" t="s">
        <v>2128</v>
      </c>
      <c r="B2127" t="str">
        <f>"0.00422%"</f>
        <v>0.00422%</v>
      </c>
      <c r="C2127" t="s">
        <v>10</v>
      </c>
      <c r="D2127" t="s">
        <v>10</v>
      </c>
      <c r="E2127" t="str">
        <f>"$ 32,552"</f>
        <v>$ 32,552</v>
      </c>
      <c r="F2127" s="1">
        <v>3945</v>
      </c>
    </row>
    <row r="2128" spans="1:6">
      <c r="A2128" t="s">
        <v>2129</v>
      </c>
      <c r="B2128" t="str">
        <f>"0.00422%"</f>
        <v>0.00422%</v>
      </c>
      <c r="C2128" t="s">
        <v>10</v>
      </c>
      <c r="D2128" t="s">
        <v>10</v>
      </c>
      <c r="E2128" t="str">
        <f>"$ 32,621"</f>
        <v>$ 32,621</v>
      </c>
      <c r="F2128" s="1">
        <v>3662</v>
      </c>
    </row>
    <row r="2129" spans="1:6">
      <c r="A2129" t="s">
        <v>2130</v>
      </c>
      <c r="B2129" t="str">
        <f>"0.00422%"</f>
        <v>0.00422%</v>
      </c>
      <c r="C2129" t="s">
        <v>10</v>
      </c>
      <c r="D2129" t="s">
        <v>10</v>
      </c>
      <c r="E2129" t="str">
        <f>"$ 32,548"</f>
        <v>$ 32,548</v>
      </c>
      <c r="F2129" s="1">
        <v>1200</v>
      </c>
    </row>
    <row r="2130" spans="1:6">
      <c r="A2130" t="s">
        <v>2131</v>
      </c>
      <c r="B2130" t="str">
        <f>"0.00422%"</f>
        <v>0.00422%</v>
      </c>
      <c r="C2130" t="s">
        <v>10</v>
      </c>
      <c r="D2130" t="s">
        <v>10</v>
      </c>
      <c r="E2130" t="str">
        <f>"$ 32,572"</f>
        <v>$ 32,572</v>
      </c>
      <c r="F2130">
        <v>586</v>
      </c>
    </row>
    <row r="2131" spans="1:6">
      <c r="A2131" t="s">
        <v>2132</v>
      </c>
      <c r="B2131" t="str">
        <f>"0.00421%"</f>
        <v>0.00421%</v>
      </c>
      <c r="C2131" t="s">
        <v>10</v>
      </c>
      <c r="D2131" t="s">
        <v>10</v>
      </c>
      <c r="E2131" t="str">
        <f>"$ 32,479"</f>
        <v>$ 32,479</v>
      </c>
      <c r="F2131" s="1">
        <v>1347</v>
      </c>
    </row>
    <row r="2132" spans="1:6">
      <c r="A2132" t="s">
        <v>2133</v>
      </c>
      <c r="B2132" t="str">
        <f>"0.00421%"</f>
        <v>0.00421%</v>
      </c>
      <c r="C2132" t="s">
        <v>10</v>
      </c>
      <c r="D2132" t="s">
        <v>10</v>
      </c>
      <c r="E2132" t="str">
        <f>"$ 32,513"</f>
        <v>$ 32,513</v>
      </c>
      <c r="F2132" s="1">
        <v>1195</v>
      </c>
    </row>
    <row r="2133" spans="1:6">
      <c r="A2133" t="s">
        <v>2134</v>
      </c>
      <c r="B2133" t="str">
        <f>"0.00420%"</f>
        <v>0.00420%</v>
      </c>
      <c r="C2133" t="s">
        <v>10</v>
      </c>
      <c r="D2133" t="s">
        <v>10</v>
      </c>
      <c r="E2133" t="str">
        <f>"$ 32,453"</f>
        <v>$ 32,453</v>
      </c>
      <c r="F2133">
        <v>447</v>
      </c>
    </row>
    <row r="2134" spans="1:6">
      <c r="A2134" t="s">
        <v>2135</v>
      </c>
      <c r="B2134" t="str">
        <f>"0.00420%"</f>
        <v>0.00420%</v>
      </c>
      <c r="C2134" t="s">
        <v>10</v>
      </c>
      <c r="D2134" t="s">
        <v>10</v>
      </c>
      <c r="E2134" t="str">
        <f>"$ 32,394"</f>
        <v>$ 32,394</v>
      </c>
      <c r="F2134" s="1">
        <v>2080</v>
      </c>
    </row>
    <row r="2135" spans="1:6">
      <c r="A2135" t="s">
        <v>2136</v>
      </c>
      <c r="B2135" t="str">
        <f>"0.00419%"</f>
        <v>0.00419%</v>
      </c>
      <c r="C2135" t="s">
        <v>10</v>
      </c>
      <c r="D2135" t="s">
        <v>10</v>
      </c>
      <c r="E2135" t="str">
        <f>"$ 32,387"</f>
        <v>$ 32,387</v>
      </c>
      <c r="F2135" s="1">
        <v>6151</v>
      </c>
    </row>
    <row r="2136" spans="1:6">
      <c r="A2136" t="s">
        <v>2137</v>
      </c>
      <c r="B2136" t="str">
        <f>"0.00419%"</f>
        <v>0.00419%</v>
      </c>
      <c r="C2136" t="s">
        <v>10</v>
      </c>
      <c r="D2136" t="s">
        <v>10</v>
      </c>
      <c r="E2136" t="str">
        <f>"$ 32,383"</f>
        <v>$ 32,383</v>
      </c>
      <c r="F2136" s="1">
        <v>1039</v>
      </c>
    </row>
    <row r="2137" spans="1:6">
      <c r="A2137" t="s">
        <v>2138</v>
      </c>
      <c r="B2137" t="str">
        <f>"0.00419%"</f>
        <v>0.00419%</v>
      </c>
      <c r="C2137" t="s">
        <v>10</v>
      </c>
      <c r="D2137" t="s">
        <v>10</v>
      </c>
      <c r="E2137" t="str">
        <f>"$ 32,370"</f>
        <v>$ 32,370</v>
      </c>
      <c r="F2137" s="1">
        <v>62681</v>
      </c>
    </row>
    <row r="2138" spans="1:6">
      <c r="A2138" t="s">
        <v>2139</v>
      </c>
      <c r="B2138" t="str">
        <f t="shared" ref="B2138:B2145" si="8">"0.00418%"</f>
        <v>0.00418%</v>
      </c>
      <c r="C2138" t="s">
        <v>10</v>
      </c>
      <c r="D2138" t="s">
        <v>10</v>
      </c>
      <c r="E2138" t="str">
        <f>"$ 32,262"</f>
        <v>$ 32,262</v>
      </c>
      <c r="F2138" s="1">
        <v>1858</v>
      </c>
    </row>
    <row r="2139" spans="1:6">
      <c r="A2139" t="s">
        <v>2140</v>
      </c>
      <c r="B2139" t="str">
        <f t="shared" si="8"/>
        <v>0.00418%</v>
      </c>
      <c r="C2139" t="s">
        <v>10</v>
      </c>
      <c r="D2139" t="s">
        <v>10</v>
      </c>
      <c r="E2139" t="str">
        <f>"$ 32,250"</f>
        <v>$ 32,250</v>
      </c>
      <c r="F2139">
        <v>219</v>
      </c>
    </row>
    <row r="2140" spans="1:6">
      <c r="A2140" t="s">
        <v>2141</v>
      </c>
      <c r="B2140" t="str">
        <f t="shared" si="8"/>
        <v>0.00418%</v>
      </c>
      <c r="C2140" t="s">
        <v>10</v>
      </c>
      <c r="D2140" t="s">
        <v>10</v>
      </c>
      <c r="E2140" t="str">
        <f>"$ 32,282"</f>
        <v>$ 32,282</v>
      </c>
      <c r="F2140">
        <v>424</v>
      </c>
    </row>
    <row r="2141" spans="1:6">
      <c r="A2141" t="s">
        <v>2142</v>
      </c>
      <c r="B2141" t="str">
        <f t="shared" si="8"/>
        <v>0.00418%</v>
      </c>
      <c r="C2141" t="s">
        <v>10</v>
      </c>
      <c r="D2141" t="s">
        <v>10</v>
      </c>
      <c r="E2141" t="str">
        <f>"$ 32,268"</f>
        <v>$ 32,268</v>
      </c>
      <c r="F2141">
        <v>513</v>
      </c>
    </row>
    <row r="2142" spans="1:6">
      <c r="A2142" t="s">
        <v>2143</v>
      </c>
      <c r="B2142" t="str">
        <f t="shared" si="8"/>
        <v>0.00418%</v>
      </c>
      <c r="C2142" t="s">
        <v>10</v>
      </c>
      <c r="D2142" t="s">
        <v>10</v>
      </c>
      <c r="E2142" t="str">
        <f>"$ 32,307"</f>
        <v>$ 32,307</v>
      </c>
      <c r="F2142">
        <v>206</v>
      </c>
    </row>
    <row r="2143" spans="1:6">
      <c r="A2143" t="s">
        <v>2144</v>
      </c>
      <c r="B2143" t="str">
        <f t="shared" si="8"/>
        <v>0.00418%</v>
      </c>
      <c r="C2143" t="s">
        <v>10</v>
      </c>
      <c r="D2143" t="s">
        <v>10</v>
      </c>
      <c r="E2143" t="str">
        <f>"$ 32,267"</f>
        <v>$ 32,267</v>
      </c>
      <c r="F2143">
        <v>454</v>
      </c>
    </row>
    <row r="2144" spans="1:6">
      <c r="A2144" t="s">
        <v>2145</v>
      </c>
      <c r="B2144" t="str">
        <f t="shared" si="8"/>
        <v>0.00418%</v>
      </c>
      <c r="C2144" t="s">
        <v>10</v>
      </c>
      <c r="D2144" t="s">
        <v>10</v>
      </c>
      <c r="E2144" t="str">
        <f>"$ 32,258"</f>
        <v>$ 32,258</v>
      </c>
      <c r="F2144">
        <v>614</v>
      </c>
    </row>
    <row r="2145" spans="1:6">
      <c r="A2145" t="s">
        <v>2146</v>
      </c>
      <c r="B2145" t="str">
        <f t="shared" si="8"/>
        <v>0.00418%</v>
      </c>
      <c r="C2145" t="s">
        <v>10</v>
      </c>
      <c r="D2145" t="s">
        <v>10</v>
      </c>
      <c r="E2145" t="str">
        <f>"$ 32,307"</f>
        <v>$ 32,307</v>
      </c>
      <c r="F2145">
        <v>304</v>
      </c>
    </row>
    <row r="2146" spans="1:6">
      <c r="A2146" t="s">
        <v>2147</v>
      </c>
      <c r="B2146" t="str">
        <f>"0.00417%"</f>
        <v>0.00417%</v>
      </c>
      <c r="C2146" t="s">
        <v>10</v>
      </c>
      <c r="D2146" t="s">
        <v>10</v>
      </c>
      <c r="E2146" t="str">
        <f>"$ 32,229"</f>
        <v>$ 32,229</v>
      </c>
      <c r="F2146">
        <v>301</v>
      </c>
    </row>
    <row r="2147" spans="1:6">
      <c r="A2147" t="s">
        <v>2148</v>
      </c>
      <c r="B2147" t="str">
        <f>"0.00417%"</f>
        <v>0.00417%</v>
      </c>
      <c r="C2147" t="s">
        <v>10</v>
      </c>
      <c r="D2147" t="s">
        <v>10</v>
      </c>
      <c r="E2147" t="str">
        <f>"$ 32,201"</f>
        <v>$ 32,201</v>
      </c>
      <c r="F2147" s="1">
        <v>7588</v>
      </c>
    </row>
    <row r="2148" spans="1:6">
      <c r="A2148" t="s">
        <v>2149</v>
      </c>
      <c r="B2148" t="str">
        <f>"0.00417%"</f>
        <v>0.00417%</v>
      </c>
      <c r="C2148" t="s">
        <v>10</v>
      </c>
      <c r="D2148" t="s">
        <v>10</v>
      </c>
      <c r="E2148" t="str">
        <f>"$ 32,218"</f>
        <v>$ 32,218</v>
      </c>
      <c r="F2148" s="1">
        <v>1385</v>
      </c>
    </row>
    <row r="2149" spans="1:6">
      <c r="A2149" t="s">
        <v>2150</v>
      </c>
      <c r="B2149" t="str">
        <f>"0.00416%"</f>
        <v>0.00416%</v>
      </c>
      <c r="C2149" t="s">
        <v>10</v>
      </c>
      <c r="D2149" t="s">
        <v>10</v>
      </c>
      <c r="E2149" t="str">
        <f>"$ 32,104"</f>
        <v>$ 32,104</v>
      </c>
      <c r="F2149">
        <v>108</v>
      </c>
    </row>
    <row r="2150" spans="1:6">
      <c r="A2150" t="s">
        <v>2151</v>
      </c>
      <c r="B2150" t="str">
        <f>"0.00416%"</f>
        <v>0.00416%</v>
      </c>
      <c r="C2150" t="s">
        <v>10</v>
      </c>
      <c r="D2150" t="s">
        <v>10</v>
      </c>
      <c r="E2150" t="str">
        <f>"$ 32,137"</f>
        <v>$ 32,137</v>
      </c>
      <c r="F2150" s="1">
        <v>21561</v>
      </c>
    </row>
    <row r="2151" spans="1:6">
      <c r="A2151" t="s">
        <v>2152</v>
      </c>
      <c r="B2151" t="str">
        <f>"0.00414%"</f>
        <v>0.00414%</v>
      </c>
      <c r="C2151" t="s">
        <v>10</v>
      </c>
      <c r="D2151" t="s">
        <v>10</v>
      </c>
      <c r="E2151" t="str">
        <f>"$ 32,007"</f>
        <v>$ 32,007</v>
      </c>
      <c r="F2151" s="1">
        <v>3118</v>
      </c>
    </row>
    <row r="2152" spans="1:6">
      <c r="A2152" t="s">
        <v>2153</v>
      </c>
      <c r="B2152" t="str">
        <f>"0.00414%"</f>
        <v>0.00414%</v>
      </c>
      <c r="C2152" t="s">
        <v>10</v>
      </c>
      <c r="D2152" t="s">
        <v>10</v>
      </c>
      <c r="E2152" t="str">
        <f>"$ 31,977"</f>
        <v>$ 31,977</v>
      </c>
      <c r="F2152">
        <v>546</v>
      </c>
    </row>
    <row r="2153" spans="1:6">
      <c r="A2153" t="s">
        <v>2154</v>
      </c>
      <c r="B2153" t="str">
        <f>"0.00413%"</f>
        <v>0.00413%</v>
      </c>
      <c r="C2153" t="s">
        <v>10</v>
      </c>
      <c r="D2153" t="s">
        <v>10</v>
      </c>
      <c r="E2153" t="str">
        <f>"$ 31,888"</f>
        <v>$ 31,888</v>
      </c>
      <c r="F2153">
        <v>313</v>
      </c>
    </row>
    <row r="2154" spans="1:6">
      <c r="A2154" t="s">
        <v>2155</v>
      </c>
      <c r="B2154" t="str">
        <f>"0.00413%"</f>
        <v>0.00413%</v>
      </c>
      <c r="C2154" t="s">
        <v>10</v>
      </c>
      <c r="D2154" t="s">
        <v>10</v>
      </c>
      <c r="E2154" t="str">
        <f>"$ 31,865"</f>
        <v>$ 31,865</v>
      </c>
      <c r="F2154">
        <v>37</v>
      </c>
    </row>
    <row r="2155" spans="1:6">
      <c r="A2155" t="s">
        <v>2156</v>
      </c>
      <c r="B2155" t="str">
        <f>"0.00413%"</f>
        <v>0.00413%</v>
      </c>
      <c r="C2155" t="s">
        <v>10</v>
      </c>
      <c r="D2155" t="s">
        <v>10</v>
      </c>
      <c r="E2155" t="str">
        <f>"$ 31,884"</f>
        <v>$ 31,884</v>
      </c>
      <c r="F2155">
        <v>242</v>
      </c>
    </row>
    <row r="2156" spans="1:6">
      <c r="A2156" t="s">
        <v>2157</v>
      </c>
      <c r="B2156" t="str">
        <f>"0.00412%"</f>
        <v>0.00412%</v>
      </c>
      <c r="C2156" t="s">
        <v>10</v>
      </c>
      <c r="D2156" t="s">
        <v>10</v>
      </c>
      <c r="E2156" t="str">
        <f>"$ 31,800"</f>
        <v>$ 31,800</v>
      </c>
      <c r="F2156" s="1">
        <v>14994</v>
      </c>
    </row>
    <row r="2157" spans="1:6">
      <c r="A2157" t="s">
        <v>2158</v>
      </c>
      <c r="B2157" t="str">
        <f>"0.00412%"</f>
        <v>0.00412%</v>
      </c>
      <c r="C2157" t="s">
        <v>10</v>
      </c>
      <c r="D2157" t="s">
        <v>10</v>
      </c>
      <c r="E2157" t="str">
        <f>"$ 31,817"</f>
        <v>$ 31,817</v>
      </c>
      <c r="F2157" s="1">
        <v>4801</v>
      </c>
    </row>
    <row r="2158" spans="1:6">
      <c r="A2158" t="s">
        <v>2159</v>
      </c>
      <c r="B2158" t="str">
        <f>"0.00412%"</f>
        <v>0.00412%</v>
      </c>
      <c r="C2158" t="s">
        <v>10</v>
      </c>
      <c r="D2158" t="s">
        <v>10</v>
      </c>
      <c r="E2158" t="str">
        <f>"$ 31,783"</f>
        <v>$ 31,783</v>
      </c>
      <c r="F2158">
        <v>874</v>
      </c>
    </row>
    <row r="2159" spans="1:6">
      <c r="A2159" t="s">
        <v>2160</v>
      </c>
      <c r="B2159" t="str">
        <f>"0.00412%"</f>
        <v>0.00412%</v>
      </c>
      <c r="C2159" t="s">
        <v>10</v>
      </c>
      <c r="D2159" t="s">
        <v>10</v>
      </c>
      <c r="E2159" t="str">
        <f>"$ 31,835"</f>
        <v>$ 31,835</v>
      </c>
      <c r="F2159">
        <v>587</v>
      </c>
    </row>
    <row r="2160" spans="1:6">
      <c r="A2160" t="s">
        <v>2161</v>
      </c>
      <c r="B2160" t="str">
        <f>"0.00412%"</f>
        <v>0.00412%</v>
      </c>
      <c r="C2160" t="s">
        <v>10</v>
      </c>
      <c r="D2160" t="s">
        <v>10</v>
      </c>
      <c r="E2160" t="str">
        <f>"$ 31,776"</f>
        <v>$ 31,776</v>
      </c>
      <c r="F2160" s="1">
        <v>1045</v>
      </c>
    </row>
    <row r="2161" spans="1:6">
      <c r="A2161" t="s">
        <v>2162</v>
      </c>
      <c r="B2161" t="str">
        <f>"0.00411%"</f>
        <v>0.00411%</v>
      </c>
      <c r="C2161" t="s">
        <v>10</v>
      </c>
      <c r="D2161" t="s">
        <v>10</v>
      </c>
      <c r="E2161" t="str">
        <f>"$ 31,774"</f>
        <v>$ 31,774</v>
      </c>
      <c r="F2161" s="1">
        <v>1166</v>
      </c>
    </row>
    <row r="2162" spans="1:6">
      <c r="A2162" t="s">
        <v>2163</v>
      </c>
      <c r="B2162" t="str">
        <f>"0.00411%"</f>
        <v>0.00411%</v>
      </c>
      <c r="C2162" t="s">
        <v>10</v>
      </c>
      <c r="D2162" t="s">
        <v>10</v>
      </c>
      <c r="E2162" t="str">
        <f>"$ 31,775"</f>
        <v>$ 31,775</v>
      </c>
      <c r="F2162" s="1">
        <v>1670</v>
      </c>
    </row>
    <row r="2163" spans="1:6">
      <c r="A2163" t="s">
        <v>2164</v>
      </c>
      <c r="B2163" t="str">
        <f>"0.00410%"</f>
        <v>0.00410%</v>
      </c>
      <c r="C2163" t="s">
        <v>10</v>
      </c>
      <c r="D2163" t="s">
        <v>10</v>
      </c>
      <c r="E2163" t="str">
        <f>"$ 31,642"</f>
        <v>$ 31,642</v>
      </c>
      <c r="F2163">
        <v>204</v>
      </c>
    </row>
    <row r="2164" spans="1:6">
      <c r="A2164" t="s">
        <v>2165</v>
      </c>
      <c r="B2164" t="str">
        <f>"0.00410%"</f>
        <v>0.00410%</v>
      </c>
      <c r="C2164" t="s">
        <v>10</v>
      </c>
      <c r="D2164" t="s">
        <v>10</v>
      </c>
      <c r="E2164" t="str">
        <f>"$ 31,624"</f>
        <v>$ 31,624</v>
      </c>
      <c r="F2164">
        <v>907</v>
      </c>
    </row>
    <row r="2165" spans="1:6">
      <c r="A2165" t="s">
        <v>2166</v>
      </c>
      <c r="B2165" t="str">
        <f>"0.00410%"</f>
        <v>0.00410%</v>
      </c>
      <c r="C2165" t="s">
        <v>10</v>
      </c>
      <c r="D2165" t="s">
        <v>10</v>
      </c>
      <c r="E2165" t="str">
        <f>"$ 31,694"</f>
        <v>$ 31,694</v>
      </c>
      <c r="F2165" s="1">
        <v>2186</v>
      </c>
    </row>
    <row r="2166" spans="1:6">
      <c r="A2166" t="s">
        <v>2167</v>
      </c>
      <c r="B2166" t="str">
        <f>"0.00410%"</f>
        <v>0.00410%</v>
      </c>
      <c r="C2166" t="s">
        <v>10</v>
      </c>
      <c r="D2166" t="s">
        <v>10</v>
      </c>
      <c r="E2166" t="str">
        <f>"$ 31,640"</f>
        <v>$ 31,640</v>
      </c>
      <c r="F2166" s="1">
        <v>9774</v>
      </c>
    </row>
    <row r="2167" spans="1:6">
      <c r="A2167" t="s">
        <v>2168</v>
      </c>
      <c r="B2167" t="str">
        <f>"0.00410%"</f>
        <v>0.00410%</v>
      </c>
      <c r="C2167" t="s">
        <v>10</v>
      </c>
      <c r="D2167" t="s">
        <v>10</v>
      </c>
      <c r="E2167" t="str">
        <f>"$ 31,652"</f>
        <v>$ 31,652</v>
      </c>
      <c r="F2167" s="1">
        <v>4042</v>
      </c>
    </row>
    <row r="2168" spans="1:6">
      <c r="A2168" t="s">
        <v>2169</v>
      </c>
      <c r="B2168" t="str">
        <f>"0.00409%"</f>
        <v>0.00409%</v>
      </c>
      <c r="C2168" t="s">
        <v>10</v>
      </c>
      <c r="D2168" t="s">
        <v>10</v>
      </c>
      <c r="E2168" t="str">
        <f>"$ 31,557"</f>
        <v>$ 31,557</v>
      </c>
      <c r="F2168" s="1">
        <v>7987</v>
      </c>
    </row>
    <row r="2169" spans="1:6">
      <c r="A2169" t="s">
        <v>2170</v>
      </c>
      <c r="B2169" t="str">
        <f>"0.00408%"</f>
        <v>0.00408%</v>
      </c>
      <c r="C2169" t="s">
        <v>10</v>
      </c>
      <c r="D2169" t="s">
        <v>10</v>
      </c>
      <c r="E2169" t="str">
        <f>"$ 31,537"</f>
        <v>$ 31,537</v>
      </c>
      <c r="F2169">
        <v>492</v>
      </c>
    </row>
    <row r="2170" spans="1:6">
      <c r="A2170" t="s">
        <v>2171</v>
      </c>
      <c r="B2170" t="str">
        <f>"0.00408%"</f>
        <v>0.00408%</v>
      </c>
      <c r="C2170" t="s">
        <v>10</v>
      </c>
      <c r="D2170" t="s">
        <v>10</v>
      </c>
      <c r="E2170" t="str">
        <f>"$ 31,502"</f>
        <v>$ 31,502</v>
      </c>
      <c r="F2170">
        <v>403</v>
      </c>
    </row>
    <row r="2171" spans="1:6">
      <c r="A2171" t="s">
        <v>2172</v>
      </c>
      <c r="B2171" t="str">
        <f t="shared" ref="B2171:B2176" si="9">"0.00407%"</f>
        <v>0.00407%</v>
      </c>
      <c r="C2171" t="s">
        <v>10</v>
      </c>
      <c r="D2171" t="s">
        <v>10</v>
      </c>
      <c r="E2171" t="str">
        <f>"$ 31,467"</f>
        <v>$ 31,467</v>
      </c>
      <c r="F2171">
        <v>56</v>
      </c>
    </row>
    <row r="2172" spans="1:6">
      <c r="A2172" t="s">
        <v>2173</v>
      </c>
      <c r="B2172" t="str">
        <f t="shared" si="9"/>
        <v>0.00407%</v>
      </c>
      <c r="C2172" t="s">
        <v>10</v>
      </c>
      <c r="D2172" t="s">
        <v>10</v>
      </c>
      <c r="E2172" t="str">
        <f>"$ 31,401"</f>
        <v>$ 31,401</v>
      </c>
      <c r="F2172">
        <v>189</v>
      </c>
    </row>
    <row r="2173" spans="1:6">
      <c r="A2173" t="s">
        <v>2174</v>
      </c>
      <c r="B2173" t="str">
        <f t="shared" si="9"/>
        <v>0.00407%</v>
      </c>
      <c r="C2173" t="s">
        <v>10</v>
      </c>
      <c r="D2173" t="s">
        <v>10</v>
      </c>
      <c r="E2173" t="str">
        <f>"$ 31,457"</f>
        <v>$ 31,457</v>
      </c>
      <c r="F2173" s="1">
        <v>1437</v>
      </c>
    </row>
    <row r="2174" spans="1:6">
      <c r="A2174" t="s">
        <v>2175</v>
      </c>
      <c r="B2174" t="str">
        <f t="shared" si="9"/>
        <v>0.00407%</v>
      </c>
      <c r="C2174" t="s">
        <v>10</v>
      </c>
      <c r="D2174" t="s">
        <v>10</v>
      </c>
      <c r="E2174" t="str">
        <f>"$ 31,446"</f>
        <v>$ 31,446</v>
      </c>
      <c r="F2174" s="1">
        <v>19964</v>
      </c>
    </row>
    <row r="2175" spans="1:6">
      <c r="A2175" t="s">
        <v>2176</v>
      </c>
      <c r="B2175" t="str">
        <f t="shared" si="9"/>
        <v>0.00407%</v>
      </c>
      <c r="C2175" t="s">
        <v>10</v>
      </c>
      <c r="D2175" t="s">
        <v>10</v>
      </c>
      <c r="E2175" t="str">
        <f>"$ 31,405"</f>
        <v>$ 31,405</v>
      </c>
      <c r="F2175">
        <v>876</v>
      </c>
    </row>
    <row r="2176" spans="1:6">
      <c r="A2176" t="s">
        <v>2177</v>
      </c>
      <c r="B2176" t="str">
        <f t="shared" si="9"/>
        <v>0.00407%</v>
      </c>
      <c r="C2176" t="s">
        <v>10</v>
      </c>
      <c r="D2176" t="s">
        <v>10</v>
      </c>
      <c r="E2176" t="str">
        <f>"$ 31,451"</f>
        <v>$ 31,451</v>
      </c>
      <c r="F2176">
        <v>642</v>
      </c>
    </row>
    <row r="2177" spans="1:6">
      <c r="A2177" t="s">
        <v>2178</v>
      </c>
      <c r="B2177" t="str">
        <f t="shared" ref="B2177:B2182" si="10">"0.00406%"</f>
        <v>0.00406%</v>
      </c>
      <c r="C2177" t="s">
        <v>10</v>
      </c>
      <c r="D2177" t="s">
        <v>10</v>
      </c>
      <c r="E2177" t="str">
        <f>"$ 31,380"</f>
        <v>$ 31,380</v>
      </c>
      <c r="F2177" s="1">
        <v>8049</v>
      </c>
    </row>
    <row r="2178" spans="1:6">
      <c r="A2178" t="s">
        <v>2179</v>
      </c>
      <c r="B2178" t="str">
        <f t="shared" si="10"/>
        <v>0.00406%</v>
      </c>
      <c r="C2178" t="s">
        <v>10</v>
      </c>
      <c r="D2178" t="s">
        <v>10</v>
      </c>
      <c r="E2178" t="str">
        <f>"$ 31,378"</f>
        <v>$ 31,378</v>
      </c>
      <c r="F2178">
        <v>280</v>
      </c>
    </row>
    <row r="2179" spans="1:6">
      <c r="A2179" t="s">
        <v>2180</v>
      </c>
      <c r="B2179" t="str">
        <f t="shared" si="10"/>
        <v>0.00406%</v>
      </c>
      <c r="C2179" t="s">
        <v>10</v>
      </c>
      <c r="D2179" t="s">
        <v>10</v>
      </c>
      <c r="E2179" t="str">
        <f>"$ 31,371"</f>
        <v>$ 31,371</v>
      </c>
      <c r="F2179" s="1">
        <v>1204</v>
      </c>
    </row>
    <row r="2180" spans="1:6">
      <c r="A2180" t="s">
        <v>2181</v>
      </c>
      <c r="B2180" t="str">
        <f t="shared" si="10"/>
        <v>0.00406%</v>
      </c>
      <c r="C2180" t="s">
        <v>10</v>
      </c>
      <c r="D2180" t="s">
        <v>10</v>
      </c>
      <c r="E2180" t="str">
        <f>"$ 31,323"</f>
        <v>$ 31,323</v>
      </c>
      <c r="F2180">
        <v>80</v>
      </c>
    </row>
    <row r="2181" spans="1:6">
      <c r="A2181" t="s">
        <v>2182</v>
      </c>
      <c r="B2181" t="str">
        <f t="shared" si="10"/>
        <v>0.00406%</v>
      </c>
      <c r="C2181" t="s">
        <v>10</v>
      </c>
      <c r="D2181" t="s">
        <v>10</v>
      </c>
      <c r="E2181" t="str">
        <f>"$ 31,345"</f>
        <v>$ 31,345</v>
      </c>
      <c r="F2181" s="1">
        <v>1386</v>
      </c>
    </row>
    <row r="2182" spans="1:6">
      <c r="A2182" t="s">
        <v>2183</v>
      </c>
      <c r="B2182" t="str">
        <f t="shared" si="10"/>
        <v>0.00406%</v>
      </c>
      <c r="C2182" t="s">
        <v>10</v>
      </c>
      <c r="D2182" t="s">
        <v>10</v>
      </c>
      <c r="E2182" t="str">
        <f>"$ 31,380"</f>
        <v>$ 31,380</v>
      </c>
      <c r="F2182">
        <v>504</v>
      </c>
    </row>
    <row r="2183" spans="1:6">
      <c r="A2183" t="s">
        <v>2184</v>
      </c>
      <c r="B2183" t="str">
        <f>"0.00405%"</f>
        <v>0.00405%</v>
      </c>
      <c r="C2183" t="s">
        <v>10</v>
      </c>
      <c r="D2183" t="s">
        <v>10</v>
      </c>
      <c r="E2183" t="str">
        <f>"$ 31,312"</f>
        <v>$ 31,312</v>
      </c>
      <c r="F2183">
        <v>368</v>
      </c>
    </row>
    <row r="2184" spans="1:6">
      <c r="A2184" t="s">
        <v>2185</v>
      </c>
      <c r="B2184" t="str">
        <f>"0.00405%"</f>
        <v>0.00405%</v>
      </c>
      <c r="C2184" t="s">
        <v>10</v>
      </c>
      <c r="D2184" t="s">
        <v>10</v>
      </c>
      <c r="E2184" t="str">
        <f>"$ 31,278"</f>
        <v>$ 31,278</v>
      </c>
      <c r="F2184" s="1">
        <v>1698</v>
      </c>
    </row>
    <row r="2185" spans="1:6">
      <c r="A2185" t="s">
        <v>2186</v>
      </c>
      <c r="B2185" t="str">
        <f>"0.00405%"</f>
        <v>0.00405%</v>
      </c>
      <c r="C2185" t="s">
        <v>10</v>
      </c>
      <c r="D2185" t="s">
        <v>10</v>
      </c>
      <c r="E2185" t="str">
        <f>"$ 31,281"</f>
        <v>$ 31,281</v>
      </c>
      <c r="F2185" s="1">
        <v>4619</v>
      </c>
    </row>
    <row r="2186" spans="1:6">
      <c r="A2186" t="s">
        <v>2187</v>
      </c>
      <c r="B2186" t="str">
        <f>"0.00405%"</f>
        <v>0.00405%</v>
      </c>
      <c r="C2186" t="s">
        <v>10</v>
      </c>
      <c r="D2186" t="s">
        <v>10</v>
      </c>
      <c r="E2186" t="str">
        <f>"$ 31,248"</f>
        <v>$ 31,248</v>
      </c>
      <c r="F2186">
        <v>348</v>
      </c>
    </row>
    <row r="2187" spans="1:6">
      <c r="A2187" t="s">
        <v>2188</v>
      </c>
      <c r="B2187" t="str">
        <f>"0.00405%"</f>
        <v>0.00405%</v>
      </c>
      <c r="C2187" t="s">
        <v>10</v>
      </c>
      <c r="D2187" t="s">
        <v>10</v>
      </c>
      <c r="E2187" t="str">
        <f>"$ 31,280"</f>
        <v>$ 31,280</v>
      </c>
      <c r="F2187">
        <v>419</v>
      </c>
    </row>
    <row r="2188" spans="1:6">
      <c r="A2188" t="s">
        <v>2189</v>
      </c>
      <c r="B2188" t="str">
        <f>"0.00404%"</f>
        <v>0.00404%</v>
      </c>
      <c r="C2188" t="s">
        <v>10</v>
      </c>
      <c r="D2188" t="s">
        <v>10</v>
      </c>
      <c r="E2188" t="str">
        <f>"$ 31,219"</f>
        <v>$ 31,219</v>
      </c>
      <c r="F2188">
        <v>610</v>
      </c>
    </row>
    <row r="2189" spans="1:6">
      <c r="A2189" t="s">
        <v>2190</v>
      </c>
      <c r="B2189" t="str">
        <f>"0.00403%"</f>
        <v>0.00403%</v>
      </c>
      <c r="C2189" t="s">
        <v>10</v>
      </c>
      <c r="D2189" t="s">
        <v>10</v>
      </c>
      <c r="E2189" t="str">
        <f>"$ 31,117"</f>
        <v>$ 31,117</v>
      </c>
      <c r="F2189" s="1">
        <v>2748</v>
      </c>
    </row>
    <row r="2190" spans="1:6">
      <c r="A2190" t="s">
        <v>2191</v>
      </c>
      <c r="B2190" t="str">
        <f>"0.00403%"</f>
        <v>0.00403%</v>
      </c>
      <c r="C2190" t="s">
        <v>10</v>
      </c>
      <c r="D2190" t="s">
        <v>10</v>
      </c>
      <c r="E2190" t="str">
        <f>"$ 31,109"</f>
        <v>$ 31,109</v>
      </c>
      <c r="F2190">
        <v>277</v>
      </c>
    </row>
    <row r="2191" spans="1:6">
      <c r="A2191" t="s">
        <v>2192</v>
      </c>
      <c r="B2191" t="str">
        <f>"0.00402%"</f>
        <v>0.00402%</v>
      </c>
      <c r="C2191" t="s">
        <v>10</v>
      </c>
      <c r="D2191" t="s">
        <v>10</v>
      </c>
      <c r="E2191" t="str">
        <f>"$ 31,062"</f>
        <v>$ 31,062</v>
      </c>
      <c r="F2191">
        <v>690</v>
      </c>
    </row>
    <row r="2192" spans="1:6">
      <c r="A2192" t="s">
        <v>2193</v>
      </c>
      <c r="B2192" t="str">
        <f>"0.00402%"</f>
        <v>0.00402%</v>
      </c>
      <c r="C2192" t="s">
        <v>10</v>
      </c>
      <c r="D2192" t="s">
        <v>10</v>
      </c>
      <c r="E2192" t="str">
        <f>"$ 31,068"</f>
        <v>$ 31,068</v>
      </c>
      <c r="F2192">
        <v>839</v>
      </c>
    </row>
    <row r="2193" spans="1:6">
      <c r="A2193" t="s">
        <v>2194</v>
      </c>
      <c r="B2193" t="str">
        <f>"0.00401%"</f>
        <v>0.00401%</v>
      </c>
      <c r="C2193" t="s">
        <v>10</v>
      </c>
      <c r="D2193" t="s">
        <v>10</v>
      </c>
      <c r="E2193" t="str">
        <f>"$ 30,946"</f>
        <v>$ 30,946</v>
      </c>
      <c r="F2193" s="1">
        <v>9621</v>
      </c>
    </row>
    <row r="2194" spans="1:6">
      <c r="A2194" t="s">
        <v>2195</v>
      </c>
      <c r="B2194" t="str">
        <f>"0.00401%"</f>
        <v>0.00401%</v>
      </c>
      <c r="C2194" t="s">
        <v>10</v>
      </c>
      <c r="D2194" t="s">
        <v>10</v>
      </c>
      <c r="E2194" t="str">
        <f>"$ 31,000"</f>
        <v>$ 31,000</v>
      </c>
      <c r="F2194">
        <v>483</v>
      </c>
    </row>
    <row r="2195" spans="1:6">
      <c r="A2195" t="s">
        <v>2196</v>
      </c>
      <c r="B2195" t="str">
        <f>"0.00401%"</f>
        <v>0.00401%</v>
      </c>
      <c r="C2195" t="s">
        <v>10</v>
      </c>
      <c r="D2195" t="s">
        <v>10</v>
      </c>
      <c r="E2195" t="str">
        <f>"$ 30,953"</f>
        <v>$ 30,953</v>
      </c>
      <c r="F2195">
        <v>320</v>
      </c>
    </row>
    <row r="2196" spans="1:6">
      <c r="A2196" t="s">
        <v>2197</v>
      </c>
      <c r="B2196" t="str">
        <f>"0.00401%"</f>
        <v>0.00401%</v>
      </c>
      <c r="C2196" t="s">
        <v>10</v>
      </c>
      <c r="D2196" t="s">
        <v>10</v>
      </c>
      <c r="E2196" t="str">
        <f>"$ 30,973"</f>
        <v>$ 30,973</v>
      </c>
      <c r="F2196">
        <v>995</v>
      </c>
    </row>
    <row r="2197" spans="1:6">
      <c r="A2197" t="s">
        <v>2198</v>
      </c>
      <c r="B2197" t="str">
        <f>"0.00401%"</f>
        <v>0.00401%</v>
      </c>
      <c r="C2197" t="s">
        <v>10</v>
      </c>
      <c r="D2197" t="s">
        <v>10</v>
      </c>
      <c r="E2197" t="str">
        <f>"$ 30,939"</f>
        <v>$ 30,939</v>
      </c>
      <c r="F2197">
        <v>290</v>
      </c>
    </row>
    <row r="2198" spans="1:6">
      <c r="A2198" t="s">
        <v>2199</v>
      </c>
      <c r="B2198" t="str">
        <f>"0.00400%"</f>
        <v>0.00400%</v>
      </c>
      <c r="C2198" t="s">
        <v>10</v>
      </c>
      <c r="D2198" t="s">
        <v>10</v>
      </c>
      <c r="E2198" t="str">
        <f>"$ 30,892"</f>
        <v>$ 30,892</v>
      </c>
      <c r="F2198">
        <v>9</v>
      </c>
    </row>
    <row r="2199" spans="1:6">
      <c r="A2199" t="s">
        <v>2200</v>
      </c>
      <c r="B2199" t="str">
        <f>"0.00400%"</f>
        <v>0.00400%</v>
      </c>
      <c r="C2199" t="s">
        <v>10</v>
      </c>
      <c r="D2199" t="s">
        <v>10</v>
      </c>
      <c r="E2199" t="str">
        <f>"$ 30,924"</f>
        <v>$ 30,924</v>
      </c>
      <c r="F2199">
        <v>424</v>
      </c>
    </row>
    <row r="2200" spans="1:6">
      <c r="A2200" t="s">
        <v>2201</v>
      </c>
      <c r="B2200" t="str">
        <f>"0.00400%"</f>
        <v>0.00400%</v>
      </c>
      <c r="C2200" t="s">
        <v>10</v>
      </c>
      <c r="D2200" t="s">
        <v>10</v>
      </c>
      <c r="E2200" t="str">
        <f>"$ 30,925"</f>
        <v>$ 30,925</v>
      </c>
      <c r="F2200" s="1">
        <v>3856</v>
      </c>
    </row>
    <row r="2201" spans="1:6">
      <c r="A2201" t="s">
        <v>2202</v>
      </c>
      <c r="B2201" t="str">
        <f>"0.00400%"</f>
        <v>0.00400%</v>
      </c>
      <c r="C2201" t="s">
        <v>10</v>
      </c>
      <c r="D2201" t="s">
        <v>10</v>
      </c>
      <c r="E2201" t="str">
        <f>"$ 30,855"</f>
        <v>$ 30,855</v>
      </c>
      <c r="F2201" s="1">
        <v>4946</v>
      </c>
    </row>
    <row r="2202" spans="1:6">
      <c r="A2202" t="s">
        <v>2203</v>
      </c>
      <c r="B2202" t="str">
        <f>"0.00400%"</f>
        <v>0.00400%</v>
      </c>
      <c r="C2202" t="s">
        <v>10</v>
      </c>
      <c r="D2202" t="s">
        <v>10</v>
      </c>
      <c r="E2202" t="str">
        <f>"$ 30,911"</f>
        <v>$ 30,911</v>
      </c>
      <c r="F2202" s="1">
        <v>11944</v>
      </c>
    </row>
    <row r="2203" spans="1:6">
      <c r="A2203" t="s">
        <v>2204</v>
      </c>
      <c r="B2203" t="str">
        <f>"0.00399%"</f>
        <v>0.00399%</v>
      </c>
      <c r="C2203" t="s">
        <v>10</v>
      </c>
      <c r="D2203" t="s">
        <v>10</v>
      </c>
      <c r="E2203" t="str">
        <f>"$ 30,842"</f>
        <v>$ 30,842</v>
      </c>
      <c r="F2203">
        <v>875</v>
      </c>
    </row>
    <row r="2204" spans="1:6">
      <c r="A2204" t="s">
        <v>2205</v>
      </c>
      <c r="B2204" t="str">
        <f>"0.00399%"</f>
        <v>0.00399%</v>
      </c>
      <c r="C2204" t="s">
        <v>10</v>
      </c>
      <c r="D2204" t="s">
        <v>10</v>
      </c>
      <c r="E2204" t="str">
        <f>"$ 30,836"</f>
        <v>$ 30,836</v>
      </c>
      <c r="F2204" s="1">
        <v>1305</v>
      </c>
    </row>
    <row r="2205" spans="1:6">
      <c r="A2205" t="s">
        <v>2206</v>
      </c>
      <c r="B2205" t="str">
        <f>"0.00399%"</f>
        <v>0.00399%</v>
      </c>
      <c r="C2205" t="s">
        <v>10</v>
      </c>
      <c r="D2205" t="s">
        <v>10</v>
      </c>
      <c r="E2205" t="str">
        <f>"$ 30,790"</f>
        <v>$ 30,790</v>
      </c>
      <c r="F2205">
        <v>723</v>
      </c>
    </row>
    <row r="2206" spans="1:6">
      <c r="A2206" t="s">
        <v>2207</v>
      </c>
      <c r="B2206" t="str">
        <f t="shared" ref="B2206:B2211" si="11">"0.00398%"</f>
        <v>0.00398%</v>
      </c>
      <c r="C2206" t="s">
        <v>10</v>
      </c>
      <c r="D2206" t="s">
        <v>10</v>
      </c>
      <c r="E2206" t="str">
        <f>"$ 30,711"</f>
        <v>$ 30,711</v>
      </c>
      <c r="F2206">
        <v>269</v>
      </c>
    </row>
    <row r="2207" spans="1:6">
      <c r="A2207" t="s">
        <v>2208</v>
      </c>
      <c r="B2207" t="str">
        <f t="shared" si="11"/>
        <v>0.00398%</v>
      </c>
      <c r="C2207" t="s">
        <v>10</v>
      </c>
      <c r="D2207" t="s">
        <v>10</v>
      </c>
      <c r="E2207" t="str">
        <f>"$ 30,743"</f>
        <v>$ 30,743</v>
      </c>
      <c r="F2207">
        <v>159</v>
      </c>
    </row>
    <row r="2208" spans="1:6">
      <c r="A2208" t="s">
        <v>2209</v>
      </c>
      <c r="B2208" t="str">
        <f t="shared" si="11"/>
        <v>0.00398%</v>
      </c>
      <c r="C2208" t="s">
        <v>10</v>
      </c>
      <c r="D2208" t="s">
        <v>10</v>
      </c>
      <c r="E2208" t="str">
        <f>"$ 30,717"</f>
        <v>$ 30,717</v>
      </c>
      <c r="F2208">
        <v>775</v>
      </c>
    </row>
    <row r="2209" spans="1:6">
      <c r="A2209" t="s">
        <v>2210</v>
      </c>
      <c r="B2209" t="str">
        <f t="shared" si="11"/>
        <v>0.00398%</v>
      </c>
      <c r="C2209" t="s">
        <v>10</v>
      </c>
      <c r="D2209" t="s">
        <v>10</v>
      </c>
      <c r="E2209" t="str">
        <f>"$ 30,721"</f>
        <v>$ 30,721</v>
      </c>
      <c r="F2209">
        <v>247</v>
      </c>
    </row>
    <row r="2210" spans="1:6">
      <c r="A2210" t="s">
        <v>2211</v>
      </c>
      <c r="B2210" t="str">
        <f t="shared" si="11"/>
        <v>0.00398%</v>
      </c>
      <c r="C2210" t="s">
        <v>10</v>
      </c>
      <c r="D2210" t="s">
        <v>10</v>
      </c>
      <c r="E2210" t="str">
        <f>"$ 30,719"</f>
        <v>$ 30,719</v>
      </c>
      <c r="F2210">
        <v>425</v>
      </c>
    </row>
    <row r="2211" spans="1:6">
      <c r="A2211" t="s">
        <v>2212</v>
      </c>
      <c r="B2211" t="str">
        <f t="shared" si="11"/>
        <v>0.00398%</v>
      </c>
      <c r="C2211" t="s">
        <v>10</v>
      </c>
      <c r="D2211" t="s">
        <v>10</v>
      </c>
      <c r="E2211" t="str">
        <f>"$ 30,750"</f>
        <v>$ 30,750</v>
      </c>
      <c r="F2211" s="1">
        <v>2106</v>
      </c>
    </row>
    <row r="2212" spans="1:6">
      <c r="A2212" t="s">
        <v>2213</v>
      </c>
      <c r="B2212" t="str">
        <f>"0.00397%"</f>
        <v>0.00397%</v>
      </c>
      <c r="C2212" t="s">
        <v>10</v>
      </c>
      <c r="D2212" t="s">
        <v>10</v>
      </c>
      <c r="E2212" t="str">
        <f>"$ 30,641"</f>
        <v>$ 30,641</v>
      </c>
      <c r="F2212" s="1">
        <v>4049</v>
      </c>
    </row>
    <row r="2213" spans="1:6">
      <c r="A2213" t="s">
        <v>2214</v>
      </c>
      <c r="B2213" t="str">
        <f>"0.00397%"</f>
        <v>0.00397%</v>
      </c>
      <c r="C2213" t="s">
        <v>10</v>
      </c>
      <c r="D2213" t="s">
        <v>10</v>
      </c>
      <c r="E2213" t="str">
        <f>"$ 30,634"</f>
        <v>$ 30,634</v>
      </c>
      <c r="F2213">
        <v>966</v>
      </c>
    </row>
    <row r="2214" spans="1:6">
      <c r="A2214" t="s">
        <v>2215</v>
      </c>
      <c r="B2214" t="str">
        <f>"0.00396%"</f>
        <v>0.00396%</v>
      </c>
      <c r="C2214" t="s">
        <v>10</v>
      </c>
      <c r="D2214" t="s">
        <v>10</v>
      </c>
      <c r="E2214" t="str">
        <f>"$ 30,584"</f>
        <v>$ 30,584</v>
      </c>
      <c r="F2214">
        <v>709</v>
      </c>
    </row>
    <row r="2215" spans="1:6">
      <c r="A2215" t="s">
        <v>2216</v>
      </c>
      <c r="B2215" t="str">
        <f>"0.00396%"</f>
        <v>0.00396%</v>
      </c>
      <c r="C2215" t="s">
        <v>10</v>
      </c>
      <c r="D2215" t="s">
        <v>10</v>
      </c>
      <c r="E2215" t="str">
        <f>"$ 30,612"</f>
        <v>$ 30,612</v>
      </c>
      <c r="F2215">
        <v>23</v>
      </c>
    </row>
    <row r="2216" spans="1:6">
      <c r="A2216" t="s">
        <v>2217</v>
      </c>
      <c r="B2216" t="str">
        <f>"0.00395%"</f>
        <v>0.00395%</v>
      </c>
      <c r="C2216" t="s">
        <v>10</v>
      </c>
      <c r="D2216" t="s">
        <v>10</v>
      </c>
      <c r="E2216" t="str">
        <f>"$ 30,494"</f>
        <v>$ 30,494</v>
      </c>
      <c r="F2216" s="1">
        <v>9275</v>
      </c>
    </row>
    <row r="2217" spans="1:6">
      <c r="A2217" t="s">
        <v>2218</v>
      </c>
      <c r="B2217" t="str">
        <f>"0.00395%"</f>
        <v>0.00395%</v>
      </c>
      <c r="C2217" t="s">
        <v>10</v>
      </c>
      <c r="D2217" t="s">
        <v>10</v>
      </c>
      <c r="E2217" t="str">
        <f>"$ 30,505"</f>
        <v>$ 30,505</v>
      </c>
      <c r="F2217">
        <v>222</v>
      </c>
    </row>
    <row r="2218" spans="1:6">
      <c r="A2218" t="s">
        <v>2219</v>
      </c>
      <c r="B2218" t="str">
        <f>"0.00395%"</f>
        <v>0.00395%</v>
      </c>
      <c r="C2218" t="s">
        <v>10</v>
      </c>
      <c r="D2218" t="s">
        <v>10</v>
      </c>
      <c r="E2218" t="str">
        <f>"$ 30,534"</f>
        <v>$ 30,534</v>
      </c>
      <c r="F2218">
        <v>181</v>
      </c>
    </row>
    <row r="2219" spans="1:6">
      <c r="A2219" t="s">
        <v>2220</v>
      </c>
      <c r="B2219" t="str">
        <f>"0.00394%"</f>
        <v>0.00394%</v>
      </c>
      <c r="C2219" t="s">
        <v>10</v>
      </c>
      <c r="D2219" t="s">
        <v>10</v>
      </c>
      <c r="E2219" t="str">
        <f>"$ 30,458"</f>
        <v>$ 30,458</v>
      </c>
      <c r="F2219">
        <v>569</v>
      </c>
    </row>
    <row r="2220" spans="1:6">
      <c r="A2220" t="s">
        <v>2221</v>
      </c>
      <c r="B2220" t="str">
        <f>"0.00394%"</f>
        <v>0.00394%</v>
      </c>
      <c r="C2220" t="s">
        <v>10</v>
      </c>
      <c r="D2220" t="s">
        <v>10</v>
      </c>
      <c r="E2220" t="str">
        <f>"$ 30,460"</f>
        <v>$ 30,460</v>
      </c>
      <c r="F2220">
        <v>676</v>
      </c>
    </row>
    <row r="2221" spans="1:6">
      <c r="A2221" t="s">
        <v>2222</v>
      </c>
      <c r="B2221" t="str">
        <f>"0.00393%"</f>
        <v>0.00393%</v>
      </c>
      <c r="C2221" t="s">
        <v>10</v>
      </c>
      <c r="D2221" t="s">
        <v>10</v>
      </c>
      <c r="E2221" t="str">
        <f>"$ 30,322"</f>
        <v>$ 30,322</v>
      </c>
      <c r="F2221" s="1">
        <v>1006</v>
      </c>
    </row>
    <row r="2222" spans="1:6">
      <c r="A2222" t="s">
        <v>2223</v>
      </c>
      <c r="B2222" t="str">
        <f>"0.00393%"</f>
        <v>0.00393%</v>
      </c>
      <c r="C2222" t="s">
        <v>10</v>
      </c>
      <c r="D2222" t="s">
        <v>10</v>
      </c>
      <c r="E2222" t="str">
        <f>"$ 30,318"</f>
        <v>$ 30,318</v>
      </c>
      <c r="F2222" s="1">
        <v>1675</v>
      </c>
    </row>
    <row r="2223" spans="1:6">
      <c r="A2223" t="s">
        <v>2224</v>
      </c>
      <c r="B2223" t="str">
        <f>"0.00392%"</f>
        <v>0.00392%</v>
      </c>
      <c r="C2223" t="s">
        <v>10</v>
      </c>
      <c r="D2223" t="s">
        <v>10</v>
      </c>
      <c r="E2223" t="str">
        <f>"$ 30,292"</f>
        <v>$ 30,292</v>
      </c>
      <c r="F2223" s="1">
        <v>13273</v>
      </c>
    </row>
    <row r="2224" spans="1:6">
      <c r="A2224" t="s">
        <v>2225</v>
      </c>
      <c r="B2224" t="str">
        <f>"0.00392%"</f>
        <v>0.00392%</v>
      </c>
      <c r="C2224" t="s">
        <v>10</v>
      </c>
      <c r="D2224" t="s">
        <v>10</v>
      </c>
      <c r="E2224" t="str">
        <f>"$ 30,294"</f>
        <v>$ 30,294</v>
      </c>
      <c r="F2224" s="1">
        <v>2268</v>
      </c>
    </row>
    <row r="2225" spans="1:6">
      <c r="A2225" t="s">
        <v>2226</v>
      </c>
      <c r="B2225" t="str">
        <f>"0.00391%"</f>
        <v>0.00391%</v>
      </c>
      <c r="C2225" t="s">
        <v>10</v>
      </c>
      <c r="D2225" t="s">
        <v>10</v>
      </c>
      <c r="E2225" t="str">
        <f>"$ 30,220"</f>
        <v>$ 30,220</v>
      </c>
      <c r="F2225">
        <v>77</v>
      </c>
    </row>
    <row r="2226" spans="1:6">
      <c r="A2226" t="s">
        <v>2227</v>
      </c>
      <c r="B2226" t="str">
        <f>"0.00391%"</f>
        <v>0.00391%</v>
      </c>
      <c r="C2226" t="s">
        <v>10</v>
      </c>
      <c r="D2226" t="s">
        <v>10</v>
      </c>
      <c r="E2226" t="str">
        <f>"$ 30,209"</f>
        <v>$ 30,209</v>
      </c>
      <c r="F2226">
        <v>488</v>
      </c>
    </row>
    <row r="2227" spans="1:6">
      <c r="A2227" t="s">
        <v>2228</v>
      </c>
      <c r="B2227" t="str">
        <f>"0.00391%"</f>
        <v>0.00391%</v>
      </c>
      <c r="C2227" t="s">
        <v>10</v>
      </c>
      <c r="D2227" t="s">
        <v>10</v>
      </c>
      <c r="E2227" t="str">
        <f>"$ 30,183"</f>
        <v>$ 30,183</v>
      </c>
      <c r="F2227" s="1">
        <v>5243</v>
      </c>
    </row>
    <row r="2228" spans="1:6">
      <c r="A2228" t="s">
        <v>2229</v>
      </c>
      <c r="B2228" t="str">
        <f>"0.00390%"</f>
        <v>0.00390%</v>
      </c>
      <c r="C2228" t="s">
        <v>10</v>
      </c>
      <c r="D2228" t="s">
        <v>10</v>
      </c>
      <c r="E2228" t="str">
        <f>"$ 30,116"</f>
        <v>$ 30,116</v>
      </c>
      <c r="F2228">
        <v>152</v>
      </c>
    </row>
    <row r="2229" spans="1:6">
      <c r="A2229" t="s">
        <v>2230</v>
      </c>
      <c r="B2229" t="str">
        <f>"0.00390%"</f>
        <v>0.00390%</v>
      </c>
      <c r="C2229" t="s">
        <v>10</v>
      </c>
      <c r="D2229" t="s">
        <v>10</v>
      </c>
      <c r="E2229" t="str">
        <f>"$ 30,093"</f>
        <v>$ 30,093</v>
      </c>
      <c r="F2229">
        <v>593</v>
      </c>
    </row>
    <row r="2230" spans="1:6">
      <c r="A2230" t="s">
        <v>2231</v>
      </c>
      <c r="B2230" t="str">
        <f>"0.00389%"</f>
        <v>0.00389%</v>
      </c>
      <c r="C2230" t="s">
        <v>10</v>
      </c>
      <c r="D2230" t="s">
        <v>10</v>
      </c>
      <c r="E2230" t="str">
        <f>"$ 30,054"</f>
        <v>$ 30,054</v>
      </c>
      <c r="F2230" s="1">
        <v>1034</v>
      </c>
    </row>
    <row r="2231" spans="1:6">
      <c r="A2231" t="s">
        <v>2232</v>
      </c>
      <c r="B2231" t="str">
        <f>"0.00389%"</f>
        <v>0.00389%</v>
      </c>
      <c r="C2231" t="s">
        <v>10</v>
      </c>
      <c r="D2231" t="s">
        <v>10</v>
      </c>
      <c r="E2231" t="str">
        <f>"$ 30,024"</f>
        <v>$ 30,024</v>
      </c>
      <c r="F2231" s="1">
        <v>2830</v>
      </c>
    </row>
    <row r="2232" spans="1:6">
      <c r="A2232" t="s">
        <v>2233</v>
      </c>
      <c r="B2232" t="str">
        <f>"0.00389%"</f>
        <v>0.00389%</v>
      </c>
      <c r="C2232" t="s">
        <v>10</v>
      </c>
      <c r="D2232" t="s">
        <v>10</v>
      </c>
      <c r="E2232" t="str">
        <f>"$ 30,008"</f>
        <v>$ 30,008</v>
      </c>
      <c r="F2232">
        <v>561</v>
      </c>
    </row>
    <row r="2233" spans="1:6">
      <c r="A2233" t="s">
        <v>2234</v>
      </c>
      <c r="B2233" t="str">
        <f>"0.00388%"</f>
        <v>0.00388%</v>
      </c>
      <c r="C2233" t="s">
        <v>10</v>
      </c>
      <c r="D2233" t="s">
        <v>10</v>
      </c>
      <c r="E2233" t="str">
        <f>"$ 29,968"</f>
        <v>$ 29,968</v>
      </c>
      <c r="F2233">
        <v>346</v>
      </c>
    </row>
    <row r="2234" spans="1:6">
      <c r="A2234" t="s">
        <v>2235</v>
      </c>
      <c r="B2234" t="str">
        <f>"0.00388%"</f>
        <v>0.00388%</v>
      </c>
      <c r="C2234" t="s">
        <v>10</v>
      </c>
      <c r="D2234" t="s">
        <v>10</v>
      </c>
      <c r="E2234" t="str">
        <f>"$ 29,983"</f>
        <v>$ 29,983</v>
      </c>
      <c r="F2234" s="1">
        <v>1026</v>
      </c>
    </row>
    <row r="2235" spans="1:6">
      <c r="A2235" t="s">
        <v>2236</v>
      </c>
      <c r="B2235" t="str">
        <f>"0.00388%"</f>
        <v>0.00388%</v>
      </c>
      <c r="C2235" t="s">
        <v>10</v>
      </c>
      <c r="D2235" t="s">
        <v>10</v>
      </c>
      <c r="E2235" t="str">
        <f>"$ 29,982"</f>
        <v>$ 29,982</v>
      </c>
      <c r="F2235">
        <v>479</v>
      </c>
    </row>
    <row r="2236" spans="1:6">
      <c r="A2236" t="s">
        <v>2237</v>
      </c>
      <c r="B2236" t="str">
        <f>"0.00388%"</f>
        <v>0.00388%</v>
      </c>
      <c r="C2236" t="s">
        <v>10</v>
      </c>
      <c r="D2236" t="s">
        <v>10</v>
      </c>
      <c r="E2236" t="str">
        <f>"$ 29,959"</f>
        <v>$ 29,959</v>
      </c>
      <c r="F2236" s="1">
        <v>9374</v>
      </c>
    </row>
    <row r="2237" spans="1:6">
      <c r="A2237" t="s">
        <v>2238</v>
      </c>
      <c r="B2237" t="str">
        <f>"0.00388%"</f>
        <v>0.00388%</v>
      </c>
      <c r="C2237" t="s">
        <v>10</v>
      </c>
      <c r="D2237" t="s">
        <v>10</v>
      </c>
      <c r="E2237" t="str">
        <f>"$ 29,963"</f>
        <v>$ 29,963</v>
      </c>
      <c r="F2237">
        <v>777</v>
      </c>
    </row>
    <row r="2238" spans="1:6">
      <c r="A2238" t="s">
        <v>2239</v>
      </c>
      <c r="B2238" t="str">
        <f>"0.00387%"</f>
        <v>0.00387%</v>
      </c>
      <c r="C2238" t="s">
        <v>10</v>
      </c>
      <c r="D2238" t="s">
        <v>10</v>
      </c>
      <c r="E2238" t="str">
        <f>"$ 29,918"</f>
        <v>$ 29,918</v>
      </c>
      <c r="F2238" s="1">
        <v>1171</v>
      </c>
    </row>
    <row r="2239" spans="1:6">
      <c r="A2239" t="s">
        <v>2240</v>
      </c>
      <c r="B2239" t="str">
        <f>"0.00387%"</f>
        <v>0.00387%</v>
      </c>
      <c r="C2239" t="s">
        <v>10</v>
      </c>
      <c r="D2239" t="s">
        <v>10</v>
      </c>
      <c r="E2239" t="str">
        <f>"$ 29,914"</f>
        <v>$ 29,914</v>
      </c>
      <c r="F2239" s="1">
        <v>2251</v>
      </c>
    </row>
    <row r="2240" spans="1:6">
      <c r="A2240" t="s">
        <v>2241</v>
      </c>
      <c r="B2240" t="str">
        <f>"0.00387%"</f>
        <v>0.00387%</v>
      </c>
      <c r="C2240" t="s">
        <v>10</v>
      </c>
      <c r="D2240" t="s">
        <v>10</v>
      </c>
      <c r="E2240" t="str">
        <f>"$ 29,882"</f>
        <v>$ 29,882</v>
      </c>
      <c r="F2240">
        <v>957</v>
      </c>
    </row>
    <row r="2241" spans="1:6">
      <c r="A2241" t="s">
        <v>2242</v>
      </c>
      <c r="B2241" t="str">
        <f>"0.00387%"</f>
        <v>0.00387%</v>
      </c>
      <c r="C2241" t="s">
        <v>10</v>
      </c>
      <c r="D2241" t="s">
        <v>10</v>
      </c>
      <c r="E2241" t="str">
        <f>"$ 29,892"</f>
        <v>$ 29,892</v>
      </c>
      <c r="F2241" s="1">
        <v>25542</v>
      </c>
    </row>
    <row r="2242" spans="1:6">
      <c r="A2242" t="s">
        <v>2243</v>
      </c>
      <c r="B2242" t="str">
        <f>"0.00387%"</f>
        <v>0.00387%</v>
      </c>
      <c r="C2242" t="s">
        <v>10</v>
      </c>
      <c r="D2242" t="s">
        <v>10</v>
      </c>
      <c r="E2242" t="str">
        <f>"$ 29,911"</f>
        <v>$ 29,911</v>
      </c>
      <c r="F2242" s="1">
        <v>1302</v>
      </c>
    </row>
    <row r="2243" spans="1:6">
      <c r="A2243" t="s">
        <v>2244</v>
      </c>
      <c r="B2243" t="str">
        <f t="shared" ref="B2243:B2250" si="12">"0.00386%"</f>
        <v>0.00386%</v>
      </c>
      <c r="C2243" t="s">
        <v>10</v>
      </c>
      <c r="D2243" t="s">
        <v>10</v>
      </c>
      <c r="E2243" t="str">
        <f>"$ 29,800"</f>
        <v>$ 29,800</v>
      </c>
      <c r="F2243" s="1">
        <v>9339</v>
      </c>
    </row>
    <row r="2244" spans="1:6">
      <c r="A2244" t="s">
        <v>2245</v>
      </c>
      <c r="B2244" t="str">
        <f t="shared" si="12"/>
        <v>0.00386%</v>
      </c>
      <c r="C2244" t="s">
        <v>10</v>
      </c>
      <c r="D2244" t="s">
        <v>10</v>
      </c>
      <c r="E2244" t="str">
        <f>"$ 29,829"</f>
        <v>$ 29,829</v>
      </c>
      <c r="F2244" s="1">
        <v>5453</v>
      </c>
    </row>
    <row r="2245" spans="1:6">
      <c r="A2245" t="s">
        <v>2246</v>
      </c>
      <c r="B2245" t="str">
        <f t="shared" si="12"/>
        <v>0.00386%</v>
      </c>
      <c r="C2245" t="s">
        <v>10</v>
      </c>
      <c r="D2245" t="s">
        <v>10</v>
      </c>
      <c r="E2245" t="str">
        <f>"$ 29,844"</f>
        <v>$ 29,844</v>
      </c>
      <c r="F2245">
        <v>338</v>
      </c>
    </row>
    <row r="2246" spans="1:6">
      <c r="A2246" t="s">
        <v>2247</v>
      </c>
      <c r="B2246" t="str">
        <f t="shared" si="12"/>
        <v>0.00386%</v>
      </c>
      <c r="C2246" t="s">
        <v>10</v>
      </c>
      <c r="D2246" t="s">
        <v>10</v>
      </c>
      <c r="E2246" t="str">
        <f>"$ 29,805"</f>
        <v>$ 29,805</v>
      </c>
      <c r="F2246">
        <v>426</v>
      </c>
    </row>
    <row r="2247" spans="1:6">
      <c r="A2247" t="s">
        <v>2248</v>
      </c>
      <c r="B2247" t="str">
        <f t="shared" si="12"/>
        <v>0.00386%</v>
      </c>
      <c r="C2247" t="s">
        <v>10</v>
      </c>
      <c r="D2247" t="s">
        <v>10</v>
      </c>
      <c r="E2247" t="str">
        <f>"$ 29,824"</f>
        <v>$ 29,824</v>
      </c>
      <c r="F2247" s="1">
        <v>3118</v>
      </c>
    </row>
    <row r="2248" spans="1:6">
      <c r="A2248" t="s">
        <v>2249</v>
      </c>
      <c r="B2248" t="str">
        <f t="shared" si="12"/>
        <v>0.00386%</v>
      </c>
      <c r="C2248" t="s">
        <v>10</v>
      </c>
      <c r="D2248" t="s">
        <v>10</v>
      </c>
      <c r="E2248" t="str">
        <f>"$ 29,827"</f>
        <v>$ 29,827</v>
      </c>
      <c r="F2248" s="1">
        <v>1355</v>
      </c>
    </row>
    <row r="2249" spans="1:6">
      <c r="A2249" t="s">
        <v>2250</v>
      </c>
      <c r="B2249" t="str">
        <f t="shared" si="12"/>
        <v>0.00386%</v>
      </c>
      <c r="C2249" t="s">
        <v>10</v>
      </c>
      <c r="D2249" t="s">
        <v>10</v>
      </c>
      <c r="E2249" t="str">
        <f>"$ 29,799"</f>
        <v>$ 29,799</v>
      </c>
      <c r="F2249" s="1">
        <v>3959</v>
      </c>
    </row>
    <row r="2250" spans="1:6">
      <c r="A2250" t="s">
        <v>2251</v>
      </c>
      <c r="B2250" t="str">
        <f t="shared" si="12"/>
        <v>0.00386%</v>
      </c>
      <c r="C2250" t="s">
        <v>10</v>
      </c>
      <c r="D2250" t="s">
        <v>10</v>
      </c>
      <c r="E2250" t="str">
        <f>"$ 29,805"</f>
        <v>$ 29,805</v>
      </c>
      <c r="F2250" s="1">
        <v>1352</v>
      </c>
    </row>
    <row r="2251" spans="1:6">
      <c r="A2251" t="s">
        <v>2252</v>
      </c>
      <c r="B2251" t="str">
        <f t="shared" ref="B2251:B2257" si="13">"0.00385%"</f>
        <v>0.00385%</v>
      </c>
      <c r="C2251" t="s">
        <v>10</v>
      </c>
      <c r="D2251" t="s">
        <v>10</v>
      </c>
      <c r="E2251" t="str">
        <f>"$ 29,693"</f>
        <v>$ 29,693</v>
      </c>
      <c r="F2251" s="1">
        <v>2234</v>
      </c>
    </row>
    <row r="2252" spans="1:6">
      <c r="A2252" t="s">
        <v>2253</v>
      </c>
      <c r="B2252" t="str">
        <f t="shared" si="13"/>
        <v>0.00385%</v>
      </c>
      <c r="C2252" t="s">
        <v>10</v>
      </c>
      <c r="D2252" t="s">
        <v>10</v>
      </c>
      <c r="E2252" t="str">
        <f>"$ 29,707"</f>
        <v>$ 29,707</v>
      </c>
      <c r="F2252" s="1">
        <v>6228</v>
      </c>
    </row>
    <row r="2253" spans="1:6">
      <c r="A2253" t="s">
        <v>2254</v>
      </c>
      <c r="B2253" t="str">
        <f t="shared" si="13"/>
        <v>0.00385%</v>
      </c>
      <c r="C2253" t="s">
        <v>10</v>
      </c>
      <c r="D2253" t="s">
        <v>10</v>
      </c>
      <c r="E2253" t="str">
        <f>"$ 29,729"</f>
        <v>$ 29,729</v>
      </c>
      <c r="F2253" s="1">
        <v>16498</v>
      </c>
    </row>
    <row r="2254" spans="1:6">
      <c r="A2254" t="s">
        <v>2255</v>
      </c>
      <c r="B2254" t="str">
        <f t="shared" si="13"/>
        <v>0.00385%</v>
      </c>
      <c r="C2254" t="s">
        <v>10</v>
      </c>
      <c r="D2254" t="s">
        <v>10</v>
      </c>
      <c r="E2254" t="str">
        <f>"$ 29,723"</f>
        <v>$ 29,723</v>
      </c>
      <c r="F2254">
        <v>313</v>
      </c>
    </row>
    <row r="2255" spans="1:6">
      <c r="A2255" t="s">
        <v>2256</v>
      </c>
      <c r="B2255" t="str">
        <f t="shared" si="13"/>
        <v>0.00385%</v>
      </c>
      <c r="C2255" t="s">
        <v>10</v>
      </c>
      <c r="D2255" t="s">
        <v>10</v>
      </c>
      <c r="E2255" t="str">
        <f>"$ 29,696"</f>
        <v>$ 29,696</v>
      </c>
      <c r="F2255">
        <v>269</v>
      </c>
    </row>
    <row r="2256" spans="1:6">
      <c r="A2256" t="s">
        <v>2257</v>
      </c>
      <c r="B2256" t="str">
        <f t="shared" si="13"/>
        <v>0.00385%</v>
      </c>
      <c r="C2256" t="s">
        <v>10</v>
      </c>
      <c r="D2256" t="s">
        <v>10</v>
      </c>
      <c r="E2256" t="str">
        <f>"$ 29,759"</f>
        <v>$ 29,759</v>
      </c>
      <c r="F2256" s="1">
        <v>1136</v>
      </c>
    </row>
    <row r="2257" spans="1:6">
      <c r="A2257" t="s">
        <v>2258</v>
      </c>
      <c r="B2257" t="str">
        <f t="shared" si="13"/>
        <v>0.00385%</v>
      </c>
      <c r="C2257" t="s">
        <v>10</v>
      </c>
      <c r="D2257" t="s">
        <v>10</v>
      </c>
      <c r="E2257" t="str">
        <f>"$ 29,724"</f>
        <v>$ 29,724</v>
      </c>
      <c r="F2257">
        <v>353</v>
      </c>
    </row>
    <row r="2258" spans="1:6">
      <c r="A2258" t="s">
        <v>2259</v>
      </c>
      <c r="B2258" t="str">
        <f>"0.00384%"</f>
        <v>0.00384%</v>
      </c>
      <c r="C2258" t="s">
        <v>10</v>
      </c>
      <c r="D2258" t="s">
        <v>10</v>
      </c>
      <c r="E2258" t="str">
        <f>"$ 29,675"</f>
        <v>$ 29,675</v>
      </c>
      <c r="F2258">
        <v>765</v>
      </c>
    </row>
    <row r="2259" spans="1:6">
      <c r="A2259" t="s">
        <v>2260</v>
      </c>
      <c r="B2259" t="str">
        <f>"0.00384%"</f>
        <v>0.00384%</v>
      </c>
      <c r="C2259" t="s">
        <v>10</v>
      </c>
      <c r="D2259" t="s">
        <v>10</v>
      </c>
      <c r="E2259" t="str">
        <f>"$ 29,655"</f>
        <v>$ 29,655</v>
      </c>
      <c r="F2259">
        <v>411</v>
      </c>
    </row>
    <row r="2260" spans="1:6">
      <c r="A2260" t="s">
        <v>2261</v>
      </c>
      <c r="B2260" t="str">
        <f>"0.00383%"</f>
        <v>0.00383%</v>
      </c>
      <c r="C2260" t="s">
        <v>10</v>
      </c>
      <c r="D2260" t="s">
        <v>10</v>
      </c>
      <c r="E2260" t="str">
        <f>"$ 29,569"</f>
        <v>$ 29,569</v>
      </c>
      <c r="F2260">
        <v>334</v>
      </c>
    </row>
    <row r="2261" spans="1:6">
      <c r="A2261" t="s">
        <v>2262</v>
      </c>
      <c r="B2261" t="str">
        <f>"0.00383%"</f>
        <v>0.00383%</v>
      </c>
      <c r="C2261" t="s">
        <v>10</v>
      </c>
      <c r="D2261" t="s">
        <v>10</v>
      </c>
      <c r="E2261" t="str">
        <f>"$ 29,571"</f>
        <v>$ 29,571</v>
      </c>
      <c r="F2261">
        <v>546</v>
      </c>
    </row>
    <row r="2262" spans="1:6">
      <c r="A2262" t="s">
        <v>2263</v>
      </c>
      <c r="B2262" t="str">
        <f>"0.00383%"</f>
        <v>0.00383%</v>
      </c>
      <c r="C2262" t="s">
        <v>10</v>
      </c>
      <c r="D2262" t="s">
        <v>10</v>
      </c>
      <c r="E2262" t="str">
        <f>"$ 29,600"</f>
        <v>$ 29,600</v>
      </c>
      <c r="F2262" s="1">
        <v>4133</v>
      </c>
    </row>
    <row r="2263" spans="1:6">
      <c r="A2263" t="s">
        <v>2264</v>
      </c>
      <c r="B2263" t="str">
        <f>"0.00382%"</f>
        <v>0.00382%</v>
      </c>
      <c r="C2263" t="s">
        <v>10</v>
      </c>
      <c r="D2263" t="s">
        <v>10</v>
      </c>
      <c r="E2263" t="str">
        <f>"$ 29,530"</f>
        <v>$ 29,530</v>
      </c>
      <c r="F2263">
        <v>96</v>
      </c>
    </row>
    <row r="2264" spans="1:6">
      <c r="A2264" t="s">
        <v>2265</v>
      </c>
      <c r="B2264" t="str">
        <f>"0.00381%"</f>
        <v>0.00381%</v>
      </c>
      <c r="C2264" t="s">
        <v>10</v>
      </c>
      <c r="D2264" t="s">
        <v>10</v>
      </c>
      <c r="E2264" t="str">
        <f>"$ 29,457"</f>
        <v>$ 29,457</v>
      </c>
      <c r="F2264">
        <v>575</v>
      </c>
    </row>
    <row r="2265" spans="1:6">
      <c r="A2265" t="s">
        <v>2266</v>
      </c>
      <c r="B2265" t="str">
        <f>"0.00380%"</f>
        <v>0.00380%</v>
      </c>
      <c r="C2265" t="s">
        <v>10</v>
      </c>
      <c r="D2265" t="s">
        <v>10</v>
      </c>
      <c r="E2265" t="str">
        <f>"$ 29,337"</f>
        <v>$ 29,337</v>
      </c>
      <c r="F2265">
        <v>812</v>
      </c>
    </row>
    <row r="2266" spans="1:6">
      <c r="A2266" t="s">
        <v>2267</v>
      </c>
      <c r="B2266" t="str">
        <f>"0.00380%"</f>
        <v>0.00380%</v>
      </c>
      <c r="C2266" t="s">
        <v>10</v>
      </c>
      <c r="D2266" t="s">
        <v>10</v>
      </c>
      <c r="E2266" t="str">
        <f>"$ 29,333"</f>
        <v>$ 29,333</v>
      </c>
      <c r="F2266">
        <v>313</v>
      </c>
    </row>
    <row r="2267" spans="1:6">
      <c r="A2267" t="s">
        <v>2268</v>
      </c>
      <c r="B2267" t="str">
        <f>"0.00380%"</f>
        <v>0.00380%</v>
      </c>
      <c r="C2267" t="s">
        <v>10</v>
      </c>
      <c r="D2267" t="s">
        <v>10</v>
      </c>
      <c r="E2267" t="str">
        <f>"$ 29,320"</f>
        <v>$ 29,320</v>
      </c>
      <c r="F2267" s="1">
        <v>1142</v>
      </c>
    </row>
    <row r="2268" spans="1:6">
      <c r="A2268" t="s">
        <v>2269</v>
      </c>
      <c r="B2268" t="str">
        <f>"0.00380%"</f>
        <v>0.00380%</v>
      </c>
      <c r="C2268" t="s">
        <v>10</v>
      </c>
      <c r="D2268" t="s">
        <v>10</v>
      </c>
      <c r="E2268" t="str">
        <f>"$ 29,318"</f>
        <v>$ 29,318</v>
      </c>
      <c r="F2268">
        <v>22</v>
      </c>
    </row>
    <row r="2269" spans="1:6">
      <c r="A2269" t="s">
        <v>2270</v>
      </c>
      <c r="B2269" t="str">
        <f t="shared" ref="B2269:B2276" si="14">"0.00379%"</f>
        <v>0.00379%</v>
      </c>
      <c r="C2269" t="s">
        <v>10</v>
      </c>
      <c r="D2269" t="s">
        <v>10</v>
      </c>
      <c r="E2269" t="str">
        <f>"$ 29,255"</f>
        <v>$ 29,255</v>
      </c>
      <c r="F2269" s="1">
        <v>1180</v>
      </c>
    </row>
    <row r="2270" spans="1:6">
      <c r="A2270" t="s">
        <v>2271</v>
      </c>
      <c r="B2270" t="str">
        <f t="shared" si="14"/>
        <v>0.00379%</v>
      </c>
      <c r="C2270" t="s">
        <v>10</v>
      </c>
      <c r="D2270" t="s">
        <v>10</v>
      </c>
      <c r="E2270" t="str">
        <f>"$ 29,256"</f>
        <v>$ 29,256</v>
      </c>
      <c r="F2270">
        <v>12</v>
      </c>
    </row>
    <row r="2271" spans="1:6">
      <c r="A2271" t="s">
        <v>2272</v>
      </c>
      <c r="B2271" t="str">
        <f t="shared" si="14"/>
        <v>0.00379%</v>
      </c>
      <c r="C2271" t="s">
        <v>10</v>
      </c>
      <c r="D2271" t="s">
        <v>10</v>
      </c>
      <c r="E2271" t="str">
        <f>"$ 29,260"</f>
        <v>$ 29,260</v>
      </c>
      <c r="F2271" s="1">
        <v>2386</v>
      </c>
    </row>
    <row r="2272" spans="1:6">
      <c r="A2272" t="s">
        <v>2273</v>
      </c>
      <c r="B2272" t="str">
        <f t="shared" si="14"/>
        <v>0.00379%</v>
      </c>
      <c r="C2272" t="s">
        <v>10</v>
      </c>
      <c r="D2272" t="s">
        <v>10</v>
      </c>
      <c r="E2272" t="str">
        <f>"$ 29,263"</f>
        <v>$ 29,263</v>
      </c>
      <c r="F2272">
        <v>627</v>
      </c>
    </row>
    <row r="2273" spans="1:6">
      <c r="A2273" t="s">
        <v>2274</v>
      </c>
      <c r="B2273" t="str">
        <f t="shared" si="14"/>
        <v>0.00379%</v>
      </c>
      <c r="C2273" t="s">
        <v>10</v>
      </c>
      <c r="D2273" t="s">
        <v>10</v>
      </c>
      <c r="E2273" t="str">
        <f>"$ 29,280"</f>
        <v>$ 29,280</v>
      </c>
      <c r="F2273">
        <v>289</v>
      </c>
    </row>
    <row r="2274" spans="1:6">
      <c r="A2274" t="s">
        <v>2275</v>
      </c>
      <c r="B2274" t="str">
        <f t="shared" si="14"/>
        <v>0.00379%</v>
      </c>
      <c r="C2274" t="s">
        <v>10</v>
      </c>
      <c r="D2274" t="s">
        <v>10</v>
      </c>
      <c r="E2274" t="str">
        <f>"$ 29,247"</f>
        <v>$ 29,247</v>
      </c>
      <c r="F2274">
        <v>216</v>
      </c>
    </row>
    <row r="2275" spans="1:6">
      <c r="A2275" t="s">
        <v>2276</v>
      </c>
      <c r="B2275" t="str">
        <f t="shared" si="14"/>
        <v>0.00379%</v>
      </c>
      <c r="C2275" t="s">
        <v>10</v>
      </c>
      <c r="D2275" t="s">
        <v>10</v>
      </c>
      <c r="E2275" t="str">
        <f>"$ 29,234"</f>
        <v>$ 29,234</v>
      </c>
      <c r="F2275">
        <v>426</v>
      </c>
    </row>
    <row r="2276" spans="1:6">
      <c r="A2276" t="s">
        <v>2277</v>
      </c>
      <c r="B2276" t="str">
        <f t="shared" si="14"/>
        <v>0.00379%</v>
      </c>
      <c r="C2276" t="s">
        <v>10</v>
      </c>
      <c r="D2276" t="s">
        <v>10</v>
      </c>
      <c r="E2276" t="str">
        <f>"$ 29,264"</f>
        <v>$ 29,264</v>
      </c>
      <c r="F2276" s="1">
        <v>36464</v>
      </c>
    </row>
    <row r="2277" spans="1:6">
      <c r="A2277" t="s">
        <v>2278</v>
      </c>
      <c r="B2277" t="str">
        <f t="shared" ref="B2277:B2283" si="15">"0.00378%"</f>
        <v>0.00378%</v>
      </c>
      <c r="C2277" t="s">
        <v>10</v>
      </c>
      <c r="D2277" t="s">
        <v>10</v>
      </c>
      <c r="E2277" t="str">
        <f>"$ 29,181"</f>
        <v>$ 29,181</v>
      </c>
      <c r="F2277">
        <v>874</v>
      </c>
    </row>
    <row r="2278" spans="1:6">
      <c r="A2278" t="s">
        <v>2279</v>
      </c>
      <c r="B2278" t="str">
        <f t="shared" si="15"/>
        <v>0.00378%</v>
      </c>
      <c r="C2278" t="s">
        <v>10</v>
      </c>
      <c r="D2278" t="s">
        <v>10</v>
      </c>
      <c r="E2278" t="str">
        <f>"$ 29,185"</f>
        <v>$ 29,185</v>
      </c>
      <c r="F2278">
        <v>14</v>
      </c>
    </row>
    <row r="2279" spans="1:6">
      <c r="A2279" t="s">
        <v>2280</v>
      </c>
      <c r="B2279" t="str">
        <f t="shared" si="15"/>
        <v>0.00378%</v>
      </c>
      <c r="C2279" t="s">
        <v>10</v>
      </c>
      <c r="D2279" t="s">
        <v>10</v>
      </c>
      <c r="E2279" t="str">
        <f>"$ 29,168"</f>
        <v>$ 29,168</v>
      </c>
      <c r="F2279">
        <v>775</v>
      </c>
    </row>
    <row r="2280" spans="1:6">
      <c r="A2280" t="s">
        <v>2281</v>
      </c>
      <c r="B2280" t="str">
        <f t="shared" si="15"/>
        <v>0.00378%</v>
      </c>
      <c r="C2280" t="s">
        <v>10</v>
      </c>
      <c r="D2280" t="s">
        <v>10</v>
      </c>
      <c r="E2280" t="str">
        <f>"$ 29,185"</f>
        <v>$ 29,185</v>
      </c>
      <c r="F2280" s="1">
        <v>1203</v>
      </c>
    </row>
    <row r="2281" spans="1:6">
      <c r="A2281" t="s">
        <v>2282</v>
      </c>
      <c r="B2281" t="str">
        <f t="shared" si="15"/>
        <v>0.00378%</v>
      </c>
      <c r="C2281" t="s">
        <v>10</v>
      </c>
      <c r="D2281" t="s">
        <v>10</v>
      </c>
      <c r="E2281" t="str">
        <f>"$ 29,199"</f>
        <v>$ 29,199</v>
      </c>
      <c r="F2281">
        <v>528</v>
      </c>
    </row>
    <row r="2282" spans="1:6">
      <c r="A2282" t="s">
        <v>2283</v>
      </c>
      <c r="B2282" t="str">
        <f t="shared" si="15"/>
        <v>0.00378%</v>
      </c>
      <c r="C2282" t="s">
        <v>10</v>
      </c>
      <c r="D2282" t="s">
        <v>10</v>
      </c>
      <c r="E2282" t="str">
        <f>"$ 29,203"</f>
        <v>$ 29,203</v>
      </c>
      <c r="F2282">
        <v>566</v>
      </c>
    </row>
    <row r="2283" spans="1:6">
      <c r="A2283" t="s">
        <v>2284</v>
      </c>
      <c r="B2283" t="str">
        <f t="shared" si="15"/>
        <v>0.00378%</v>
      </c>
      <c r="C2283" t="s">
        <v>10</v>
      </c>
      <c r="D2283" t="s">
        <v>10</v>
      </c>
      <c r="E2283" t="str">
        <f>"$ 29,183"</f>
        <v>$ 29,183</v>
      </c>
      <c r="F2283">
        <v>893</v>
      </c>
    </row>
    <row r="2284" spans="1:6">
      <c r="A2284" t="s">
        <v>2285</v>
      </c>
      <c r="B2284" t="str">
        <f>"0.00377%"</f>
        <v>0.00377%</v>
      </c>
      <c r="C2284" t="s">
        <v>10</v>
      </c>
      <c r="D2284" t="s">
        <v>10</v>
      </c>
      <c r="E2284" t="str">
        <f>"$ 29,080"</f>
        <v>$ 29,080</v>
      </c>
      <c r="F2284">
        <v>198</v>
      </c>
    </row>
    <row r="2285" spans="1:6">
      <c r="A2285" t="s">
        <v>2286</v>
      </c>
      <c r="B2285" t="str">
        <f>"0.00377%"</f>
        <v>0.00377%</v>
      </c>
      <c r="C2285" t="s">
        <v>10</v>
      </c>
      <c r="D2285" t="s">
        <v>10</v>
      </c>
      <c r="E2285" t="str">
        <f>"$ 29,136"</f>
        <v>$ 29,136</v>
      </c>
      <c r="F2285">
        <v>204</v>
      </c>
    </row>
    <row r="2286" spans="1:6">
      <c r="A2286" t="s">
        <v>2287</v>
      </c>
      <c r="B2286" t="str">
        <f>"0.00377%"</f>
        <v>0.00377%</v>
      </c>
      <c r="C2286" t="s">
        <v>10</v>
      </c>
      <c r="D2286" t="s">
        <v>10</v>
      </c>
      <c r="E2286" t="str">
        <f>"$ 29,082"</f>
        <v>$ 29,082</v>
      </c>
      <c r="F2286" s="1">
        <v>1814</v>
      </c>
    </row>
    <row r="2287" spans="1:6">
      <c r="A2287" t="s">
        <v>2288</v>
      </c>
      <c r="B2287" t="str">
        <f>"0.00377%"</f>
        <v>0.00377%</v>
      </c>
      <c r="C2287" t="s">
        <v>10</v>
      </c>
      <c r="D2287" t="s">
        <v>10</v>
      </c>
      <c r="E2287" t="str">
        <f>"$ 29,074"</f>
        <v>$ 29,074</v>
      </c>
      <c r="F2287" s="1">
        <v>7824</v>
      </c>
    </row>
    <row r="2288" spans="1:6">
      <c r="A2288" t="s">
        <v>2289</v>
      </c>
      <c r="B2288" t="str">
        <f>"0.00377%"</f>
        <v>0.00377%</v>
      </c>
      <c r="C2288" t="s">
        <v>10</v>
      </c>
      <c r="D2288" t="s">
        <v>10</v>
      </c>
      <c r="E2288" t="str">
        <f>"$ 29,085"</f>
        <v>$ 29,085</v>
      </c>
      <c r="F2288" s="1">
        <v>1559</v>
      </c>
    </row>
    <row r="2289" spans="1:6">
      <c r="A2289" t="s">
        <v>2290</v>
      </c>
      <c r="B2289" t="str">
        <f t="shared" ref="B2289:B2295" si="16">"0.00376%"</f>
        <v>0.00376%</v>
      </c>
      <c r="C2289" t="s">
        <v>10</v>
      </c>
      <c r="D2289" t="s">
        <v>10</v>
      </c>
      <c r="E2289" t="str">
        <f>"$ 29,028"</f>
        <v>$ 29,028</v>
      </c>
      <c r="F2289" s="1">
        <v>6437</v>
      </c>
    </row>
    <row r="2290" spans="1:6">
      <c r="A2290" t="s">
        <v>2291</v>
      </c>
      <c r="B2290" t="str">
        <f t="shared" si="16"/>
        <v>0.00376%</v>
      </c>
      <c r="C2290" t="s">
        <v>10</v>
      </c>
      <c r="D2290" t="s">
        <v>10</v>
      </c>
      <c r="E2290" t="str">
        <f>"$ 28,996"</f>
        <v>$ 28,996</v>
      </c>
      <c r="F2290">
        <v>313</v>
      </c>
    </row>
    <row r="2291" spans="1:6">
      <c r="A2291" t="s">
        <v>2292</v>
      </c>
      <c r="B2291" t="str">
        <f t="shared" si="16"/>
        <v>0.00376%</v>
      </c>
      <c r="C2291" t="s">
        <v>10</v>
      </c>
      <c r="D2291" t="s">
        <v>10</v>
      </c>
      <c r="E2291" t="str">
        <f>"$ 29,013"</f>
        <v>$ 29,013</v>
      </c>
      <c r="F2291" s="1">
        <v>1515</v>
      </c>
    </row>
    <row r="2292" spans="1:6">
      <c r="A2292" t="s">
        <v>2293</v>
      </c>
      <c r="B2292" t="str">
        <f t="shared" si="16"/>
        <v>0.00376%</v>
      </c>
      <c r="C2292" t="s">
        <v>10</v>
      </c>
      <c r="D2292" t="s">
        <v>10</v>
      </c>
      <c r="E2292" t="str">
        <f>"$ 29,016"</f>
        <v>$ 29,016</v>
      </c>
      <c r="F2292" s="1">
        <v>1429</v>
      </c>
    </row>
    <row r="2293" spans="1:6">
      <c r="A2293" t="s">
        <v>2294</v>
      </c>
      <c r="B2293" t="str">
        <f t="shared" si="16"/>
        <v>0.00376%</v>
      </c>
      <c r="C2293" t="s">
        <v>10</v>
      </c>
      <c r="D2293" t="s">
        <v>10</v>
      </c>
      <c r="E2293" t="str">
        <f>"$ 29,040"</f>
        <v>$ 29,040</v>
      </c>
      <c r="F2293" s="1">
        <v>2414</v>
      </c>
    </row>
    <row r="2294" spans="1:6">
      <c r="A2294" t="s">
        <v>2295</v>
      </c>
      <c r="B2294" t="str">
        <f t="shared" si="16"/>
        <v>0.00376%</v>
      </c>
      <c r="C2294" t="s">
        <v>10</v>
      </c>
      <c r="D2294" t="s">
        <v>10</v>
      </c>
      <c r="E2294" t="str">
        <f>"$ 29,000"</f>
        <v>$ 29,000</v>
      </c>
      <c r="F2294" s="1">
        <v>1163</v>
      </c>
    </row>
    <row r="2295" spans="1:6">
      <c r="A2295" t="s">
        <v>2296</v>
      </c>
      <c r="B2295" t="str">
        <f t="shared" si="16"/>
        <v>0.00376%</v>
      </c>
      <c r="C2295" t="s">
        <v>10</v>
      </c>
      <c r="D2295" t="s">
        <v>10</v>
      </c>
      <c r="E2295" t="str">
        <f>"$ 29,039"</f>
        <v>$ 29,039</v>
      </c>
      <c r="F2295">
        <v>509</v>
      </c>
    </row>
    <row r="2296" spans="1:6">
      <c r="A2296" t="s">
        <v>2297</v>
      </c>
      <c r="B2296" t="str">
        <f t="shared" ref="B2296:B2303" si="17">"0.00375%"</f>
        <v>0.00375%</v>
      </c>
      <c r="C2296" t="s">
        <v>10</v>
      </c>
      <c r="D2296" t="s">
        <v>10</v>
      </c>
      <c r="E2296" t="str">
        <f>"$ 28,949"</f>
        <v>$ 28,949</v>
      </c>
      <c r="F2296" s="1">
        <v>3733</v>
      </c>
    </row>
    <row r="2297" spans="1:6">
      <c r="A2297" t="s">
        <v>2298</v>
      </c>
      <c r="B2297" t="str">
        <f t="shared" si="17"/>
        <v>0.00375%</v>
      </c>
      <c r="C2297" t="s">
        <v>10</v>
      </c>
      <c r="D2297" t="s">
        <v>10</v>
      </c>
      <c r="E2297" t="str">
        <f>"$ 28,990"</f>
        <v>$ 28,990</v>
      </c>
      <c r="F2297">
        <v>480</v>
      </c>
    </row>
    <row r="2298" spans="1:6">
      <c r="A2298" t="s">
        <v>2299</v>
      </c>
      <c r="B2298" t="str">
        <f t="shared" si="17"/>
        <v>0.00375%</v>
      </c>
      <c r="C2298" t="s">
        <v>10</v>
      </c>
      <c r="D2298" t="s">
        <v>10</v>
      </c>
      <c r="E2298" t="str">
        <f>"$ 28,972"</f>
        <v>$ 28,972</v>
      </c>
      <c r="F2298">
        <v>424</v>
      </c>
    </row>
    <row r="2299" spans="1:6">
      <c r="A2299" t="s">
        <v>2300</v>
      </c>
      <c r="B2299" t="str">
        <f t="shared" si="17"/>
        <v>0.00375%</v>
      </c>
      <c r="C2299" t="s">
        <v>10</v>
      </c>
      <c r="D2299" t="s">
        <v>10</v>
      </c>
      <c r="E2299" t="str">
        <f>"$ 28,981"</f>
        <v>$ 28,981</v>
      </c>
      <c r="F2299">
        <v>162</v>
      </c>
    </row>
    <row r="2300" spans="1:6">
      <c r="A2300" t="s">
        <v>2301</v>
      </c>
      <c r="B2300" t="str">
        <f t="shared" si="17"/>
        <v>0.00375%</v>
      </c>
      <c r="C2300" t="s">
        <v>10</v>
      </c>
      <c r="D2300" t="s">
        <v>10</v>
      </c>
      <c r="E2300" t="str">
        <f>"$ 28,982"</f>
        <v>$ 28,982</v>
      </c>
      <c r="F2300">
        <v>929</v>
      </c>
    </row>
    <row r="2301" spans="1:6">
      <c r="A2301" t="s">
        <v>2302</v>
      </c>
      <c r="B2301" t="str">
        <f t="shared" si="17"/>
        <v>0.00375%</v>
      </c>
      <c r="C2301" t="s">
        <v>10</v>
      </c>
      <c r="D2301" t="s">
        <v>10</v>
      </c>
      <c r="E2301" t="str">
        <f>"$ 28,968"</f>
        <v>$ 28,968</v>
      </c>
      <c r="F2301">
        <v>977</v>
      </c>
    </row>
    <row r="2302" spans="1:6">
      <c r="A2302" t="s">
        <v>2303</v>
      </c>
      <c r="B2302" t="str">
        <f t="shared" si="17"/>
        <v>0.00375%</v>
      </c>
      <c r="C2302" t="s">
        <v>10</v>
      </c>
      <c r="D2302" t="s">
        <v>10</v>
      </c>
      <c r="E2302" t="str">
        <f>"$ 28,939"</f>
        <v>$ 28,939</v>
      </c>
      <c r="F2302" s="1">
        <v>31365</v>
      </c>
    </row>
    <row r="2303" spans="1:6">
      <c r="A2303" t="s">
        <v>2304</v>
      </c>
      <c r="B2303" t="str">
        <f t="shared" si="17"/>
        <v>0.00375%</v>
      </c>
      <c r="C2303" t="s">
        <v>10</v>
      </c>
      <c r="D2303" t="s">
        <v>10</v>
      </c>
      <c r="E2303" t="str">
        <f>"$ 28,934"</f>
        <v>$ 28,934</v>
      </c>
      <c r="F2303" s="1">
        <v>11424</v>
      </c>
    </row>
    <row r="2304" spans="1:6">
      <c r="A2304" t="s">
        <v>2305</v>
      </c>
      <c r="B2304" t="str">
        <f>"0.00374%"</f>
        <v>0.00374%</v>
      </c>
      <c r="C2304" t="s">
        <v>10</v>
      </c>
      <c r="D2304" t="s">
        <v>10</v>
      </c>
      <c r="E2304" t="str">
        <f>"$ 28,902"</f>
        <v>$ 28,902</v>
      </c>
      <c r="F2304" s="1">
        <v>4061</v>
      </c>
    </row>
    <row r="2305" spans="1:6">
      <c r="A2305" t="s">
        <v>2306</v>
      </c>
      <c r="B2305" t="str">
        <f>"0.00374%"</f>
        <v>0.00374%</v>
      </c>
      <c r="C2305" t="s">
        <v>10</v>
      </c>
      <c r="D2305" t="s">
        <v>10</v>
      </c>
      <c r="E2305" t="str">
        <f>"$ 28,915"</f>
        <v>$ 28,915</v>
      </c>
      <c r="F2305">
        <v>783</v>
      </c>
    </row>
    <row r="2306" spans="1:6">
      <c r="A2306" t="s">
        <v>2307</v>
      </c>
      <c r="B2306" t="str">
        <f>"0.00374%"</f>
        <v>0.00374%</v>
      </c>
      <c r="C2306" t="s">
        <v>10</v>
      </c>
      <c r="D2306" t="s">
        <v>10</v>
      </c>
      <c r="E2306" t="str">
        <f>"$ 28,897"</f>
        <v>$ 28,897</v>
      </c>
      <c r="F2306">
        <v>745</v>
      </c>
    </row>
    <row r="2307" spans="1:6">
      <c r="A2307" t="s">
        <v>2308</v>
      </c>
      <c r="B2307" t="str">
        <f>"0.00373%"</f>
        <v>0.00373%</v>
      </c>
      <c r="C2307" t="s">
        <v>10</v>
      </c>
      <c r="D2307" t="s">
        <v>10</v>
      </c>
      <c r="E2307" t="str">
        <f>"$ 28,835"</f>
        <v>$ 28,835</v>
      </c>
      <c r="F2307">
        <v>156</v>
      </c>
    </row>
    <row r="2308" spans="1:6">
      <c r="A2308" t="s">
        <v>2309</v>
      </c>
      <c r="B2308" t="str">
        <f>"0.00373%"</f>
        <v>0.00373%</v>
      </c>
      <c r="C2308" t="s">
        <v>10</v>
      </c>
      <c r="D2308" t="s">
        <v>10</v>
      </c>
      <c r="E2308" t="str">
        <f>"$ 28,767"</f>
        <v>$ 28,767</v>
      </c>
      <c r="F2308" s="1">
        <v>1164</v>
      </c>
    </row>
    <row r="2309" spans="1:6">
      <c r="A2309" t="s">
        <v>2310</v>
      </c>
      <c r="B2309" t="str">
        <f>"0.00373%"</f>
        <v>0.00373%</v>
      </c>
      <c r="C2309" t="s">
        <v>10</v>
      </c>
      <c r="D2309" t="s">
        <v>10</v>
      </c>
      <c r="E2309" t="str">
        <f>"$ 28,799"</f>
        <v>$ 28,799</v>
      </c>
      <c r="F2309">
        <v>973</v>
      </c>
    </row>
    <row r="2310" spans="1:6">
      <c r="A2310" t="s">
        <v>2311</v>
      </c>
      <c r="B2310" t="str">
        <f>"0.00373%"</f>
        <v>0.00373%</v>
      </c>
      <c r="C2310" t="s">
        <v>10</v>
      </c>
      <c r="D2310" t="s">
        <v>10</v>
      </c>
      <c r="E2310" t="str">
        <f>"$ 28,824"</f>
        <v>$ 28,824</v>
      </c>
      <c r="F2310">
        <v>231</v>
      </c>
    </row>
    <row r="2311" spans="1:6">
      <c r="A2311" t="s">
        <v>2312</v>
      </c>
      <c r="B2311" t="str">
        <f>"0.00372%"</f>
        <v>0.00372%</v>
      </c>
      <c r="C2311" t="s">
        <v>10</v>
      </c>
      <c r="D2311" t="s">
        <v>10</v>
      </c>
      <c r="E2311" t="str">
        <f>"$ 28,693"</f>
        <v>$ 28,693</v>
      </c>
      <c r="F2311">
        <v>475</v>
      </c>
    </row>
    <row r="2312" spans="1:6">
      <c r="A2312" t="s">
        <v>2313</v>
      </c>
      <c r="B2312" t="str">
        <f>"0.00372%"</f>
        <v>0.00372%</v>
      </c>
      <c r="C2312" t="s">
        <v>10</v>
      </c>
      <c r="D2312" t="s">
        <v>10</v>
      </c>
      <c r="E2312" t="str">
        <f>"$ 28,732"</f>
        <v>$ 28,732</v>
      </c>
      <c r="F2312" s="1">
        <v>4620</v>
      </c>
    </row>
    <row r="2313" spans="1:6">
      <c r="A2313" t="s">
        <v>2314</v>
      </c>
      <c r="B2313" t="str">
        <f>"0.00372%"</f>
        <v>0.00372%</v>
      </c>
      <c r="C2313" t="s">
        <v>10</v>
      </c>
      <c r="D2313" t="s">
        <v>10</v>
      </c>
      <c r="E2313" t="str">
        <f>"$ 28,706"</f>
        <v>$ 28,706</v>
      </c>
      <c r="F2313">
        <v>699</v>
      </c>
    </row>
    <row r="2314" spans="1:6">
      <c r="A2314" t="s">
        <v>2315</v>
      </c>
      <c r="B2314" t="str">
        <f>"0.00372%"</f>
        <v>0.00372%</v>
      </c>
      <c r="C2314" t="s">
        <v>10</v>
      </c>
      <c r="D2314" t="s">
        <v>10</v>
      </c>
      <c r="E2314" t="str">
        <f>"$ 28,743"</f>
        <v>$ 28,743</v>
      </c>
      <c r="F2314" s="1">
        <v>11030</v>
      </c>
    </row>
    <row r="2315" spans="1:6">
      <c r="A2315" t="s">
        <v>2316</v>
      </c>
      <c r="B2315" t="str">
        <f>"0.00371%"</f>
        <v>0.00371%</v>
      </c>
      <c r="C2315" t="s">
        <v>10</v>
      </c>
      <c r="D2315" t="s">
        <v>10</v>
      </c>
      <c r="E2315" t="str">
        <f>"$ 28,664"</f>
        <v>$ 28,664</v>
      </c>
      <c r="F2315" s="1">
        <v>4503</v>
      </c>
    </row>
    <row r="2316" spans="1:6">
      <c r="A2316" t="s">
        <v>2317</v>
      </c>
      <c r="B2316" t="str">
        <f>"0.00371%"</f>
        <v>0.00371%</v>
      </c>
      <c r="C2316" t="s">
        <v>10</v>
      </c>
      <c r="D2316" t="s">
        <v>10</v>
      </c>
      <c r="E2316" t="str">
        <f>"$ 28,636"</f>
        <v>$ 28,636</v>
      </c>
      <c r="F2316" s="1">
        <v>32967</v>
      </c>
    </row>
    <row r="2317" spans="1:6">
      <c r="A2317" t="s">
        <v>2318</v>
      </c>
      <c r="B2317" t="str">
        <f>"0.00370%"</f>
        <v>0.00370%</v>
      </c>
      <c r="C2317" t="s">
        <v>10</v>
      </c>
      <c r="D2317" t="s">
        <v>10</v>
      </c>
      <c r="E2317" t="str">
        <f>"$ 28,610"</f>
        <v>$ 28,610</v>
      </c>
      <c r="F2317">
        <v>136</v>
      </c>
    </row>
    <row r="2318" spans="1:6">
      <c r="A2318" t="s">
        <v>2319</v>
      </c>
      <c r="B2318" t="str">
        <f>"0.00370%"</f>
        <v>0.00370%</v>
      </c>
      <c r="C2318" t="s">
        <v>10</v>
      </c>
      <c r="D2318" t="s">
        <v>10</v>
      </c>
      <c r="E2318" t="str">
        <f>"$ 28,534"</f>
        <v>$ 28,534</v>
      </c>
      <c r="F2318" s="1">
        <v>2926</v>
      </c>
    </row>
    <row r="2319" spans="1:6">
      <c r="A2319" t="s">
        <v>2320</v>
      </c>
      <c r="B2319" t="str">
        <f>"0.00370%"</f>
        <v>0.00370%</v>
      </c>
      <c r="C2319" t="s">
        <v>10</v>
      </c>
      <c r="D2319" t="s">
        <v>10</v>
      </c>
      <c r="E2319" t="str">
        <f>"$ 28,543"</f>
        <v>$ 28,543</v>
      </c>
      <c r="F2319" s="1">
        <v>3810</v>
      </c>
    </row>
    <row r="2320" spans="1:6">
      <c r="A2320" t="s">
        <v>2321</v>
      </c>
      <c r="B2320" t="str">
        <f>"0.00369%"</f>
        <v>0.00369%</v>
      </c>
      <c r="C2320" t="s">
        <v>10</v>
      </c>
      <c r="D2320" t="s">
        <v>10</v>
      </c>
      <c r="E2320" t="str">
        <f>"$ 28,515"</f>
        <v>$ 28,515</v>
      </c>
      <c r="F2320">
        <v>644</v>
      </c>
    </row>
    <row r="2321" spans="1:6">
      <c r="A2321" t="s">
        <v>2322</v>
      </c>
      <c r="B2321" t="str">
        <f>"0.00369%"</f>
        <v>0.00369%</v>
      </c>
      <c r="C2321" t="s">
        <v>10</v>
      </c>
      <c r="D2321" t="s">
        <v>10</v>
      </c>
      <c r="E2321" t="str">
        <f>"$ 28,505"</f>
        <v>$ 28,505</v>
      </c>
      <c r="F2321">
        <v>387</v>
      </c>
    </row>
    <row r="2322" spans="1:6">
      <c r="A2322" t="s">
        <v>2323</v>
      </c>
      <c r="B2322" t="str">
        <f>"0.00369%"</f>
        <v>0.00369%</v>
      </c>
      <c r="C2322" t="s">
        <v>10</v>
      </c>
      <c r="D2322" t="s">
        <v>10</v>
      </c>
      <c r="E2322" t="str">
        <f>"$ 28,479"</f>
        <v>$ 28,479</v>
      </c>
      <c r="F2322" s="1">
        <v>14084</v>
      </c>
    </row>
    <row r="2323" spans="1:6">
      <c r="A2323" t="s">
        <v>2324</v>
      </c>
      <c r="B2323" t="str">
        <f>"0.00369%"</f>
        <v>0.00369%</v>
      </c>
      <c r="C2323" t="s">
        <v>10</v>
      </c>
      <c r="D2323" t="s">
        <v>10</v>
      </c>
      <c r="E2323" t="str">
        <f>"$ 28,493"</f>
        <v>$ 28,493</v>
      </c>
      <c r="F2323">
        <v>132</v>
      </c>
    </row>
    <row r="2324" spans="1:6">
      <c r="A2324" t="s">
        <v>2325</v>
      </c>
      <c r="B2324" t="str">
        <f>"0.00369%"</f>
        <v>0.00369%</v>
      </c>
      <c r="C2324" t="s">
        <v>10</v>
      </c>
      <c r="D2324" t="s">
        <v>10</v>
      </c>
      <c r="E2324" t="str">
        <f>"$ 28,505"</f>
        <v>$ 28,505</v>
      </c>
      <c r="F2324">
        <v>502</v>
      </c>
    </row>
    <row r="2325" spans="1:6">
      <c r="A2325" t="s">
        <v>2326</v>
      </c>
      <c r="B2325" t="str">
        <f>"0.00368%"</f>
        <v>0.00368%</v>
      </c>
      <c r="C2325" t="s">
        <v>10</v>
      </c>
      <c r="D2325" t="s">
        <v>10</v>
      </c>
      <c r="E2325" t="str">
        <f>"$ 28,429"</f>
        <v>$ 28,429</v>
      </c>
      <c r="F2325" s="1">
        <v>1745</v>
      </c>
    </row>
    <row r="2326" spans="1:6">
      <c r="A2326" t="s">
        <v>2327</v>
      </c>
      <c r="B2326" t="str">
        <f>"0.00367%"</f>
        <v>0.00367%</v>
      </c>
      <c r="C2326" t="s">
        <v>10</v>
      </c>
      <c r="D2326" t="s">
        <v>10</v>
      </c>
      <c r="E2326" t="str">
        <f>"$ 28,316"</f>
        <v>$ 28,316</v>
      </c>
      <c r="F2326" s="1">
        <v>1386</v>
      </c>
    </row>
    <row r="2327" spans="1:6">
      <c r="A2327" t="s">
        <v>2328</v>
      </c>
      <c r="B2327" t="str">
        <f>"0.00367%"</f>
        <v>0.00367%</v>
      </c>
      <c r="C2327" t="s">
        <v>10</v>
      </c>
      <c r="D2327" t="s">
        <v>10</v>
      </c>
      <c r="E2327" t="str">
        <f>"$ 28,359"</f>
        <v>$ 28,359</v>
      </c>
      <c r="F2327">
        <v>845</v>
      </c>
    </row>
    <row r="2328" spans="1:6">
      <c r="A2328" t="s">
        <v>2329</v>
      </c>
      <c r="B2328" t="str">
        <f>"0.00367%"</f>
        <v>0.00367%</v>
      </c>
      <c r="C2328" t="s">
        <v>10</v>
      </c>
      <c r="D2328" t="s">
        <v>10</v>
      </c>
      <c r="E2328" t="str">
        <f>"$ 28,367"</f>
        <v>$ 28,367</v>
      </c>
      <c r="F2328">
        <v>693</v>
      </c>
    </row>
    <row r="2329" spans="1:6">
      <c r="A2329" t="s">
        <v>2330</v>
      </c>
      <c r="B2329" t="str">
        <f>"0.00367%"</f>
        <v>0.00367%</v>
      </c>
      <c r="C2329" t="s">
        <v>10</v>
      </c>
      <c r="D2329" t="s">
        <v>10</v>
      </c>
      <c r="E2329" t="str">
        <f>"$ 28,327"</f>
        <v>$ 28,327</v>
      </c>
      <c r="F2329">
        <v>268</v>
      </c>
    </row>
    <row r="2330" spans="1:6">
      <c r="A2330" t="s">
        <v>2331</v>
      </c>
      <c r="B2330" t="str">
        <f>"0.00367%"</f>
        <v>0.00367%</v>
      </c>
      <c r="C2330" t="s">
        <v>10</v>
      </c>
      <c r="D2330" t="s">
        <v>10</v>
      </c>
      <c r="E2330" t="str">
        <f>"$ 28,320"</f>
        <v>$ 28,320</v>
      </c>
      <c r="F2330">
        <v>206</v>
      </c>
    </row>
    <row r="2331" spans="1:6">
      <c r="A2331" t="s">
        <v>2332</v>
      </c>
      <c r="B2331" t="str">
        <f>"0.00366%"</f>
        <v>0.00366%</v>
      </c>
      <c r="C2331" t="s">
        <v>10</v>
      </c>
      <c r="D2331" t="s">
        <v>10</v>
      </c>
      <c r="E2331" t="str">
        <f>"$ 28,252"</f>
        <v>$ 28,252</v>
      </c>
      <c r="F2331" s="1">
        <v>1617</v>
      </c>
    </row>
    <row r="2332" spans="1:6">
      <c r="A2332" t="s">
        <v>2333</v>
      </c>
      <c r="B2332" t="str">
        <f>"0.00366%"</f>
        <v>0.00366%</v>
      </c>
      <c r="C2332" t="s">
        <v>10</v>
      </c>
      <c r="D2332" t="s">
        <v>10</v>
      </c>
      <c r="E2332" t="str">
        <f>"$ 28,230"</f>
        <v>$ 28,230</v>
      </c>
      <c r="F2332">
        <v>491</v>
      </c>
    </row>
    <row r="2333" spans="1:6">
      <c r="A2333" t="s">
        <v>2334</v>
      </c>
      <c r="B2333" t="str">
        <f>"0.00366%"</f>
        <v>0.00366%</v>
      </c>
      <c r="C2333" t="s">
        <v>10</v>
      </c>
      <c r="D2333" t="s">
        <v>10</v>
      </c>
      <c r="E2333" t="str">
        <f>"$ 28,265"</f>
        <v>$ 28,265</v>
      </c>
      <c r="F2333">
        <v>633</v>
      </c>
    </row>
    <row r="2334" spans="1:6">
      <c r="A2334" t="s">
        <v>2335</v>
      </c>
      <c r="B2334" t="str">
        <f>"0.00366%"</f>
        <v>0.00366%</v>
      </c>
      <c r="C2334" t="s">
        <v>10</v>
      </c>
      <c r="D2334" t="s">
        <v>10</v>
      </c>
      <c r="E2334" t="str">
        <f>"$ 28,237"</f>
        <v>$ 28,237</v>
      </c>
      <c r="F2334" s="1">
        <v>8476</v>
      </c>
    </row>
    <row r="2335" spans="1:6">
      <c r="A2335" t="s">
        <v>2336</v>
      </c>
      <c r="B2335" t="str">
        <f>"0.00366%"</f>
        <v>0.00366%</v>
      </c>
      <c r="C2335" t="s">
        <v>10</v>
      </c>
      <c r="D2335" t="s">
        <v>10</v>
      </c>
      <c r="E2335" t="str">
        <f>"$ 28,226"</f>
        <v>$ 28,226</v>
      </c>
      <c r="F2335">
        <v>114</v>
      </c>
    </row>
    <row r="2336" spans="1:6">
      <c r="A2336" t="s">
        <v>2337</v>
      </c>
      <c r="B2336" t="str">
        <f t="shared" ref="B2336:B2341" si="18">"0.00365%"</f>
        <v>0.00365%</v>
      </c>
      <c r="C2336" t="s">
        <v>10</v>
      </c>
      <c r="D2336" t="s">
        <v>10</v>
      </c>
      <c r="E2336" t="str">
        <f>"$ 28,185"</f>
        <v>$ 28,185</v>
      </c>
      <c r="F2336">
        <v>288</v>
      </c>
    </row>
    <row r="2337" spans="1:6">
      <c r="A2337" t="s">
        <v>2338</v>
      </c>
      <c r="B2337" t="str">
        <f t="shared" si="18"/>
        <v>0.00365%</v>
      </c>
      <c r="C2337" t="s">
        <v>10</v>
      </c>
      <c r="D2337" t="s">
        <v>10</v>
      </c>
      <c r="E2337" t="str">
        <f>"$ 28,217"</f>
        <v>$ 28,217</v>
      </c>
      <c r="F2337" s="1">
        <v>1683</v>
      </c>
    </row>
    <row r="2338" spans="1:6">
      <c r="A2338" t="s">
        <v>2339</v>
      </c>
      <c r="B2338" t="str">
        <f t="shared" si="18"/>
        <v>0.00365%</v>
      </c>
      <c r="C2338" t="s">
        <v>10</v>
      </c>
      <c r="D2338" t="s">
        <v>10</v>
      </c>
      <c r="E2338" t="str">
        <f>"$ 28,182"</f>
        <v>$ 28,182</v>
      </c>
      <c r="F2338">
        <v>334</v>
      </c>
    </row>
    <row r="2339" spans="1:6">
      <c r="A2339" t="s">
        <v>2340</v>
      </c>
      <c r="B2339" t="str">
        <f t="shared" si="18"/>
        <v>0.00365%</v>
      </c>
      <c r="C2339" t="s">
        <v>10</v>
      </c>
      <c r="D2339" t="s">
        <v>10</v>
      </c>
      <c r="E2339" t="str">
        <f>"$ 28,189"</f>
        <v>$ 28,189</v>
      </c>
      <c r="F2339">
        <v>373</v>
      </c>
    </row>
    <row r="2340" spans="1:6">
      <c r="A2340" t="s">
        <v>2341</v>
      </c>
      <c r="B2340" t="str">
        <f t="shared" si="18"/>
        <v>0.00365%</v>
      </c>
      <c r="C2340" t="s">
        <v>10</v>
      </c>
      <c r="D2340" t="s">
        <v>10</v>
      </c>
      <c r="E2340" t="str">
        <f>"$ 28,194"</f>
        <v>$ 28,194</v>
      </c>
      <c r="F2340">
        <v>214</v>
      </c>
    </row>
    <row r="2341" spans="1:6">
      <c r="A2341" t="s">
        <v>2342</v>
      </c>
      <c r="B2341" t="str">
        <f t="shared" si="18"/>
        <v>0.00365%</v>
      </c>
      <c r="C2341" t="s">
        <v>10</v>
      </c>
      <c r="D2341" t="s">
        <v>10</v>
      </c>
      <c r="E2341" t="str">
        <f>"$ 28,205"</f>
        <v>$ 28,205</v>
      </c>
      <c r="F2341">
        <v>317</v>
      </c>
    </row>
    <row r="2342" spans="1:6">
      <c r="A2342" t="s">
        <v>2343</v>
      </c>
      <c r="B2342" t="str">
        <f>"0.00364%"</f>
        <v>0.00364%</v>
      </c>
      <c r="C2342" t="s">
        <v>10</v>
      </c>
      <c r="D2342" t="s">
        <v>10</v>
      </c>
      <c r="E2342" t="str">
        <f>"$ 28,112"</f>
        <v>$ 28,112</v>
      </c>
      <c r="F2342">
        <v>587</v>
      </c>
    </row>
    <row r="2343" spans="1:6">
      <c r="A2343" t="s">
        <v>2344</v>
      </c>
      <c r="B2343" t="str">
        <f>"0.00364%"</f>
        <v>0.00364%</v>
      </c>
      <c r="C2343" t="s">
        <v>10</v>
      </c>
      <c r="D2343" t="s">
        <v>10</v>
      </c>
      <c r="E2343" t="str">
        <f>"$ 28,113"</f>
        <v>$ 28,113</v>
      </c>
      <c r="F2343">
        <v>516</v>
      </c>
    </row>
    <row r="2344" spans="1:6">
      <c r="A2344" t="s">
        <v>2345</v>
      </c>
      <c r="B2344" t="str">
        <f>"0.00364%"</f>
        <v>0.00364%</v>
      </c>
      <c r="C2344" t="s">
        <v>10</v>
      </c>
      <c r="D2344" t="s">
        <v>10</v>
      </c>
      <c r="E2344" t="str">
        <f>"$ 28,072"</f>
        <v>$ 28,072</v>
      </c>
      <c r="F2344" s="1">
        <v>1880</v>
      </c>
    </row>
    <row r="2345" spans="1:6">
      <c r="A2345" t="s">
        <v>2346</v>
      </c>
      <c r="B2345" t="str">
        <f>"0.00364%"</f>
        <v>0.00364%</v>
      </c>
      <c r="C2345" t="s">
        <v>10</v>
      </c>
      <c r="D2345" t="s">
        <v>10</v>
      </c>
      <c r="E2345" t="str">
        <f>"$ 28,138"</f>
        <v>$ 28,138</v>
      </c>
      <c r="F2345">
        <v>292</v>
      </c>
    </row>
    <row r="2346" spans="1:6">
      <c r="A2346" t="s">
        <v>2347</v>
      </c>
      <c r="B2346" t="str">
        <f>"0.00364%"</f>
        <v>0.00364%</v>
      </c>
      <c r="C2346" t="s">
        <v>10</v>
      </c>
      <c r="D2346" t="s">
        <v>10</v>
      </c>
      <c r="E2346" t="str">
        <f>"$ 28,083"</f>
        <v>$ 28,083</v>
      </c>
      <c r="F2346">
        <v>850</v>
      </c>
    </row>
    <row r="2347" spans="1:6">
      <c r="A2347" t="s">
        <v>2348</v>
      </c>
      <c r="B2347" t="str">
        <f t="shared" ref="B2347:B2355" si="19">"0.00363%"</f>
        <v>0.00363%</v>
      </c>
      <c r="C2347" t="s">
        <v>10</v>
      </c>
      <c r="D2347" t="s">
        <v>10</v>
      </c>
      <c r="E2347" t="str">
        <f>"$ 28,068"</f>
        <v>$ 28,068</v>
      </c>
      <c r="F2347" s="1">
        <v>2061</v>
      </c>
    </row>
    <row r="2348" spans="1:6">
      <c r="A2348" t="s">
        <v>2349</v>
      </c>
      <c r="B2348" t="str">
        <f t="shared" si="19"/>
        <v>0.00363%</v>
      </c>
      <c r="C2348" t="s">
        <v>10</v>
      </c>
      <c r="D2348" t="s">
        <v>10</v>
      </c>
      <c r="E2348" t="str">
        <f>"$ 28,051"</f>
        <v>$ 28,051</v>
      </c>
      <c r="F2348" s="1">
        <v>3728</v>
      </c>
    </row>
    <row r="2349" spans="1:6">
      <c r="A2349" t="s">
        <v>2350</v>
      </c>
      <c r="B2349" t="str">
        <f t="shared" si="19"/>
        <v>0.00363%</v>
      </c>
      <c r="C2349" t="s">
        <v>10</v>
      </c>
      <c r="D2349" t="s">
        <v>10</v>
      </c>
      <c r="E2349" t="str">
        <f>"$ 28,017"</f>
        <v>$ 28,017</v>
      </c>
      <c r="F2349" s="1">
        <v>2429</v>
      </c>
    </row>
    <row r="2350" spans="1:6">
      <c r="A2350" t="s">
        <v>2351</v>
      </c>
      <c r="B2350" t="str">
        <f t="shared" si="19"/>
        <v>0.00363%</v>
      </c>
      <c r="C2350" t="s">
        <v>10</v>
      </c>
      <c r="D2350" t="s">
        <v>10</v>
      </c>
      <c r="E2350" t="str">
        <f>"$ 28,040"</f>
        <v>$ 28,040</v>
      </c>
      <c r="F2350" s="1">
        <v>1325</v>
      </c>
    </row>
    <row r="2351" spans="1:6">
      <c r="A2351" t="s">
        <v>2352</v>
      </c>
      <c r="B2351" t="str">
        <f t="shared" si="19"/>
        <v>0.00363%</v>
      </c>
      <c r="C2351" t="s">
        <v>10</v>
      </c>
      <c r="D2351" t="s">
        <v>10</v>
      </c>
      <c r="E2351" t="str">
        <f>"$ 28,064"</f>
        <v>$ 28,064</v>
      </c>
      <c r="F2351" s="1">
        <v>1170</v>
      </c>
    </row>
    <row r="2352" spans="1:6">
      <c r="A2352" t="s">
        <v>2353</v>
      </c>
      <c r="B2352" t="str">
        <f t="shared" si="19"/>
        <v>0.00363%</v>
      </c>
      <c r="C2352" t="s">
        <v>10</v>
      </c>
      <c r="D2352" t="s">
        <v>10</v>
      </c>
      <c r="E2352" t="str">
        <f>"$ 28,011"</f>
        <v>$ 28,011</v>
      </c>
      <c r="F2352" s="1">
        <v>4362</v>
      </c>
    </row>
    <row r="2353" spans="1:6">
      <c r="A2353" t="s">
        <v>2354</v>
      </c>
      <c r="B2353" t="str">
        <f t="shared" si="19"/>
        <v>0.00363%</v>
      </c>
      <c r="C2353" t="s">
        <v>10</v>
      </c>
      <c r="D2353" t="s">
        <v>10</v>
      </c>
      <c r="E2353" t="str">
        <f>"$ 28,014"</f>
        <v>$ 28,014</v>
      </c>
      <c r="F2353">
        <v>257</v>
      </c>
    </row>
    <row r="2354" spans="1:6">
      <c r="A2354" t="s">
        <v>2355</v>
      </c>
      <c r="B2354" t="str">
        <f t="shared" si="19"/>
        <v>0.00363%</v>
      </c>
      <c r="C2354" t="s">
        <v>10</v>
      </c>
      <c r="D2354" t="s">
        <v>10</v>
      </c>
      <c r="E2354" t="str">
        <f>"$ 28,003"</f>
        <v>$ 28,003</v>
      </c>
      <c r="F2354" s="1">
        <v>1023</v>
      </c>
    </row>
    <row r="2355" spans="1:6">
      <c r="A2355" t="s">
        <v>2356</v>
      </c>
      <c r="B2355" t="str">
        <f t="shared" si="19"/>
        <v>0.00363%</v>
      </c>
      <c r="C2355" t="s">
        <v>10</v>
      </c>
      <c r="D2355" t="s">
        <v>10</v>
      </c>
      <c r="E2355" t="str">
        <f>"$ 28,012"</f>
        <v>$ 28,012</v>
      </c>
      <c r="F2355" s="1">
        <v>3196</v>
      </c>
    </row>
    <row r="2356" spans="1:6">
      <c r="A2356" t="s">
        <v>2357</v>
      </c>
      <c r="B2356" t="str">
        <f>"0.00362%"</f>
        <v>0.00362%</v>
      </c>
      <c r="C2356" t="s">
        <v>10</v>
      </c>
      <c r="D2356" t="s">
        <v>10</v>
      </c>
      <c r="E2356" t="str">
        <f>"$ 27,980"</f>
        <v>$ 27,980</v>
      </c>
      <c r="F2356">
        <v>660</v>
      </c>
    </row>
    <row r="2357" spans="1:6">
      <c r="A2357" t="s">
        <v>2358</v>
      </c>
      <c r="B2357" t="str">
        <f>"0.00362%"</f>
        <v>0.00362%</v>
      </c>
      <c r="C2357" t="s">
        <v>10</v>
      </c>
      <c r="D2357" t="s">
        <v>10</v>
      </c>
      <c r="E2357" t="str">
        <f>"$ 27,975"</f>
        <v>$ 27,975</v>
      </c>
      <c r="F2357" s="1">
        <v>1993</v>
      </c>
    </row>
    <row r="2358" spans="1:6">
      <c r="A2358" t="s">
        <v>2359</v>
      </c>
      <c r="B2358" t="str">
        <f>"0.00362%"</f>
        <v>0.00362%</v>
      </c>
      <c r="C2358" t="s">
        <v>10</v>
      </c>
      <c r="D2358" t="s">
        <v>10</v>
      </c>
      <c r="E2358" t="str">
        <f>"$ 27,962"</f>
        <v>$ 27,962</v>
      </c>
      <c r="F2358" s="1">
        <v>1823</v>
      </c>
    </row>
    <row r="2359" spans="1:6">
      <c r="A2359" t="s">
        <v>2360</v>
      </c>
      <c r="B2359" t="str">
        <f>"0.00362%"</f>
        <v>0.00362%</v>
      </c>
      <c r="C2359" t="s">
        <v>10</v>
      </c>
      <c r="D2359" t="s">
        <v>10</v>
      </c>
      <c r="E2359" t="str">
        <f>"$ 27,922"</f>
        <v>$ 27,922</v>
      </c>
      <c r="F2359">
        <v>875</v>
      </c>
    </row>
    <row r="2360" spans="1:6">
      <c r="A2360" t="s">
        <v>2361</v>
      </c>
      <c r="B2360" t="str">
        <f>"0.00362%"</f>
        <v>0.00362%</v>
      </c>
      <c r="C2360" t="s">
        <v>10</v>
      </c>
      <c r="D2360" t="s">
        <v>10</v>
      </c>
      <c r="E2360" t="str">
        <f>"$ 27,974"</f>
        <v>$ 27,974</v>
      </c>
      <c r="F2360" s="1">
        <v>2780</v>
      </c>
    </row>
    <row r="2361" spans="1:6">
      <c r="A2361" t="s">
        <v>2362</v>
      </c>
      <c r="B2361" t="str">
        <f>"0.00361%"</f>
        <v>0.00361%</v>
      </c>
      <c r="C2361" t="s">
        <v>10</v>
      </c>
      <c r="D2361" t="s">
        <v>10</v>
      </c>
      <c r="E2361" t="str">
        <f>"$ 27,863"</f>
        <v>$ 27,863</v>
      </c>
      <c r="F2361" s="1">
        <v>26719</v>
      </c>
    </row>
    <row r="2362" spans="1:6">
      <c r="A2362" t="s">
        <v>2363</v>
      </c>
      <c r="B2362" t="str">
        <f>"0.00361%"</f>
        <v>0.00361%</v>
      </c>
      <c r="C2362" t="s">
        <v>10</v>
      </c>
      <c r="D2362" t="s">
        <v>10</v>
      </c>
      <c r="E2362" t="str">
        <f>"$ 27,875"</f>
        <v>$ 27,875</v>
      </c>
      <c r="F2362" s="1">
        <v>2640</v>
      </c>
    </row>
    <row r="2363" spans="1:6">
      <c r="A2363" t="s">
        <v>2364</v>
      </c>
      <c r="B2363" t="str">
        <f>"0.00361%"</f>
        <v>0.00361%</v>
      </c>
      <c r="C2363" t="s">
        <v>10</v>
      </c>
      <c r="D2363" t="s">
        <v>10</v>
      </c>
      <c r="E2363" t="str">
        <f>"$ 27,890"</f>
        <v>$ 27,890</v>
      </c>
      <c r="F2363" s="1">
        <v>16054</v>
      </c>
    </row>
    <row r="2364" spans="1:6">
      <c r="A2364" t="s">
        <v>2365</v>
      </c>
      <c r="B2364" t="str">
        <f>"0.00361%"</f>
        <v>0.00361%</v>
      </c>
      <c r="C2364" t="s">
        <v>10</v>
      </c>
      <c r="D2364" t="s">
        <v>10</v>
      </c>
      <c r="E2364" t="str">
        <f>"$ 27,878"</f>
        <v>$ 27,878</v>
      </c>
      <c r="F2364" s="1">
        <v>7654</v>
      </c>
    </row>
    <row r="2365" spans="1:6">
      <c r="A2365" t="s">
        <v>2366</v>
      </c>
      <c r="B2365" t="str">
        <f>"0.00361%"</f>
        <v>0.00361%</v>
      </c>
      <c r="C2365" t="s">
        <v>10</v>
      </c>
      <c r="D2365" t="s">
        <v>10</v>
      </c>
      <c r="E2365" t="str">
        <f>"$ 27,910"</f>
        <v>$ 27,910</v>
      </c>
      <c r="F2365">
        <v>344</v>
      </c>
    </row>
    <row r="2366" spans="1:6">
      <c r="A2366" t="s">
        <v>2367</v>
      </c>
      <c r="B2366" t="str">
        <f t="shared" ref="B2366:B2371" si="20">"0.00360%"</f>
        <v>0.00360%</v>
      </c>
      <c r="C2366" t="s">
        <v>10</v>
      </c>
      <c r="D2366" t="s">
        <v>10</v>
      </c>
      <c r="E2366" t="str">
        <f>"$ 27,815"</f>
        <v>$ 27,815</v>
      </c>
      <c r="F2366" s="1">
        <v>22308</v>
      </c>
    </row>
    <row r="2367" spans="1:6">
      <c r="A2367" t="s">
        <v>2368</v>
      </c>
      <c r="B2367" t="str">
        <f t="shared" si="20"/>
        <v>0.00360%</v>
      </c>
      <c r="C2367" t="s">
        <v>10</v>
      </c>
      <c r="D2367" t="s">
        <v>10</v>
      </c>
      <c r="E2367" t="str">
        <f>"$ 27,786"</f>
        <v>$ 27,786</v>
      </c>
      <c r="F2367" s="1">
        <v>1716</v>
      </c>
    </row>
    <row r="2368" spans="1:6">
      <c r="A2368" t="s">
        <v>2369</v>
      </c>
      <c r="B2368" t="str">
        <f t="shared" si="20"/>
        <v>0.00360%</v>
      </c>
      <c r="C2368" t="s">
        <v>10</v>
      </c>
      <c r="D2368" t="s">
        <v>10</v>
      </c>
      <c r="E2368" t="str">
        <f>"$ 27,777"</f>
        <v>$ 27,777</v>
      </c>
      <c r="F2368" s="1">
        <v>1395</v>
      </c>
    </row>
    <row r="2369" spans="1:6">
      <c r="A2369" t="s">
        <v>2370</v>
      </c>
      <c r="B2369" t="str">
        <f t="shared" si="20"/>
        <v>0.00360%</v>
      </c>
      <c r="C2369" t="s">
        <v>10</v>
      </c>
      <c r="D2369" t="s">
        <v>10</v>
      </c>
      <c r="E2369" t="str">
        <f>"$ 27,821"</f>
        <v>$ 27,821</v>
      </c>
      <c r="F2369" s="1">
        <v>24977</v>
      </c>
    </row>
    <row r="2370" spans="1:6">
      <c r="A2370" t="s">
        <v>2371</v>
      </c>
      <c r="B2370" t="str">
        <f t="shared" si="20"/>
        <v>0.00360%</v>
      </c>
      <c r="C2370" t="s">
        <v>10</v>
      </c>
      <c r="D2370" t="s">
        <v>10</v>
      </c>
      <c r="E2370" t="str">
        <f>"$ 27,769"</f>
        <v>$ 27,769</v>
      </c>
      <c r="F2370">
        <v>759</v>
      </c>
    </row>
    <row r="2371" spans="1:6">
      <c r="A2371" t="s">
        <v>2372</v>
      </c>
      <c r="B2371" t="str">
        <f t="shared" si="20"/>
        <v>0.00360%</v>
      </c>
      <c r="C2371" t="s">
        <v>10</v>
      </c>
      <c r="D2371" t="s">
        <v>10</v>
      </c>
      <c r="E2371" t="str">
        <f>"$ 27,812"</f>
        <v>$ 27,812</v>
      </c>
      <c r="F2371">
        <v>304</v>
      </c>
    </row>
    <row r="2372" spans="1:6">
      <c r="A2372" t="s">
        <v>2373</v>
      </c>
      <c r="B2372" t="str">
        <f t="shared" ref="B2372:B2377" si="21">"0.00359%"</f>
        <v>0.00359%</v>
      </c>
      <c r="C2372" t="s">
        <v>10</v>
      </c>
      <c r="D2372" t="s">
        <v>10</v>
      </c>
      <c r="E2372" t="str">
        <f>"$ 27,711"</f>
        <v>$ 27,711</v>
      </c>
      <c r="F2372">
        <v>204</v>
      </c>
    </row>
    <row r="2373" spans="1:6">
      <c r="A2373" t="s">
        <v>2374</v>
      </c>
      <c r="B2373" t="str">
        <f t="shared" si="21"/>
        <v>0.00359%</v>
      </c>
      <c r="C2373" t="s">
        <v>10</v>
      </c>
      <c r="D2373" t="s">
        <v>10</v>
      </c>
      <c r="E2373" t="str">
        <f>"$ 27,737"</f>
        <v>$ 27,737</v>
      </c>
      <c r="F2373">
        <v>397</v>
      </c>
    </row>
    <row r="2374" spans="1:6">
      <c r="A2374" t="s">
        <v>2375</v>
      </c>
      <c r="B2374" t="str">
        <f t="shared" si="21"/>
        <v>0.00359%</v>
      </c>
      <c r="C2374" t="s">
        <v>10</v>
      </c>
      <c r="D2374" t="s">
        <v>10</v>
      </c>
      <c r="E2374" t="str">
        <f>"$ 27,716"</f>
        <v>$ 27,716</v>
      </c>
      <c r="F2374" s="1">
        <v>2203</v>
      </c>
    </row>
    <row r="2375" spans="1:6">
      <c r="A2375" t="s">
        <v>2376</v>
      </c>
      <c r="B2375" t="str">
        <f t="shared" si="21"/>
        <v>0.00359%</v>
      </c>
      <c r="C2375" t="s">
        <v>10</v>
      </c>
      <c r="D2375" t="s">
        <v>10</v>
      </c>
      <c r="E2375" t="str">
        <f>"$ 27,755"</f>
        <v>$ 27,755</v>
      </c>
      <c r="F2375" s="1">
        <v>1919</v>
      </c>
    </row>
    <row r="2376" spans="1:6">
      <c r="A2376" t="s">
        <v>2377</v>
      </c>
      <c r="B2376" t="str">
        <f t="shared" si="21"/>
        <v>0.00359%</v>
      </c>
      <c r="C2376" t="s">
        <v>10</v>
      </c>
      <c r="D2376" t="s">
        <v>10</v>
      </c>
      <c r="E2376" t="str">
        <f>"$ 27,717"</f>
        <v>$ 27,717</v>
      </c>
      <c r="F2376" s="1">
        <v>1124</v>
      </c>
    </row>
    <row r="2377" spans="1:6">
      <c r="A2377" t="s">
        <v>2378</v>
      </c>
      <c r="B2377" t="str">
        <f t="shared" si="21"/>
        <v>0.00359%</v>
      </c>
      <c r="C2377" t="s">
        <v>10</v>
      </c>
      <c r="D2377" t="s">
        <v>10</v>
      </c>
      <c r="E2377" t="str">
        <f>"$ 27,730"</f>
        <v>$ 27,730</v>
      </c>
      <c r="F2377">
        <v>212</v>
      </c>
    </row>
    <row r="2378" spans="1:6">
      <c r="A2378" t="s">
        <v>2379</v>
      </c>
      <c r="B2378" t="str">
        <f>"0.00358%"</f>
        <v>0.00358%</v>
      </c>
      <c r="C2378" t="s">
        <v>10</v>
      </c>
      <c r="D2378" t="s">
        <v>10</v>
      </c>
      <c r="E2378" t="str">
        <f>"$ 27,612"</f>
        <v>$ 27,612</v>
      </c>
      <c r="F2378">
        <v>571</v>
      </c>
    </row>
    <row r="2379" spans="1:6">
      <c r="A2379" t="s">
        <v>2380</v>
      </c>
      <c r="B2379" t="str">
        <f>"0.00358%"</f>
        <v>0.00358%</v>
      </c>
      <c r="C2379" t="s">
        <v>10</v>
      </c>
      <c r="D2379" t="s">
        <v>10</v>
      </c>
      <c r="E2379" t="str">
        <f>"$ 27,675"</f>
        <v>$ 27,675</v>
      </c>
      <c r="F2379">
        <v>561</v>
      </c>
    </row>
    <row r="2380" spans="1:6">
      <c r="A2380" t="s">
        <v>2381</v>
      </c>
      <c r="B2380" t="str">
        <f>"0.00358%"</f>
        <v>0.00358%</v>
      </c>
      <c r="C2380" t="s">
        <v>10</v>
      </c>
      <c r="D2380" t="s">
        <v>10</v>
      </c>
      <c r="E2380" t="str">
        <f>"$ 27,679"</f>
        <v>$ 27,679</v>
      </c>
      <c r="F2380" s="1">
        <v>6469</v>
      </c>
    </row>
    <row r="2381" spans="1:6">
      <c r="A2381" t="s">
        <v>2382</v>
      </c>
      <c r="B2381" t="str">
        <f>"0.00358%"</f>
        <v>0.00358%</v>
      </c>
      <c r="C2381" t="s">
        <v>10</v>
      </c>
      <c r="D2381" t="s">
        <v>10</v>
      </c>
      <c r="E2381" t="str">
        <f>"$ 27,639"</f>
        <v>$ 27,639</v>
      </c>
      <c r="F2381" s="1">
        <v>2161</v>
      </c>
    </row>
    <row r="2382" spans="1:6">
      <c r="A2382" t="s">
        <v>2383</v>
      </c>
      <c r="B2382" t="str">
        <f>"0.00358%"</f>
        <v>0.00358%</v>
      </c>
      <c r="C2382" t="s">
        <v>10</v>
      </c>
      <c r="D2382" t="s">
        <v>10</v>
      </c>
      <c r="E2382" t="str">
        <f>"$ 27,655"</f>
        <v>$ 27,655</v>
      </c>
      <c r="F2382" s="1">
        <v>1674</v>
      </c>
    </row>
    <row r="2383" spans="1:6">
      <c r="A2383" t="s">
        <v>2384</v>
      </c>
      <c r="B2383" t="str">
        <f>"0.00357%"</f>
        <v>0.00357%</v>
      </c>
      <c r="C2383" t="s">
        <v>10</v>
      </c>
      <c r="D2383" t="s">
        <v>10</v>
      </c>
      <c r="E2383" t="str">
        <f>"$ 27,578"</f>
        <v>$ 27,578</v>
      </c>
      <c r="F2383">
        <v>242</v>
      </c>
    </row>
    <row r="2384" spans="1:6">
      <c r="A2384" t="s">
        <v>2385</v>
      </c>
      <c r="B2384" t="str">
        <f>"0.00357%"</f>
        <v>0.00357%</v>
      </c>
      <c r="C2384" t="s">
        <v>10</v>
      </c>
      <c r="D2384" t="s">
        <v>10</v>
      </c>
      <c r="E2384" t="str">
        <f>"$ 27,604"</f>
        <v>$ 27,604</v>
      </c>
      <c r="F2384">
        <v>185</v>
      </c>
    </row>
    <row r="2385" spans="1:6">
      <c r="A2385" t="s">
        <v>2386</v>
      </c>
      <c r="B2385" t="str">
        <f>"0.00356%"</f>
        <v>0.00356%</v>
      </c>
      <c r="C2385" t="s">
        <v>10</v>
      </c>
      <c r="D2385" t="s">
        <v>10</v>
      </c>
      <c r="E2385" t="str">
        <f>"$ 27,492"</f>
        <v>$ 27,492</v>
      </c>
      <c r="F2385" s="1">
        <v>20928</v>
      </c>
    </row>
    <row r="2386" spans="1:6">
      <c r="A2386" t="s">
        <v>2387</v>
      </c>
      <c r="B2386" t="str">
        <f>"0.00356%"</f>
        <v>0.00356%</v>
      </c>
      <c r="C2386" t="s">
        <v>10</v>
      </c>
      <c r="D2386" t="s">
        <v>10</v>
      </c>
      <c r="E2386" t="str">
        <f>"$ 27,452"</f>
        <v>$ 27,452</v>
      </c>
      <c r="F2386">
        <v>427</v>
      </c>
    </row>
    <row r="2387" spans="1:6">
      <c r="A2387" t="s">
        <v>2388</v>
      </c>
      <c r="B2387" t="str">
        <f>"0.00356%"</f>
        <v>0.00356%</v>
      </c>
      <c r="C2387" t="s">
        <v>10</v>
      </c>
      <c r="D2387" t="s">
        <v>10</v>
      </c>
      <c r="E2387" t="str">
        <f>"$ 27,526"</f>
        <v>$ 27,526</v>
      </c>
      <c r="F2387">
        <v>841</v>
      </c>
    </row>
    <row r="2388" spans="1:6">
      <c r="A2388" t="s">
        <v>2389</v>
      </c>
      <c r="B2388" t="str">
        <f>"0.00356%"</f>
        <v>0.00356%</v>
      </c>
      <c r="C2388" t="s">
        <v>10</v>
      </c>
      <c r="D2388" t="s">
        <v>10</v>
      </c>
      <c r="E2388" t="str">
        <f>"$ 27,492"</f>
        <v>$ 27,492</v>
      </c>
      <c r="F2388" s="1">
        <v>1425</v>
      </c>
    </row>
    <row r="2389" spans="1:6">
      <c r="A2389" t="s">
        <v>2390</v>
      </c>
      <c r="B2389" t="str">
        <f>"0.00355%"</f>
        <v>0.00355%</v>
      </c>
      <c r="C2389" t="s">
        <v>10</v>
      </c>
      <c r="D2389" t="s">
        <v>10</v>
      </c>
      <c r="E2389" t="str">
        <f>"$ 27,440"</f>
        <v>$ 27,440</v>
      </c>
      <c r="F2389" s="1">
        <v>1257</v>
      </c>
    </row>
    <row r="2390" spans="1:6">
      <c r="A2390" t="s">
        <v>2391</v>
      </c>
      <c r="B2390" t="str">
        <f>"0.00355%"</f>
        <v>0.00355%</v>
      </c>
      <c r="C2390" t="s">
        <v>10</v>
      </c>
      <c r="D2390" t="s">
        <v>10</v>
      </c>
      <c r="E2390" t="str">
        <f>"$ 27,385"</f>
        <v>$ 27,385</v>
      </c>
      <c r="F2390" s="1">
        <v>6706</v>
      </c>
    </row>
    <row r="2391" spans="1:6">
      <c r="A2391" t="s">
        <v>2392</v>
      </c>
      <c r="B2391" t="str">
        <f>"0.00355%"</f>
        <v>0.00355%</v>
      </c>
      <c r="C2391" t="s">
        <v>10</v>
      </c>
      <c r="D2391" t="s">
        <v>10</v>
      </c>
      <c r="E2391" t="str">
        <f>"$ 27,429"</f>
        <v>$ 27,429</v>
      </c>
      <c r="F2391" s="1">
        <v>3628</v>
      </c>
    </row>
    <row r="2392" spans="1:6">
      <c r="A2392" t="s">
        <v>2393</v>
      </c>
      <c r="B2392" t="str">
        <f>"0.00354%"</f>
        <v>0.00354%</v>
      </c>
      <c r="C2392" t="s">
        <v>10</v>
      </c>
      <c r="D2392" t="s">
        <v>10</v>
      </c>
      <c r="E2392" t="str">
        <f>"$ 27,318"</f>
        <v>$ 27,318</v>
      </c>
      <c r="F2392">
        <v>240</v>
      </c>
    </row>
    <row r="2393" spans="1:6">
      <c r="A2393" t="s">
        <v>2394</v>
      </c>
      <c r="B2393" t="str">
        <f>"0.00354%"</f>
        <v>0.00354%</v>
      </c>
      <c r="C2393" t="s">
        <v>10</v>
      </c>
      <c r="D2393" t="s">
        <v>10</v>
      </c>
      <c r="E2393" t="str">
        <f>"$ 27,326"</f>
        <v>$ 27,326</v>
      </c>
      <c r="F2393">
        <v>463</v>
      </c>
    </row>
    <row r="2394" spans="1:6">
      <c r="A2394" t="s">
        <v>2395</v>
      </c>
      <c r="B2394" t="str">
        <f>"0.00354%"</f>
        <v>0.00354%</v>
      </c>
      <c r="C2394" t="s">
        <v>10</v>
      </c>
      <c r="D2394" t="s">
        <v>10</v>
      </c>
      <c r="E2394" t="str">
        <f>"$ 27,316"</f>
        <v>$ 27,316</v>
      </c>
      <c r="F2394">
        <v>610</v>
      </c>
    </row>
    <row r="2395" spans="1:6">
      <c r="A2395" t="s">
        <v>2396</v>
      </c>
      <c r="B2395" t="str">
        <f>"0.00354%"</f>
        <v>0.00354%</v>
      </c>
      <c r="C2395" t="s">
        <v>10</v>
      </c>
      <c r="D2395" t="s">
        <v>10</v>
      </c>
      <c r="E2395" t="str">
        <f>"$ 27,373"</f>
        <v>$ 27,373</v>
      </c>
      <c r="F2395" s="1">
        <v>1131</v>
      </c>
    </row>
    <row r="2396" spans="1:6">
      <c r="A2396" t="s">
        <v>2397</v>
      </c>
      <c r="B2396" t="str">
        <f t="shared" ref="B2396:B2403" si="22">"0.00353%"</f>
        <v>0.00353%</v>
      </c>
      <c r="C2396" t="s">
        <v>10</v>
      </c>
      <c r="D2396" t="s">
        <v>10</v>
      </c>
      <c r="E2396" t="str">
        <f>"$ 27,284"</f>
        <v>$ 27,284</v>
      </c>
      <c r="F2396" s="1">
        <v>13960</v>
      </c>
    </row>
    <row r="2397" spans="1:6">
      <c r="A2397" t="s">
        <v>2398</v>
      </c>
      <c r="B2397" t="str">
        <f t="shared" si="22"/>
        <v>0.00353%</v>
      </c>
      <c r="C2397" t="s">
        <v>10</v>
      </c>
      <c r="D2397" t="s">
        <v>10</v>
      </c>
      <c r="E2397" t="str">
        <f>"$ 27,255"</f>
        <v>$ 27,255</v>
      </c>
      <c r="F2397">
        <v>313</v>
      </c>
    </row>
    <row r="2398" spans="1:6">
      <c r="A2398" t="s">
        <v>2399</v>
      </c>
      <c r="B2398" t="str">
        <f t="shared" si="22"/>
        <v>0.00353%</v>
      </c>
      <c r="C2398" t="s">
        <v>10</v>
      </c>
      <c r="D2398" t="s">
        <v>10</v>
      </c>
      <c r="E2398" t="str">
        <f>"$ 27,241"</f>
        <v>$ 27,241</v>
      </c>
      <c r="F2398">
        <v>501</v>
      </c>
    </row>
    <row r="2399" spans="1:6">
      <c r="A2399" t="s">
        <v>2400</v>
      </c>
      <c r="B2399" t="str">
        <f t="shared" si="22"/>
        <v>0.00353%</v>
      </c>
      <c r="C2399" t="s">
        <v>10</v>
      </c>
      <c r="D2399" t="s">
        <v>10</v>
      </c>
      <c r="E2399" t="str">
        <f>"$ 27,264"</f>
        <v>$ 27,264</v>
      </c>
      <c r="F2399">
        <v>349</v>
      </c>
    </row>
    <row r="2400" spans="1:6">
      <c r="A2400" t="s">
        <v>2401</v>
      </c>
      <c r="B2400" t="str">
        <f t="shared" si="22"/>
        <v>0.00353%</v>
      </c>
      <c r="C2400" t="s">
        <v>10</v>
      </c>
      <c r="D2400" t="s">
        <v>10</v>
      </c>
      <c r="E2400" t="str">
        <f>"$ 27,235"</f>
        <v>$ 27,235</v>
      </c>
      <c r="F2400" s="1">
        <v>18652</v>
      </c>
    </row>
    <row r="2401" spans="1:6">
      <c r="A2401" t="s">
        <v>2402</v>
      </c>
      <c r="B2401" t="str">
        <f t="shared" si="22"/>
        <v>0.00353%</v>
      </c>
      <c r="C2401" t="s">
        <v>10</v>
      </c>
      <c r="D2401" t="s">
        <v>10</v>
      </c>
      <c r="E2401" t="str">
        <f>"$ 27,285"</f>
        <v>$ 27,285</v>
      </c>
      <c r="F2401">
        <v>313</v>
      </c>
    </row>
    <row r="2402" spans="1:6">
      <c r="A2402" t="s">
        <v>2403</v>
      </c>
      <c r="B2402" t="str">
        <f t="shared" si="22"/>
        <v>0.00353%</v>
      </c>
      <c r="C2402" t="s">
        <v>10</v>
      </c>
      <c r="D2402" t="s">
        <v>10</v>
      </c>
      <c r="E2402" t="str">
        <f>"$ 27,280"</f>
        <v>$ 27,280</v>
      </c>
      <c r="F2402">
        <v>417</v>
      </c>
    </row>
    <row r="2403" spans="1:6">
      <c r="A2403" t="s">
        <v>2404</v>
      </c>
      <c r="B2403" t="str">
        <f t="shared" si="22"/>
        <v>0.00353%</v>
      </c>
      <c r="C2403" t="s">
        <v>10</v>
      </c>
      <c r="D2403" t="s">
        <v>10</v>
      </c>
      <c r="E2403" t="str">
        <f>"$ 27,254"</f>
        <v>$ 27,254</v>
      </c>
      <c r="F2403">
        <v>972</v>
      </c>
    </row>
    <row r="2404" spans="1:6">
      <c r="A2404" t="s">
        <v>2405</v>
      </c>
      <c r="B2404" t="str">
        <f t="shared" ref="B2404:B2410" si="23">"0.00352%"</f>
        <v>0.00352%</v>
      </c>
      <c r="C2404" t="s">
        <v>10</v>
      </c>
      <c r="D2404" t="s">
        <v>10</v>
      </c>
      <c r="E2404" t="str">
        <f>"$ 27,219"</f>
        <v>$ 27,219</v>
      </c>
      <c r="F2404" s="1">
        <v>1814</v>
      </c>
    </row>
    <row r="2405" spans="1:6">
      <c r="A2405" t="s">
        <v>2406</v>
      </c>
      <c r="B2405" t="str">
        <f t="shared" si="23"/>
        <v>0.00352%</v>
      </c>
      <c r="C2405" t="s">
        <v>10</v>
      </c>
      <c r="D2405" t="s">
        <v>10</v>
      </c>
      <c r="E2405" t="str">
        <f>"$ 27,181"</f>
        <v>$ 27,181</v>
      </c>
      <c r="F2405" s="1">
        <v>3709</v>
      </c>
    </row>
    <row r="2406" spans="1:6">
      <c r="A2406" t="s">
        <v>2407</v>
      </c>
      <c r="B2406" t="str">
        <f t="shared" si="23"/>
        <v>0.00352%</v>
      </c>
      <c r="C2406" t="s">
        <v>10</v>
      </c>
      <c r="D2406" t="s">
        <v>10</v>
      </c>
      <c r="E2406" t="str">
        <f>"$ 27,182"</f>
        <v>$ 27,182</v>
      </c>
      <c r="F2406">
        <v>423</v>
      </c>
    </row>
    <row r="2407" spans="1:6">
      <c r="A2407" t="s">
        <v>2408</v>
      </c>
      <c r="B2407" t="str">
        <f t="shared" si="23"/>
        <v>0.00352%</v>
      </c>
      <c r="C2407" t="s">
        <v>10</v>
      </c>
      <c r="D2407" t="s">
        <v>10</v>
      </c>
      <c r="E2407" t="str">
        <f>"$ 27,180"</f>
        <v>$ 27,180</v>
      </c>
      <c r="F2407" s="1">
        <v>2786</v>
      </c>
    </row>
    <row r="2408" spans="1:6">
      <c r="A2408" t="s">
        <v>2409</v>
      </c>
      <c r="B2408" t="str">
        <f t="shared" si="23"/>
        <v>0.00352%</v>
      </c>
      <c r="C2408" t="s">
        <v>10</v>
      </c>
      <c r="D2408" t="s">
        <v>10</v>
      </c>
      <c r="E2408" t="str">
        <f>"$ 27,172"</f>
        <v>$ 27,172</v>
      </c>
      <c r="F2408">
        <v>636</v>
      </c>
    </row>
    <row r="2409" spans="1:6">
      <c r="A2409" t="s">
        <v>2410</v>
      </c>
      <c r="B2409" t="str">
        <f t="shared" si="23"/>
        <v>0.00352%</v>
      </c>
      <c r="C2409" t="s">
        <v>10</v>
      </c>
      <c r="D2409" t="s">
        <v>10</v>
      </c>
      <c r="E2409" t="str">
        <f>"$ 27,144"</f>
        <v>$ 27,144</v>
      </c>
      <c r="F2409">
        <v>313</v>
      </c>
    </row>
    <row r="2410" spans="1:6">
      <c r="A2410" t="s">
        <v>2411</v>
      </c>
      <c r="B2410" t="str">
        <f t="shared" si="23"/>
        <v>0.00352%</v>
      </c>
      <c r="C2410" t="s">
        <v>10</v>
      </c>
      <c r="D2410" t="s">
        <v>10</v>
      </c>
      <c r="E2410" t="str">
        <f>"$ 27,186"</f>
        <v>$ 27,186</v>
      </c>
      <c r="F2410" s="1">
        <v>2014</v>
      </c>
    </row>
    <row r="2411" spans="1:6">
      <c r="A2411" t="s">
        <v>2412</v>
      </c>
      <c r="B2411" t="str">
        <f>"0.00351%"</f>
        <v>0.00351%</v>
      </c>
      <c r="C2411" t="s">
        <v>10</v>
      </c>
      <c r="D2411" t="s">
        <v>10</v>
      </c>
      <c r="E2411" t="str">
        <f>"$ 27,117"</f>
        <v>$ 27,117</v>
      </c>
      <c r="F2411">
        <v>661</v>
      </c>
    </row>
    <row r="2412" spans="1:6">
      <c r="A2412" t="s">
        <v>2413</v>
      </c>
      <c r="B2412" t="str">
        <f>"0.00351%"</f>
        <v>0.00351%</v>
      </c>
      <c r="C2412" t="s">
        <v>10</v>
      </c>
      <c r="D2412" t="s">
        <v>10</v>
      </c>
      <c r="E2412" t="str">
        <f>"$ 27,122"</f>
        <v>$ 27,122</v>
      </c>
      <c r="F2412" s="1">
        <v>18797</v>
      </c>
    </row>
    <row r="2413" spans="1:6">
      <c r="A2413" t="s">
        <v>2414</v>
      </c>
      <c r="B2413" t="str">
        <f>"0.00351%"</f>
        <v>0.00351%</v>
      </c>
      <c r="C2413" t="s">
        <v>10</v>
      </c>
      <c r="D2413" t="s">
        <v>10</v>
      </c>
      <c r="E2413" t="str">
        <f>"$ 27,077"</f>
        <v>$ 27,077</v>
      </c>
      <c r="F2413" s="1">
        <v>2832</v>
      </c>
    </row>
    <row r="2414" spans="1:6">
      <c r="A2414" t="s">
        <v>2415</v>
      </c>
      <c r="B2414" t="str">
        <f>"0.00350%"</f>
        <v>0.00350%</v>
      </c>
      <c r="C2414" t="s">
        <v>10</v>
      </c>
      <c r="D2414" t="s">
        <v>10</v>
      </c>
      <c r="E2414" t="str">
        <f>"$ 27,032"</f>
        <v>$ 27,032</v>
      </c>
      <c r="F2414" s="1">
        <v>1586</v>
      </c>
    </row>
    <row r="2415" spans="1:6">
      <c r="A2415" t="s">
        <v>2416</v>
      </c>
      <c r="B2415" t="str">
        <f>"0.00350%"</f>
        <v>0.00350%</v>
      </c>
      <c r="C2415" t="s">
        <v>10</v>
      </c>
      <c r="D2415" t="s">
        <v>10</v>
      </c>
      <c r="E2415" t="str">
        <f>"$ 27,005"</f>
        <v>$ 27,005</v>
      </c>
      <c r="F2415">
        <v>775</v>
      </c>
    </row>
    <row r="2416" spans="1:6">
      <c r="A2416" t="s">
        <v>2417</v>
      </c>
      <c r="B2416" t="str">
        <f>"0.00350%"</f>
        <v>0.00350%</v>
      </c>
      <c r="C2416" t="s">
        <v>10</v>
      </c>
      <c r="D2416" t="s">
        <v>10</v>
      </c>
      <c r="E2416" t="str">
        <f>"$ 27,043"</f>
        <v>$ 27,043</v>
      </c>
      <c r="F2416" s="1">
        <v>15942</v>
      </c>
    </row>
    <row r="2417" spans="1:6">
      <c r="A2417" t="s">
        <v>2418</v>
      </c>
      <c r="B2417" t="str">
        <f>"0.00350%"</f>
        <v>0.00350%</v>
      </c>
      <c r="C2417" t="s">
        <v>10</v>
      </c>
      <c r="D2417" t="s">
        <v>10</v>
      </c>
      <c r="E2417" t="str">
        <f>"$ 27,022"</f>
        <v>$ 27,022</v>
      </c>
      <c r="F2417" s="1">
        <v>2479</v>
      </c>
    </row>
    <row r="2418" spans="1:6">
      <c r="A2418" t="s">
        <v>2419</v>
      </c>
      <c r="B2418" t="str">
        <f t="shared" ref="B2418:B2423" si="24">"0.00349%"</f>
        <v>0.00349%</v>
      </c>
      <c r="C2418" t="s">
        <v>10</v>
      </c>
      <c r="D2418" t="s">
        <v>10</v>
      </c>
      <c r="E2418" t="str">
        <f>"$ 26,949"</f>
        <v>$ 26,949</v>
      </c>
      <c r="F2418" s="1">
        <v>1082</v>
      </c>
    </row>
    <row r="2419" spans="1:6">
      <c r="A2419" t="s">
        <v>2420</v>
      </c>
      <c r="B2419" t="str">
        <f t="shared" si="24"/>
        <v>0.00349%</v>
      </c>
      <c r="C2419" t="s">
        <v>10</v>
      </c>
      <c r="D2419" t="s">
        <v>10</v>
      </c>
      <c r="E2419" t="str">
        <f>"$ 26,946"</f>
        <v>$ 26,946</v>
      </c>
      <c r="F2419" s="1">
        <v>7035</v>
      </c>
    </row>
    <row r="2420" spans="1:6">
      <c r="A2420" t="s">
        <v>2421</v>
      </c>
      <c r="B2420" t="str">
        <f t="shared" si="24"/>
        <v>0.00349%</v>
      </c>
      <c r="C2420" t="s">
        <v>10</v>
      </c>
      <c r="D2420" t="s">
        <v>10</v>
      </c>
      <c r="E2420" t="str">
        <f>"$ 26,937"</f>
        <v>$ 26,937</v>
      </c>
      <c r="F2420">
        <v>288</v>
      </c>
    </row>
    <row r="2421" spans="1:6">
      <c r="A2421" t="s">
        <v>2422</v>
      </c>
      <c r="B2421" t="str">
        <f t="shared" si="24"/>
        <v>0.00349%</v>
      </c>
      <c r="C2421" t="s">
        <v>10</v>
      </c>
      <c r="D2421" t="s">
        <v>10</v>
      </c>
      <c r="E2421" t="str">
        <f>"$ 26,959"</f>
        <v>$ 26,959</v>
      </c>
      <c r="F2421" s="1">
        <v>1573</v>
      </c>
    </row>
    <row r="2422" spans="1:6">
      <c r="A2422" t="s">
        <v>2423</v>
      </c>
      <c r="B2422" t="str">
        <f t="shared" si="24"/>
        <v>0.00349%</v>
      </c>
      <c r="C2422" t="s">
        <v>10</v>
      </c>
      <c r="D2422" t="s">
        <v>10</v>
      </c>
      <c r="E2422" t="str">
        <f>"$ 26,972"</f>
        <v>$ 26,972</v>
      </c>
      <c r="F2422">
        <v>872</v>
      </c>
    </row>
    <row r="2423" spans="1:6">
      <c r="A2423" t="s">
        <v>2424</v>
      </c>
      <c r="B2423" t="str">
        <f t="shared" si="24"/>
        <v>0.00349%</v>
      </c>
      <c r="C2423" t="s">
        <v>10</v>
      </c>
      <c r="D2423" t="s">
        <v>10</v>
      </c>
      <c r="E2423" t="str">
        <f>"$ 26,978"</f>
        <v>$ 26,978</v>
      </c>
      <c r="F2423">
        <v>294</v>
      </c>
    </row>
    <row r="2424" spans="1:6">
      <c r="A2424" t="s">
        <v>2425</v>
      </c>
      <c r="B2424" t="str">
        <f>"0.00348%"</f>
        <v>0.00348%</v>
      </c>
      <c r="C2424" t="s">
        <v>10</v>
      </c>
      <c r="D2424" t="s">
        <v>10</v>
      </c>
      <c r="E2424" t="str">
        <f>"$ 26,892"</f>
        <v>$ 26,892</v>
      </c>
      <c r="F2424" s="1">
        <v>12922</v>
      </c>
    </row>
    <row r="2425" spans="1:6">
      <c r="A2425" t="s">
        <v>2426</v>
      </c>
      <c r="B2425" t="str">
        <f>"0.00348%"</f>
        <v>0.00348%</v>
      </c>
      <c r="C2425" t="s">
        <v>10</v>
      </c>
      <c r="D2425" t="s">
        <v>10</v>
      </c>
      <c r="E2425" t="str">
        <f>"$ 26,874"</f>
        <v>$ 26,874</v>
      </c>
      <c r="F2425" s="1">
        <v>2142</v>
      </c>
    </row>
    <row r="2426" spans="1:6">
      <c r="A2426" t="s">
        <v>2427</v>
      </c>
      <c r="B2426" t="str">
        <f>"0.00348%"</f>
        <v>0.00348%</v>
      </c>
      <c r="C2426" t="s">
        <v>10</v>
      </c>
      <c r="D2426" t="s">
        <v>10</v>
      </c>
      <c r="E2426" t="str">
        <f>"$ 26,844"</f>
        <v>$ 26,844</v>
      </c>
      <c r="F2426" s="1">
        <v>13090</v>
      </c>
    </row>
    <row r="2427" spans="1:6">
      <c r="A2427" t="s">
        <v>2428</v>
      </c>
      <c r="B2427" t="str">
        <f>"0.00347%"</f>
        <v>0.00347%</v>
      </c>
      <c r="C2427" t="s">
        <v>10</v>
      </c>
      <c r="D2427" t="s">
        <v>10</v>
      </c>
      <c r="E2427" t="str">
        <f>"$ 26,804"</f>
        <v>$ 26,804</v>
      </c>
      <c r="F2427" s="1">
        <v>1977</v>
      </c>
    </row>
    <row r="2428" spans="1:6">
      <c r="A2428" t="s">
        <v>2429</v>
      </c>
      <c r="B2428" t="str">
        <f>"0.00347%"</f>
        <v>0.00347%</v>
      </c>
      <c r="C2428" t="s">
        <v>10</v>
      </c>
      <c r="D2428" t="s">
        <v>10</v>
      </c>
      <c r="E2428" t="str">
        <f>"$ 26,833"</f>
        <v>$ 26,833</v>
      </c>
      <c r="F2428" s="1">
        <v>2735</v>
      </c>
    </row>
    <row r="2429" spans="1:6">
      <c r="A2429" t="s">
        <v>2430</v>
      </c>
      <c r="B2429" t="str">
        <f>"0.00347%"</f>
        <v>0.00347%</v>
      </c>
      <c r="C2429" t="s">
        <v>10</v>
      </c>
      <c r="D2429" t="s">
        <v>10</v>
      </c>
      <c r="E2429" t="str">
        <f>"$ 26,790"</f>
        <v>$ 26,790</v>
      </c>
      <c r="F2429" s="1">
        <v>1672</v>
      </c>
    </row>
    <row r="2430" spans="1:6">
      <c r="A2430" t="s">
        <v>2431</v>
      </c>
      <c r="B2430" t="str">
        <f t="shared" ref="B2430:B2435" si="25">"0.00346%"</f>
        <v>0.00346%</v>
      </c>
      <c r="C2430" t="s">
        <v>10</v>
      </c>
      <c r="D2430" t="s">
        <v>10</v>
      </c>
      <c r="E2430" t="str">
        <f>"$ 26,720"</f>
        <v>$ 26,720</v>
      </c>
      <c r="F2430" s="1">
        <v>1457</v>
      </c>
    </row>
    <row r="2431" spans="1:6">
      <c r="A2431" t="s">
        <v>2432</v>
      </c>
      <c r="B2431" t="str">
        <f t="shared" si="25"/>
        <v>0.00346%</v>
      </c>
      <c r="C2431" t="s">
        <v>10</v>
      </c>
      <c r="D2431" t="s">
        <v>10</v>
      </c>
      <c r="E2431" t="str">
        <f>"$ 26,704"</f>
        <v>$ 26,704</v>
      </c>
      <c r="F2431">
        <v>475</v>
      </c>
    </row>
    <row r="2432" spans="1:6">
      <c r="A2432" t="s">
        <v>2433</v>
      </c>
      <c r="B2432" t="str">
        <f t="shared" si="25"/>
        <v>0.00346%</v>
      </c>
      <c r="C2432" t="s">
        <v>10</v>
      </c>
      <c r="D2432" t="s">
        <v>10</v>
      </c>
      <c r="E2432" t="str">
        <f>"$ 26,738"</f>
        <v>$ 26,738</v>
      </c>
      <c r="F2432">
        <v>498</v>
      </c>
    </row>
    <row r="2433" spans="1:6">
      <c r="A2433" t="s">
        <v>2434</v>
      </c>
      <c r="B2433" t="str">
        <f t="shared" si="25"/>
        <v>0.00346%</v>
      </c>
      <c r="C2433" t="s">
        <v>10</v>
      </c>
      <c r="D2433" t="s">
        <v>10</v>
      </c>
      <c r="E2433" t="str">
        <f>"$ 26,697"</f>
        <v>$ 26,697</v>
      </c>
      <c r="F2433" s="1">
        <v>1308</v>
      </c>
    </row>
    <row r="2434" spans="1:6">
      <c r="A2434" t="s">
        <v>2435</v>
      </c>
      <c r="B2434" t="str">
        <f t="shared" si="25"/>
        <v>0.00346%</v>
      </c>
      <c r="C2434" t="s">
        <v>10</v>
      </c>
      <c r="D2434" t="s">
        <v>10</v>
      </c>
      <c r="E2434" t="str">
        <f>"$ 26,696"</f>
        <v>$ 26,696</v>
      </c>
      <c r="F2434" s="1">
        <v>3185</v>
      </c>
    </row>
    <row r="2435" spans="1:6">
      <c r="A2435" t="s">
        <v>2436</v>
      </c>
      <c r="B2435" t="str">
        <f t="shared" si="25"/>
        <v>0.00346%</v>
      </c>
      <c r="C2435" t="s">
        <v>10</v>
      </c>
      <c r="D2435" t="s">
        <v>10</v>
      </c>
      <c r="E2435" t="str">
        <f>"$ 26,698"</f>
        <v>$ 26,698</v>
      </c>
      <c r="F2435">
        <v>236</v>
      </c>
    </row>
    <row r="2436" spans="1:6">
      <c r="A2436" t="s">
        <v>2437</v>
      </c>
      <c r="B2436" t="str">
        <f>"0.00345%"</f>
        <v>0.00345%</v>
      </c>
      <c r="C2436" t="s">
        <v>10</v>
      </c>
      <c r="D2436" t="s">
        <v>10</v>
      </c>
      <c r="E2436" t="str">
        <f>"$ 26,615"</f>
        <v>$ 26,615</v>
      </c>
      <c r="F2436" s="1">
        <v>1303</v>
      </c>
    </row>
    <row r="2437" spans="1:6">
      <c r="A2437" t="s">
        <v>2438</v>
      </c>
      <c r="B2437" t="str">
        <f>"0.00345%"</f>
        <v>0.00345%</v>
      </c>
      <c r="C2437" t="s">
        <v>10</v>
      </c>
      <c r="D2437" t="s">
        <v>10</v>
      </c>
      <c r="E2437" t="str">
        <f>"$ 26,651"</f>
        <v>$ 26,651</v>
      </c>
      <c r="F2437" s="1">
        <v>4198</v>
      </c>
    </row>
    <row r="2438" spans="1:6">
      <c r="A2438" t="s">
        <v>2439</v>
      </c>
      <c r="B2438" t="str">
        <f>"0.00345%"</f>
        <v>0.00345%</v>
      </c>
      <c r="C2438" t="s">
        <v>10</v>
      </c>
      <c r="D2438" t="s">
        <v>10</v>
      </c>
      <c r="E2438" t="str">
        <f>"$ 26,666"</f>
        <v>$ 26,666</v>
      </c>
      <c r="F2438">
        <v>660</v>
      </c>
    </row>
    <row r="2439" spans="1:6">
      <c r="A2439" t="s">
        <v>2440</v>
      </c>
      <c r="B2439" t="str">
        <f>"0.00345%"</f>
        <v>0.00345%</v>
      </c>
      <c r="C2439" t="s">
        <v>10</v>
      </c>
      <c r="D2439" t="s">
        <v>10</v>
      </c>
      <c r="E2439" t="str">
        <f>"$ 26,614"</f>
        <v>$ 26,614</v>
      </c>
      <c r="F2439">
        <v>323</v>
      </c>
    </row>
    <row r="2440" spans="1:6">
      <c r="A2440" t="s">
        <v>2441</v>
      </c>
      <c r="B2440" t="str">
        <f>"0.00344%"</f>
        <v>0.00344%</v>
      </c>
      <c r="C2440" t="s">
        <v>10</v>
      </c>
      <c r="D2440" t="s">
        <v>10</v>
      </c>
      <c r="E2440" t="str">
        <f>"$ 26,535"</f>
        <v>$ 26,535</v>
      </c>
      <c r="F2440">
        <v>391</v>
      </c>
    </row>
    <row r="2441" spans="1:6">
      <c r="A2441" t="s">
        <v>2442</v>
      </c>
      <c r="B2441" t="str">
        <f>"0.00344%"</f>
        <v>0.00344%</v>
      </c>
      <c r="C2441" t="s">
        <v>10</v>
      </c>
      <c r="D2441" t="s">
        <v>10</v>
      </c>
      <c r="E2441" t="str">
        <f>"$ 26,544"</f>
        <v>$ 26,544</v>
      </c>
      <c r="F2441">
        <v>372</v>
      </c>
    </row>
    <row r="2442" spans="1:6">
      <c r="A2442" t="s">
        <v>2443</v>
      </c>
      <c r="B2442" t="str">
        <f>"0.00343%"</f>
        <v>0.00343%</v>
      </c>
      <c r="C2442" t="s">
        <v>10</v>
      </c>
      <c r="D2442" t="s">
        <v>10</v>
      </c>
      <c r="E2442" t="str">
        <f>"$ 26,457"</f>
        <v>$ 26,457</v>
      </c>
      <c r="F2442">
        <v>643</v>
      </c>
    </row>
    <row r="2443" spans="1:6">
      <c r="A2443" t="s">
        <v>2444</v>
      </c>
      <c r="B2443" t="str">
        <f>"0.00343%"</f>
        <v>0.00343%</v>
      </c>
      <c r="C2443" t="s">
        <v>10</v>
      </c>
      <c r="D2443" t="s">
        <v>10</v>
      </c>
      <c r="E2443" t="str">
        <f>"$ 26,518"</f>
        <v>$ 26,518</v>
      </c>
      <c r="F2443">
        <v>726</v>
      </c>
    </row>
    <row r="2444" spans="1:6">
      <c r="A2444" t="s">
        <v>2445</v>
      </c>
      <c r="B2444" t="str">
        <f>"0.00343%"</f>
        <v>0.00343%</v>
      </c>
      <c r="C2444" t="s">
        <v>10</v>
      </c>
      <c r="D2444" t="s">
        <v>10</v>
      </c>
      <c r="E2444" t="str">
        <f>"$ 26,482"</f>
        <v>$ 26,482</v>
      </c>
      <c r="F2444">
        <v>796</v>
      </c>
    </row>
    <row r="2445" spans="1:6">
      <c r="A2445" t="s">
        <v>2446</v>
      </c>
      <c r="B2445" t="str">
        <f>"0.00343%"</f>
        <v>0.00343%</v>
      </c>
      <c r="C2445" t="s">
        <v>10</v>
      </c>
      <c r="D2445" t="s">
        <v>10</v>
      </c>
      <c r="E2445" t="str">
        <f>"$ 26,519"</f>
        <v>$ 26,519</v>
      </c>
      <c r="F2445">
        <v>564</v>
      </c>
    </row>
    <row r="2446" spans="1:6">
      <c r="A2446" t="s">
        <v>2447</v>
      </c>
      <c r="B2446" t="str">
        <f>"0.00343%"</f>
        <v>0.00343%</v>
      </c>
      <c r="C2446" t="s">
        <v>10</v>
      </c>
      <c r="D2446" t="s">
        <v>10</v>
      </c>
      <c r="E2446" t="str">
        <f>"$ 26,482"</f>
        <v>$ 26,482</v>
      </c>
      <c r="F2446" s="1">
        <v>18409</v>
      </c>
    </row>
    <row r="2447" spans="1:6">
      <c r="A2447" t="s">
        <v>2448</v>
      </c>
      <c r="B2447" t="str">
        <f>"0.00342%"</f>
        <v>0.00342%</v>
      </c>
      <c r="C2447" t="s">
        <v>10</v>
      </c>
      <c r="D2447" t="s">
        <v>10</v>
      </c>
      <c r="E2447" t="str">
        <f>"$ 26,446"</f>
        <v>$ 26,446</v>
      </c>
      <c r="F2447">
        <v>141</v>
      </c>
    </row>
    <row r="2448" spans="1:6">
      <c r="A2448" t="s">
        <v>2449</v>
      </c>
      <c r="B2448" t="str">
        <f>"0.00342%"</f>
        <v>0.00342%</v>
      </c>
      <c r="C2448" t="s">
        <v>10</v>
      </c>
      <c r="D2448" t="s">
        <v>10</v>
      </c>
      <c r="E2448" t="str">
        <f>"$ 26,414"</f>
        <v>$ 26,414</v>
      </c>
      <c r="F2448">
        <v>231</v>
      </c>
    </row>
    <row r="2449" spans="1:6">
      <c r="A2449" t="s">
        <v>2450</v>
      </c>
      <c r="B2449" t="str">
        <f>"0.00342%"</f>
        <v>0.00342%</v>
      </c>
      <c r="C2449" t="s">
        <v>10</v>
      </c>
      <c r="D2449" t="s">
        <v>10</v>
      </c>
      <c r="E2449" t="str">
        <f>"$ 26,405"</f>
        <v>$ 26,405</v>
      </c>
      <c r="F2449" s="1">
        <v>1419</v>
      </c>
    </row>
    <row r="2450" spans="1:6">
      <c r="A2450" t="s">
        <v>2451</v>
      </c>
      <c r="B2450" t="str">
        <f>"0.00342%"</f>
        <v>0.00342%</v>
      </c>
      <c r="C2450" t="s">
        <v>10</v>
      </c>
      <c r="D2450" t="s">
        <v>10</v>
      </c>
      <c r="E2450" t="str">
        <f>"$ 26,381"</f>
        <v>$ 26,381</v>
      </c>
      <c r="F2450">
        <v>396</v>
      </c>
    </row>
    <row r="2451" spans="1:6">
      <c r="A2451" t="s">
        <v>2452</v>
      </c>
      <c r="B2451" t="str">
        <f>"0.00342%"</f>
        <v>0.00342%</v>
      </c>
      <c r="C2451" t="s">
        <v>10</v>
      </c>
      <c r="D2451" t="s">
        <v>10</v>
      </c>
      <c r="E2451" t="str">
        <f>"$ 26,392"</f>
        <v>$ 26,392</v>
      </c>
      <c r="F2451">
        <v>222</v>
      </c>
    </row>
    <row r="2452" spans="1:6">
      <c r="A2452" t="s">
        <v>2453</v>
      </c>
      <c r="B2452" t="str">
        <f>"0.00341%"</f>
        <v>0.00341%</v>
      </c>
      <c r="C2452" t="s">
        <v>10</v>
      </c>
      <c r="D2452" t="s">
        <v>10</v>
      </c>
      <c r="E2452" t="str">
        <f>"$ 26,334"</f>
        <v>$ 26,334</v>
      </c>
      <c r="F2452">
        <v>158</v>
      </c>
    </row>
    <row r="2453" spans="1:6">
      <c r="A2453" t="s">
        <v>2454</v>
      </c>
      <c r="B2453" t="str">
        <f>"0.00341%"</f>
        <v>0.00341%</v>
      </c>
      <c r="C2453" t="s">
        <v>10</v>
      </c>
      <c r="D2453" t="s">
        <v>10</v>
      </c>
      <c r="E2453" t="str">
        <f>"$ 26,336"</f>
        <v>$ 26,336</v>
      </c>
      <c r="F2453">
        <v>312</v>
      </c>
    </row>
    <row r="2454" spans="1:6">
      <c r="A2454" t="s">
        <v>2455</v>
      </c>
      <c r="B2454" t="str">
        <f>"0.00341%"</f>
        <v>0.00341%</v>
      </c>
      <c r="C2454" t="s">
        <v>10</v>
      </c>
      <c r="D2454" t="s">
        <v>10</v>
      </c>
      <c r="E2454" t="str">
        <f>"$ 26,338"</f>
        <v>$ 26,338</v>
      </c>
      <c r="F2454" s="1">
        <v>7391</v>
      </c>
    </row>
    <row r="2455" spans="1:6">
      <c r="A2455" t="s">
        <v>2456</v>
      </c>
      <c r="B2455" t="str">
        <f>"0.00341%"</f>
        <v>0.00341%</v>
      </c>
      <c r="C2455" t="s">
        <v>10</v>
      </c>
      <c r="D2455" t="s">
        <v>10</v>
      </c>
      <c r="E2455" t="str">
        <f>"$ 26,320"</f>
        <v>$ 26,320</v>
      </c>
      <c r="F2455" s="1">
        <v>1010</v>
      </c>
    </row>
    <row r="2456" spans="1:6">
      <c r="A2456" t="s">
        <v>2457</v>
      </c>
      <c r="B2456" t="str">
        <f>"0.00341%"</f>
        <v>0.00341%</v>
      </c>
      <c r="C2456" t="s">
        <v>10</v>
      </c>
      <c r="D2456" t="s">
        <v>10</v>
      </c>
      <c r="E2456" t="str">
        <f>"$ 26,339"</f>
        <v>$ 26,339</v>
      </c>
      <c r="F2456" s="1">
        <v>2276</v>
      </c>
    </row>
    <row r="2457" spans="1:6">
      <c r="A2457" t="s">
        <v>2458</v>
      </c>
      <c r="B2457" t="str">
        <f>"0.00340%"</f>
        <v>0.00340%</v>
      </c>
      <c r="C2457" t="s">
        <v>10</v>
      </c>
      <c r="D2457" t="s">
        <v>10</v>
      </c>
      <c r="E2457" t="str">
        <f>"$ 26,221"</f>
        <v>$ 26,221</v>
      </c>
      <c r="F2457">
        <v>236</v>
      </c>
    </row>
    <row r="2458" spans="1:6">
      <c r="A2458" t="s">
        <v>2459</v>
      </c>
      <c r="B2458" t="str">
        <f>"0.00340%"</f>
        <v>0.00340%</v>
      </c>
      <c r="C2458" t="s">
        <v>10</v>
      </c>
      <c r="D2458" t="s">
        <v>10</v>
      </c>
      <c r="E2458" t="str">
        <f>"$ 26,278"</f>
        <v>$ 26,278</v>
      </c>
      <c r="F2458">
        <v>28</v>
      </c>
    </row>
    <row r="2459" spans="1:6">
      <c r="A2459" t="s">
        <v>2460</v>
      </c>
      <c r="B2459" t="str">
        <f>"0.00340%"</f>
        <v>0.00340%</v>
      </c>
      <c r="C2459" t="s">
        <v>10</v>
      </c>
      <c r="D2459" t="s">
        <v>10</v>
      </c>
      <c r="E2459" t="str">
        <f>"$ 26,286"</f>
        <v>$ 26,286</v>
      </c>
      <c r="F2459" s="1">
        <v>4586</v>
      </c>
    </row>
    <row r="2460" spans="1:6">
      <c r="A2460" t="s">
        <v>2461</v>
      </c>
      <c r="B2460" t="str">
        <f>"0.00339%"</f>
        <v>0.00339%</v>
      </c>
      <c r="C2460" t="s">
        <v>10</v>
      </c>
      <c r="D2460" t="s">
        <v>10</v>
      </c>
      <c r="E2460" t="str">
        <f>"$ 26,146"</f>
        <v>$ 26,146</v>
      </c>
      <c r="F2460">
        <v>878</v>
      </c>
    </row>
    <row r="2461" spans="1:6">
      <c r="A2461" t="s">
        <v>2462</v>
      </c>
      <c r="B2461" t="str">
        <f>"0.00339%"</f>
        <v>0.00339%</v>
      </c>
      <c r="C2461" t="s">
        <v>10</v>
      </c>
      <c r="D2461" t="s">
        <v>10</v>
      </c>
      <c r="E2461" t="str">
        <f>"$ 26,185"</f>
        <v>$ 26,185</v>
      </c>
      <c r="F2461">
        <v>323</v>
      </c>
    </row>
    <row r="2462" spans="1:6">
      <c r="A2462" t="s">
        <v>2463</v>
      </c>
      <c r="B2462" t="str">
        <f>"0.00339%"</f>
        <v>0.00339%</v>
      </c>
      <c r="C2462" t="s">
        <v>10</v>
      </c>
      <c r="D2462" t="s">
        <v>10</v>
      </c>
      <c r="E2462" t="str">
        <f>"$ 26,160"</f>
        <v>$ 26,160</v>
      </c>
      <c r="F2462">
        <v>426</v>
      </c>
    </row>
    <row r="2463" spans="1:6">
      <c r="A2463" t="s">
        <v>2464</v>
      </c>
      <c r="B2463" t="str">
        <f>"0.00339%"</f>
        <v>0.00339%</v>
      </c>
      <c r="C2463" t="s">
        <v>10</v>
      </c>
      <c r="D2463" t="s">
        <v>10</v>
      </c>
      <c r="E2463" t="str">
        <f>"$ 26,171"</f>
        <v>$ 26,171</v>
      </c>
      <c r="F2463">
        <v>716</v>
      </c>
    </row>
    <row r="2464" spans="1:6">
      <c r="A2464" t="s">
        <v>2465</v>
      </c>
      <c r="B2464" t="str">
        <f>"0.00339%"</f>
        <v>0.00339%</v>
      </c>
      <c r="C2464" t="s">
        <v>10</v>
      </c>
      <c r="D2464" t="s">
        <v>10</v>
      </c>
      <c r="E2464" t="str">
        <f>"$ 26,181"</f>
        <v>$ 26,181</v>
      </c>
      <c r="F2464">
        <v>445</v>
      </c>
    </row>
    <row r="2465" spans="1:6">
      <c r="A2465" t="s">
        <v>2466</v>
      </c>
      <c r="B2465" t="str">
        <f>"0.00338%"</f>
        <v>0.00338%</v>
      </c>
      <c r="C2465" t="s">
        <v>10</v>
      </c>
      <c r="D2465" t="s">
        <v>10</v>
      </c>
      <c r="E2465" t="str">
        <f>"$ 26,126"</f>
        <v>$ 26,126</v>
      </c>
      <c r="F2465">
        <v>118</v>
      </c>
    </row>
    <row r="2466" spans="1:6">
      <c r="A2466" t="s">
        <v>2467</v>
      </c>
      <c r="B2466" t="str">
        <f>"0.00338%"</f>
        <v>0.00338%</v>
      </c>
      <c r="C2466" t="s">
        <v>10</v>
      </c>
      <c r="D2466" t="s">
        <v>10</v>
      </c>
      <c r="E2466" t="str">
        <f>"$ 26,109"</f>
        <v>$ 26,109</v>
      </c>
      <c r="F2466" s="1">
        <v>1130</v>
      </c>
    </row>
    <row r="2467" spans="1:6">
      <c r="A2467" t="s">
        <v>2468</v>
      </c>
      <c r="B2467" t="str">
        <f>"0.00336%"</f>
        <v>0.00336%</v>
      </c>
      <c r="C2467" t="s">
        <v>10</v>
      </c>
      <c r="D2467" t="s">
        <v>10</v>
      </c>
      <c r="E2467" t="str">
        <f>"$ 25,974"</f>
        <v>$ 25,974</v>
      </c>
      <c r="F2467">
        <v>128</v>
      </c>
    </row>
    <row r="2468" spans="1:6">
      <c r="A2468" t="s">
        <v>2469</v>
      </c>
      <c r="B2468" t="str">
        <f>"0.00336%"</f>
        <v>0.00336%</v>
      </c>
      <c r="C2468" t="s">
        <v>10</v>
      </c>
      <c r="D2468" t="s">
        <v>10</v>
      </c>
      <c r="E2468" t="str">
        <f>"$ 25,968"</f>
        <v>$ 25,968</v>
      </c>
      <c r="F2468">
        <v>142</v>
      </c>
    </row>
    <row r="2469" spans="1:6">
      <c r="A2469" t="s">
        <v>2470</v>
      </c>
      <c r="B2469" t="str">
        <f>"0.00336%"</f>
        <v>0.00336%</v>
      </c>
      <c r="C2469" t="s">
        <v>10</v>
      </c>
      <c r="D2469" t="s">
        <v>10</v>
      </c>
      <c r="E2469" t="str">
        <f>"$ 25,958"</f>
        <v>$ 25,958</v>
      </c>
      <c r="F2469">
        <v>709</v>
      </c>
    </row>
    <row r="2470" spans="1:6">
      <c r="A2470" t="s">
        <v>2471</v>
      </c>
      <c r="B2470" t="str">
        <f>"0.00336%"</f>
        <v>0.00336%</v>
      </c>
      <c r="C2470" t="s">
        <v>10</v>
      </c>
      <c r="D2470" t="s">
        <v>10</v>
      </c>
      <c r="E2470" t="str">
        <f>"$ 25,916"</f>
        <v>$ 25,916</v>
      </c>
      <c r="F2470">
        <v>256</v>
      </c>
    </row>
    <row r="2471" spans="1:6">
      <c r="A2471" t="s">
        <v>2472</v>
      </c>
      <c r="B2471" t="str">
        <f t="shared" ref="B2471:B2476" si="26">"0.00335%"</f>
        <v>0.00335%</v>
      </c>
      <c r="C2471" t="s">
        <v>10</v>
      </c>
      <c r="D2471" t="s">
        <v>10</v>
      </c>
      <c r="E2471" t="str">
        <f>"$ 25,886"</f>
        <v>$ 25,886</v>
      </c>
      <c r="F2471">
        <v>115</v>
      </c>
    </row>
    <row r="2472" spans="1:6">
      <c r="A2472" t="s">
        <v>2473</v>
      </c>
      <c r="B2472" t="str">
        <f t="shared" si="26"/>
        <v>0.00335%</v>
      </c>
      <c r="C2472" t="s">
        <v>10</v>
      </c>
      <c r="D2472" t="s">
        <v>10</v>
      </c>
      <c r="E2472" t="str">
        <f>"$ 25,871"</f>
        <v>$ 25,871</v>
      </c>
      <c r="F2472" s="1">
        <v>1172</v>
      </c>
    </row>
    <row r="2473" spans="1:6">
      <c r="A2473" t="s">
        <v>1896</v>
      </c>
      <c r="B2473" t="str">
        <f t="shared" si="26"/>
        <v>0.00335%</v>
      </c>
      <c r="C2473" t="s">
        <v>10</v>
      </c>
      <c r="D2473" t="s">
        <v>10</v>
      </c>
      <c r="E2473" t="str">
        <f>"$ 25,859"</f>
        <v>$ 25,859</v>
      </c>
      <c r="F2473">
        <v>133</v>
      </c>
    </row>
    <row r="2474" spans="1:6">
      <c r="A2474" t="s">
        <v>2474</v>
      </c>
      <c r="B2474" t="str">
        <f t="shared" si="26"/>
        <v>0.00335%</v>
      </c>
      <c r="C2474" t="s">
        <v>10</v>
      </c>
      <c r="D2474" t="s">
        <v>10</v>
      </c>
      <c r="E2474" t="str">
        <f>"$ 25,856"</f>
        <v>$ 25,856</v>
      </c>
      <c r="F2474">
        <v>403</v>
      </c>
    </row>
    <row r="2475" spans="1:6">
      <c r="A2475" t="s">
        <v>2475</v>
      </c>
      <c r="B2475" t="str">
        <f t="shared" si="26"/>
        <v>0.00335%</v>
      </c>
      <c r="C2475" t="s">
        <v>10</v>
      </c>
      <c r="D2475" t="s">
        <v>10</v>
      </c>
      <c r="E2475" t="str">
        <f>"$ 25,888"</f>
        <v>$ 25,888</v>
      </c>
      <c r="F2475">
        <v>603</v>
      </c>
    </row>
    <row r="2476" spans="1:6">
      <c r="A2476" t="s">
        <v>2476</v>
      </c>
      <c r="B2476" t="str">
        <f t="shared" si="26"/>
        <v>0.00335%</v>
      </c>
      <c r="C2476" t="s">
        <v>10</v>
      </c>
      <c r="D2476" t="s">
        <v>10</v>
      </c>
      <c r="E2476" t="str">
        <f>"$ 25,844"</f>
        <v>$ 25,844</v>
      </c>
      <c r="F2476">
        <v>272</v>
      </c>
    </row>
    <row r="2477" spans="1:6">
      <c r="A2477" t="s">
        <v>2477</v>
      </c>
      <c r="B2477" t="str">
        <f t="shared" ref="B2477:B2484" si="27">"0.00334%"</f>
        <v>0.00334%</v>
      </c>
      <c r="C2477" t="s">
        <v>10</v>
      </c>
      <c r="D2477" t="s">
        <v>10</v>
      </c>
      <c r="E2477" t="str">
        <f>"$ 25,798"</f>
        <v>$ 25,798</v>
      </c>
      <c r="F2477" s="1">
        <v>1417</v>
      </c>
    </row>
    <row r="2478" spans="1:6">
      <c r="A2478" t="s">
        <v>2478</v>
      </c>
      <c r="B2478" t="str">
        <f t="shared" si="27"/>
        <v>0.00334%</v>
      </c>
      <c r="C2478" t="s">
        <v>10</v>
      </c>
      <c r="D2478" t="s">
        <v>10</v>
      </c>
      <c r="E2478" t="str">
        <f>"$ 25,799"</f>
        <v>$ 25,799</v>
      </c>
      <c r="F2478">
        <v>485</v>
      </c>
    </row>
    <row r="2479" spans="1:6">
      <c r="A2479" t="s">
        <v>2479</v>
      </c>
      <c r="B2479" t="str">
        <f t="shared" si="27"/>
        <v>0.00334%</v>
      </c>
      <c r="C2479" t="s">
        <v>10</v>
      </c>
      <c r="D2479" t="s">
        <v>10</v>
      </c>
      <c r="E2479" t="str">
        <f>"$ 25,792"</f>
        <v>$ 25,792</v>
      </c>
      <c r="F2479" s="1">
        <v>1364</v>
      </c>
    </row>
    <row r="2480" spans="1:6">
      <c r="A2480" t="s">
        <v>2480</v>
      </c>
      <c r="B2480" t="str">
        <f t="shared" si="27"/>
        <v>0.00334%</v>
      </c>
      <c r="C2480" t="s">
        <v>10</v>
      </c>
      <c r="D2480" t="s">
        <v>10</v>
      </c>
      <c r="E2480" t="str">
        <f>"$ 25,798"</f>
        <v>$ 25,798</v>
      </c>
      <c r="F2480" s="1">
        <v>1054</v>
      </c>
    </row>
    <row r="2481" spans="1:6">
      <c r="A2481" t="s">
        <v>2481</v>
      </c>
      <c r="B2481" t="str">
        <f t="shared" si="27"/>
        <v>0.00334%</v>
      </c>
      <c r="C2481" t="s">
        <v>10</v>
      </c>
      <c r="D2481" t="s">
        <v>10</v>
      </c>
      <c r="E2481" t="str">
        <f>"$ 25,820"</f>
        <v>$ 25,820</v>
      </c>
      <c r="F2481">
        <v>445</v>
      </c>
    </row>
    <row r="2482" spans="1:6">
      <c r="A2482" t="s">
        <v>2482</v>
      </c>
      <c r="B2482" t="str">
        <f t="shared" si="27"/>
        <v>0.00334%</v>
      </c>
      <c r="C2482" t="s">
        <v>10</v>
      </c>
      <c r="D2482" t="s">
        <v>10</v>
      </c>
      <c r="E2482" t="str">
        <f>"$ 25,795"</f>
        <v>$ 25,795</v>
      </c>
      <c r="F2482" s="1">
        <v>2920</v>
      </c>
    </row>
    <row r="2483" spans="1:6">
      <c r="A2483" t="s">
        <v>2483</v>
      </c>
      <c r="B2483" t="str">
        <f t="shared" si="27"/>
        <v>0.00334%</v>
      </c>
      <c r="C2483" t="s">
        <v>10</v>
      </c>
      <c r="D2483" t="s">
        <v>10</v>
      </c>
      <c r="E2483" t="str">
        <f>"$ 25,823"</f>
        <v>$ 25,823</v>
      </c>
      <c r="F2483" s="1">
        <v>1476</v>
      </c>
    </row>
    <row r="2484" spans="1:6">
      <c r="A2484" t="s">
        <v>2484</v>
      </c>
      <c r="B2484" t="str">
        <f t="shared" si="27"/>
        <v>0.00334%</v>
      </c>
      <c r="C2484" t="s">
        <v>10</v>
      </c>
      <c r="D2484" t="s">
        <v>10</v>
      </c>
      <c r="E2484" t="str">
        <f>"$ 25,826"</f>
        <v>$ 25,826</v>
      </c>
      <c r="F2484">
        <v>319</v>
      </c>
    </row>
    <row r="2485" spans="1:6">
      <c r="A2485" t="s">
        <v>2485</v>
      </c>
      <c r="B2485" t="str">
        <f t="shared" ref="B2485:B2491" si="28">"0.00332%"</f>
        <v>0.00332%</v>
      </c>
      <c r="C2485" t="s">
        <v>10</v>
      </c>
      <c r="D2485" t="s">
        <v>10</v>
      </c>
      <c r="E2485" t="str">
        <f>"$ 25,627"</f>
        <v>$ 25,627</v>
      </c>
      <c r="F2485" s="1">
        <v>1336</v>
      </c>
    </row>
    <row r="2486" spans="1:6">
      <c r="A2486" t="s">
        <v>2486</v>
      </c>
      <c r="B2486" t="str">
        <f t="shared" si="28"/>
        <v>0.00332%</v>
      </c>
      <c r="C2486" t="s">
        <v>10</v>
      </c>
      <c r="D2486" t="s">
        <v>10</v>
      </c>
      <c r="E2486" t="str">
        <f>"$ 25,637"</f>
        <v>$ 25,637</v>
      </c>
      <c r="F2486">
        <v>198</v>
      </c>
    </row>
    <row r="2487" spans="1:6">
      <c r="A2487" t="s">
        <v>2487</v>
      </c>
      <c r="B2487" t="str">
        <f t="shared" si="28"/>
        <v>0.00332%</v>
      </c>
      <c r="C2487" t="s">
        <v>10</v>
      </c>
      <c r="D2487" t="s">
        <v>10</v>
      </c>
      <c r="E2487" t="str">
        <f>"$ 25,669"</f>
        <v>$ 25,669</v>
      </c>
      <c r="F2487">
        <v>241</v>
      </c>
    </row>
    <row r="2488" spans="1:6">
      <c r="A2488" t="s">
        <v>2488</v>
      </c>
      <c r="B2488" t="str">
        <f t="shared" si="28"/>
        <v>0.00332%</v>
      </c>
      <c r="C2488" t="s">
        <v>10</v>
      </c>
      <c r="D2488" t="s">
        <v>10</v>
      </c>
      <c r="E2488" t="str">
        <f>"$ 25,603"</f>
        <v>$ 25,603</v>
      </c>
      <c r="F2488">
        <v>310</v>
      </c>
    </row>
    <row r="2489" spans="1:6">
      <c r="A2489" t="s">
        <v>2489</v>
      </c>
      <c r="B2489" t="str">
        <f t="shared" si="28"/>
        <v>0.00332%</v>
      </c>
      <c r="C2489" t="s">
        <v>10</v>
      </c>
      <c r="D2489" t="s">
        <v>10</v>
      </c>
      <c r="E2489" t="str">
        <f>"$ 25,638"</f>
        <v>$ 25,638</v>
      </c>
      <c r="F2489">
        <v>249</v>
      </c>
    </row>
    <row r="2490" spans="1:6">
      <c r="A2490" t="s">
        <v>2490</v>
      </c>
      <c r="B2490" t="str">
        <f t="shared" si="28"/>
        <v>0.00332%</v>
      </c>
      <c r="C2490" t="s">
        <v>10</v>
      </c>
      <c r="D2490" t="s">
        <v>10</v>
      </c>
      <c r="E2490" t="str">
        <f>"$ 25,647"</f>
        <v>$ 25,647</v>
      </c>
      <c r="F2490" s="1">
        <v>1158</v>
      </c>
    </row>
    <row r="2491" spans="1:6">
      <c r="A2491" t="s">
        <v>2491</v>
      </c>
      <c r="B2491" t="str">
        <f t="shared" si="28"/>
        <v>0.00332%</v>
      </c>
      <c r="C2491" t="s">
        <v>10</v>
      </c>
      <c r="D2491" t="s">
        <v>10</v>
      </c>
      <c r="E2491" t="str">
        <f>"$ 25,617"</f>
        <v>$ 25,617</v>
      </c>
      <c r="F2491">
        <v>627</v>
      </c>
    </row>
    <row r="2492" spans="1:6">
      <c r="A2492" t="s">
        <v>2492</v>
      </c>
      <c r="B2492" t="str">
        <f t="shared" ref="B2492:B2497" si="29">"0.00331%"</f>
        <v>0.00331%</v>
      </c>
      <c r="C2492" t="s">
        <v>10</v>
      </c>
      <c r="D2492" t="s">
        <v>10</v>
      </c>
      <c r="E2492" t="str">
        <f>"$ 25,582"</f>
        <v>$ 25,582</v>
      </c>
      <c r="F2492">
        <v>4</v>
      </c>
    </row>
    <row r="2493" spans="1:6">
      <c r="A2493" t="s">
        <v>2493</v>
      </c>
      <c r="B2493" t="str">
        <f t="shared" si="29"/>
        <v>0.00331%</v>
      </c>
      <c r="C2493" t="s">
        <v>10</v>
      </c>
      <c r="D2493" t="s">
        <v>10</v>
      </c>
      <c r="E2493" t="str">
        <f>"$ 25,584"</f>
        <v>$ 25,584</v>
      </c>
      <c r="F2493">
        <v>517</v>
      </c>
    </row>
    <row r="2494" spans="1:6">
      <c r="A2494" t="s">
        <v>2494</v>
      </c>
      <c r="B2494" t="str">
        <f t="shared" si="29"/>
        <v>0.00331%</v>
      </c>
      <c r="C2494" t="s">
        <v>10</v>
      </c>
      <c r="D2494" t="s">
        <v>10</v>
      </c>
      <c r="E2494" t="str">
        <f>"$ 25,556"</f>
        <v>$ 25,556</v>
      </c>
      <c r="F2494" s="1">
        <v>46584</v>
      </c>
    </row>
    <row r="2495" spans="1:6">
      <c r="A2495" t="s">
        <v>2495</v>
      </c>
      <c r="B2495" t="str">
        <f t="shared" si="29"/>
        <v>0.00331%</v>
      </c>
      <c r="C2495" t="s">
        <v>10</v>
      </c>
      <c r="D2495" t="s">
        <v>10</v>
      </c>
      <c r="E2495" t="str">
        <f>"$ 25,549"</f>
        <v>$ 25,549</v>
      </c>
      <c r="F2495" s="1">
        <v>3283</v>
      </c>
    </row>
    <row r="2496" spans="1:6">
      <c r="A2496" t="s">
        <v>2496</v>
      </c>
      <c r="B2496" t="str">
        <f t="shared" si="29"/>
        <v>0.00331%</v>
      </c>
      <c r="C2496" t="s">
        <v>10</v>
      </c>
      <c r="D2496" t="s">
        <v>10</v>
      </c>
      <c r="E2496" t="str">
        <f>"$ 25,543"</f>
        <v>$ 25,543</v>
      </c>
      <c r="F2496" s="1">
        <v>1316</v>
      </c>
    </row>
    <row r="2497" spans="1:6">
      <c r="A2497" t="s">
        <v>2497</v>
      </c>
      <c r="B2497" t="str">
        <f t="shared" si="29"/>
        <v>0.00331%</v>
      </c>
      <c r="C2497" t="s">
        <v>10</v>
      </c>
      <c r="D2497" t="s">
        <v>10</v>
      </c>
      <c r="E2497" t="str">
        <f>"$ 25,597"</f>
        <v>$ 25,597</v>
      </c>
      <c r="F2497" s="1">
        <v>1452</v>
      </c>
    </row>
    <row r="2498" spans="1:6">
      <c r="A2498" t="s">
        <v>2498</v>
      </c>
      <c r="B2498" t="str">
        <f t="shared" ref="B2498:B2505" si="30">"0.00330%"</f>
        <v>0.00330%</v>
      </c>
      <c r="C2498" t="s">
        <v>10</v>
      </c>
      <c r="D2498" t="s">
        <v>10</v>
      </c>
      <c r="E2498" t="str">
        <f>"$ 25,465"</f>
        <v>$ 25,465</v>
      </c>
      <c r="F2498">
        <v>240</v>
      </c>
    </row>
    <row r="2499" spans="1:6">
      <c r="A2499" t="s">
        <v>2499</v>
      </c>
      <c r="B2499" t="str">
        <f t="shared" si="30"/>
        <v>0.00330%</v>
      </c>
      <c r="C2499" t="s">
        <v>10</v>
      </c>
      <c r="D2499" t="s">
        <v>10</v>
      </c>
      <c r="E2499" t="str">
        <f>"$ 25,497"</f>
        <v>$ 25,497</v>
      </c>
      <c r="F2499">
        <v>389</v>
      </c>
    </row>
    <row r="2500" spans="1:6">
      <c r="A2500" t="s">
        <v>2500</v>
      </c>
      <c r="B2500" t="str">
        <f t="shared" si="30"/>
        <v>0.00330%</v>
      </c>
      <c r="C2500" t="s">
        <v>10</v>
      </c>
      <c r="D2500" t="s">
        <v>10</v>
      </c>
      <c r="E2500" t="str">
        <f>"$ 25,454"</f>
        <v>$ 25,454</v>
      </c>
      <c r="F2500">
        <v>203</v>
      </c>
    </row>
    <row r="2501" spans="1:6">
      <c r="A2501" t="s">
        <v>2501</v>
      </c>
      <c r="B2501" t="str">
        <f t="shared" si="30"/>
        <v>0.00330%</v>
      </c>
      <c r="C2501" t="s">
        <v>10</v>
      </c>
      <c r="D2501" t="s">
        <v>10</v>
      </c>
      <c r="E2501" t="str">
        <f>"$ 25,505"</f>
        <v>$ 25,505</v>
      </c>
      <c r="F2501">
        <v>792</v>
      </c>
    </row>
    <row r="2502" spans="1:6">
      <c r="A2502" t="s">
        <v>2502</v>
      </c>
      <c r="B2502" t="str">
        <f t="shared" si="30"/>
        <v>0.00330%</v>
      </c>
      <c r="C2502" t="s">
        <v>10</v>
      </c>
      <c r="D2502" t="s">
        <v>10</v>
      </c>
      <c r="E2502" t="str">
        <f>"$ 25,451"</f>
        <v>$ 25,451</v>
      </c>
      <c r="F2502" s="1">
        <v>6372</v>
      </c>
    </row>
    <row r="2503" spans="1:6">
      <c r="A2503" t="s">
        <v>2503</v>
      </c>
      <c r="B2503" t="str">
        <f t="shared" si="30"/>
        <v>0.00330%</v>
      </c>
      <c r="C2503" t="s">
        <v>10</v>
      </c>
      <c r="D2503" t="s">
        <v>10</v>
      </c>
      <c r="E2503" t="str">
        <f>"$ 25,466"</f>
        <v>$ 25,466</v>
      </c>
      <c r="F2503" s="1">
        <v>2980</v>
      </c>
    </row>
    <row r="2504" spans="1:6">
      <c r="A2504" t="s">
        <v>2504</v>
      </c>
      <c r="B2504" t="str">
        <f t="shared" si="30"/>
        <v>0.00330%</v>
      </c>
      <c r="C2504" t="s">
        <v>10</v>
      </c>
      <c r="D2504" t="s">
        <v>10</v>
      </c>
      <c r="E2504" t="str">
        <f>"$ 25,487"</f>
        <v>$ 25,487</v>
      </c>
      <c r="F2504" s="1">
        <v>3058</v>
      </c>
    </row>
    <row r="2505" spans="1:6">
      <c r="A2505" t="s">
        <v>2505</v>
      </c>
      <c r="B2505" t="str">
        <f t="shared" si="30"/>
        <v>0.00330%</v>
      </c>
      <c r="C2505" t="s">
        <v>10</v>
      </c>
      <c r="D2505" t="s">
        <v>10</v>
      </c>
      <c r="E2505" t="str">
        <f>"$ 25,497"</f>
        <v>$ 25,497</v>
      </c>
      <c r="F2505">
        <v>26</v>
      </c>
    </row>
    <row r="2506" spans="1:6">
      <c r="A2506" t="s">
        <v>2506</v>
      </c>
      <c r="B2506" t="str">
        <f t="shared" ref="B2506:B2514" si="31">"0.00329%"</f>
        <v>0.00329%</v>
      </c>
      <c r="C2506" t="s">
        <v>10</v>
      </c>
      <c r="D2506" t="s">
        <v>10</v>
      </c>
      <c r="E2506" t="str">
        <f>"$ 25,412"</f>
        <v>$ 25,412</v>
      </c>
      <c r="F2506" s="1">
        <v>1358</v>
      </c>
    </row>
    <row r="2507" spans="1:6">
      <c r="A2507" t="s">
        <v>2507</v>
      </c>
      <c r="B2507" t="str">
        <f t="shared" si="31"/>
        <v>0.00329%</v>
      </c>
      <c r="C2507" t="s">
        <v>10</v>
      </c>
      <c r="D2507" t="s">
        <v>10</v>
      </c>
      <c r="E2507" t="str">
        <f>"$ 25,384"</f>
        <v>$ 25,384</v>
      </c>
      <c r="F2507">
        <v>511</v>
      </c>
    </row>
    <row r="2508" spans="1:6">
      <c r="A2508" t="s">
        <v>2508</v>
      </c>
      <c r="B2508" t="str">
        <f t="shared" si="31"/>
        <v>0.00329%</v>
      </c>
      <c r="C2508" t="s">
        <v>10</v>
      </c>
      <c r="D2508" t="s">
        <v>10</v>
      </c>
      <c r="E2508" t="str">
        <f>"$ 25,368"</f>
        <v>$ 25,368</v>
      </c>
      <c r="F2508">
        <v>190</v>
      </c>
    </row>
    <row r="2509" spans="1:6">
      <c r="A2509" t="s">
        <v>2509</v>
      </c>
      <c r="B2509" t="str">
        <f t="shared" si="31"/>
        <v>0.00329%</v>
      </c>
      <c r="C2509" t="s">
        <v>10</v>
      </c>
      <c r="D2509" t="s">
        <v>10</v>
      </c>
      <c r="E2509" t="str">
        <f>"$ 25,376"</f>
        <v>$ 25,376</v>
      </c>
      <c r="F2509" s="1">
        <v>1551</v>
      </c>
    </row>
    <row r="2510" spans="1:6">
      <c r="A2510" t="s">
        <v>2510</v>
      </c>
      <c r="B2510" t="str">
        <f t="shared" si="31"/>
        <v>0.00329%</v>
      </c>
      <c r="C2510" t="s">
        <v>10</v>
      </c>
      <c r="D2510" t="s">
        <v>10</v>
      </c>
      <c r="E2510" t="str">
        <f>"$ 25,430"</f>
        <v>$ 25,430</v>
      </c>
      <c r="F2510">
        <v>539</v>
      </c>
    </row>
    <row r="2511" spans="1:6">
      <c r="A2511" t="s">
        <v>2511</v>
      </c>
      <c r="B2511" t="str">
        <f t="shared" si="31"/>
        <v>0.00329%</v>
      </c>
      <c r="C2511" t="s">
        <v>10</v>
      </c>
      <c r="D2511" t="s">
        <v>10</v>
      </c>
      <c r="E2511" t="str">
        <f>"$ 25,419"</f>
        <v>$ 25,419</v>
      </c>
      <c r="F2511" s="1">
        <v>2359</v>
      </c>
    </row>
    <row r="2512" spans="1:6">
      <c r="A2512" t="s">
        <v>2512</v>
      </c>
      <c r="B2512" t="str">
        <f t="shared" si="31"/>
        <v>0.00329%</v>
      </c>
      <c r="C2512" t="s">
        <v>10</v>
      </c>
      <c r="D2512" t="s">
        <v>10</v>
      </c>
      <c r="E2512" t="str">
        <f>"$ 25,368"</f>
        <v>$ 25,368</v>
      </c>
      <c r="F2512">
        <v>679</v>
      </c>
    </row>
    <row r="2513" spans="1:6">
      <c r="A2513" t="s">
        <v>2513</v>
      </c>
      <c r="B2513" t="str">
        <f t="shared" si="31"/>
        <v>0.00329%</v>
      </c>
      <c r="C2513" t="s">
        <v>10</v>
      </c>
      <c r="D2513" t="s">
        <v>10</v>
      </c>
      <c r="E2513" t="str">
        <f>"$ 25,423"</f>
        <v>$ 25,423</v>
      </c>
      <c r="F2513" s="1">
        <v>2075</v>
      </c>
    </row>
    <row r="2514" spans="1:6">
      <c r="A2514" t="s">
        <v>2514</v>
      </c>
      <c r="B2514" t="str">
        <f t="shared" si="31"/>
        <v>0.00329%</v>
      </c>
      <c r="C2514" t="s">
        <v>10</v>
      </c>
      <c r="D2514" t="s">
        <v>10</v>
      </c>
      <c r="E2514" t="str">
        <f>"$ 25,389"</f>
        <v>$ 25,389</v>
      </c>
      <c r="F2514">
        <v>297</v>
      </c>
    </row>
    <row r="2515" spans="1:6">
      <c r="A2515" t="s">
        <v>2515</v>
      </c>
      <c r="B2515" t="str">
        <f t="shared" ref="B2515:B2520" si="32">"0.00328%"</f>
        <v>0.00328%</v>
      </c>
      <c r="C2515" t="s">
        <v>10</v>
      </c>
      <c r="D2515" t="s">
        <v>10</v>
      </c>
      <c r="E2515" t="str">
        <f>"$ 25,319"</f>
        <v>$ 25,319</v>
      </c>
      <c r="F2515">
        <v>510</v>
      </c>
    </row>
    <row r="2516" spans="1:6">
      <c r="A2516" t="s">
        <v>2516</v>
      </c>
      <c r="B2516" t="str">
        <f t="shared" si="32"/>
        <v>0.00328%</v>
      </c>
      <c r="C2516" t="s">
        <v>10</v>
      </c>
      <c r="D2516" t="s">
        <v>10</v>
      </c>
      <c r="E2516" t="str">
        <f>"$ 25,327"</f>
        <v>$ 25,327</v>
      </c>
      <c r="F2516">
        <v>957</v>
      </c>
    </row>
    <row r="2517" spans="1:6">
      <c r="A2517" t="s">
        <v>2517</v>
      </c>
      <c r="B2517" t="str">
        <f t="shared" si="32"/>
        <v>0.00328%</v>
      </c>
      <c r="C2517" t="s">
        <v>10</v>
      </c>
      <c r="D2517" t="s">
        <v>10</v>
      </c>
      <c r="E2517" t="str">
        <f>"$ 25,345"</f>
        <v>$ 25,345</v>
      </c>
      <c r="F2517">
        <v>423</v>
      </c>
    </row>
    <row r="2518" spans="1:6">
      <c r="A2518" t="s">
        <v>2518</v>
      </c>
      <c r="B2518" t="str">
        <f t="shared" si="32"/>
        <v>0.00328%</v>
      </c>
      <c r="C2518" t="s">
        <v>10</v>
      </c>
      <c r="D2518" t="s">
        <v>10</v>
      </c>
      <c r="E2518" t="str">
        <f>"$ 25,362"</f>
        <v>$ 25,362</v>
      </c>
      <c r="F2518" s="1">
        <v>3044</v>
      </c>
    </row>
    <row r="2519" spans="1:6">
      <c r="A2519" t="s">
        <v>2519</v>
      </c>
      <c r="B2519" t="str">
        <f t="shared" si="32"/>
        <v>0.00328%</v>
      </c>
      <c r="C2519" t="s">
        <v>10</v>
      </c>
      <c r="D2519" t="s">
        <v>10</v>
      </c>
      <c r="E2519" t="str">
        <f>"$ 25,345"</f>
        <v>$ 25,345</v>
      </c>
      <c r="F2519">
        <v>312</v>
      </c>
    </row>
    <row r="2520" spans="1:6">
      <c r="A2520" t="s">
        <v>2520</v>
      </c>
      <c r="B2520" t="str">
        <f t="shared" si="32"/>
        <v>0.00328%</v>
      </c>
      <c r="C2520" t="s">
        <v>10</v>
      </c>
      <c r="D2520" t="s">
        <v>10</v>
      </c>
      <c r="E2520" t="str">
        <f>"$ 25,363"</f>
        <v>$ 25,363</v>
      </c>
      <c r="F2520">
        <v>589</v>
      </c>
    </row>
    <row r="2521" spans="1:6">
      <c r="A2521" t="s">
        <v>2521</v>
      </c>
      <c r="B2521" t="str">
        <f>"0.00327%"</f>
        <v>0.00327%</v>
      </c>
      <c r="C2521" t="s">
        <v>10</v>
      </c>
      <c r="D2521" t="s">
        <v>10</v>
      </c>
      <c r="E2521" t="str">
        <f>"$ 25,226"</f>
        <v>$ 25,226</v>
      </c>
      <c r="F2521" s="1">
        <v>2665</v>
      </c>
    </row>
    <row r="2522" spans="1:6">
      <c r="A2522" t="s">
        <v>2522</v>
      </c>
      <c r="B2522" t="str">
        <f>"0.00327%"</f>
        <v>0.00327%</v>
      </c>
      <c r="C2522" t="s">
        <v>10</v>
      </c>
      <c r="D2522" t="s">
        <v>10</v>
      </c>
      <c r="E2522" t="str">
        <f>"$ 25,269"</f>
        <v>$ 25,269</v>
      </c>
      <c r="F2522" s="1">
        <v>2721</v>
      </c>
    </row>
    <row r="2523" spans="1:6">
      <c r="A2523" t="s">
        <v>2523</v>
      </c>
      <c r="B2523" t="str">
        <f>"0.00327%"</f>
        <v>0.00327%</v>
      </c>
      <c r="C2523" t="s">
        <v>10</v>
      </c>
      <c r="D2523" t="s">
        <v>10</v>
      </c>
      <c r="E2523" t="str">
        <f>"$ 25,273"</f>
        <v>$ 25,273</v>
      </c>
      <c r="F2523">
        <v>209</v>
      </c>
    </row>
    <row r="2524" spans="1:6">
      <c r="A2524" t="s">
        <v>2524</v>
      </c>
      <c r="B2524" t="str">
        <f>"0.00327%"</f>
        <v>0.00327%</v>
      </c>
      <c r="C2524" t="s">
        <v>10</v>
      </c>
      <c r="D2524" t="s">
        <v>10</v>
      </c>
      <c r="E2524" t="str">
        <f>"$ 25,214"</f>
        <v>$ 25,214</v>
      </c>
      <c r="F2524" s="1">
        <v>1415</v>
      </c>
    </row>
    <row r="2525" spans="1:6">
      <c r="A2525" t="s">
        <v>2525</v>
      </c>
      <c r="B2525" t="str">
        <f t="shared" ref="B2525:B2531" si="33">"0.00326%"</f>
        <v>0.00326%</v>
      </c>
      <c r="C2525" t="s">
        <v>10</v>
      </c>
      <c r="D2525" t="s">
        <v>10</v>
      </c>
      <c r="E2525" t="str">
        <f>"$ 25,183"</f>
        <v>$ 25,183</v>
      </c>
      <c r="F2525" s="1">
        <v>1780</v>
      </c>
    </row>
    <row r="2526" spans="1:6">
      <c r="A2526" t="s">
        <v>2526</v>
      </c>
      <c r="B2526" t="str">
        <f t="shared" si="33"/>
        <v>0.00326%</v>
      </c>
      <c r="C2526" t="s">
        <v>10</v>
      </c>
      <c r="D2526" t="s">
        <v>10</v>
      </c>
      <c r="E2526" t="str">
        <f>"$ 25,152"</f>
        <v>$ 25,152</v>
      </c>
      <c r="F2526" s="1">
        <v>15432</v>
      </c>
    </row>
    <row r="2527" spans="1:6">
      <c r="A2527" t="s">
        <v>2527</v>
      </c>
      <c r="B2527" t="str">
        <f t="shared" si="33"/>
        <v>0.00326%</v>
      </c>
      <c r="C2527" t="s">
        <v>10</v>
      </c>
      <c r="D2527" t="s">
        <v>10</v>
      </c>
      <c r="E2527" t="str">
        <f>"$ 25,148"</f>
        <v>$ 25,148</v>
      </c>
      <c r="F2527">
        <v>234</v>
      </c>
    </row>
    <row r="2528" spans="1:6">
      <c r="A2528" t="s">
        <v>2528</v>
      </c>
      <c r="B2528" t="str">
        <f t="shared" si="33"/>
        <v>0.00326%</v>
      </c>
      <c r="C2528" t="s">
        <v>10</v>
      </c>
      <c r="D2528" t="s">
        <v>10</v>
      </c>
      <c r="E2528" t="str">
        <f>"$ 25,137"</f>
        <v>$ 25,137</v>
      </c>
      <c r="F2528" s="1">
        <v>4969</v>
      </c>
    </row>
    <row r="2529" spans="1:6">
      <c r="A2529" t="s">
        <v>2529</v>
      </c>
      <c r="B2529" t="str">
        <f t="shared" si="33"/>
        <v>0.00326%</v>
      </c>
      <c r="C2529" t="s">
        <v>10</v>
      </c>
      <c r="D2529" t="s">
        <v>10</v>
      </c>
      <c r="E2529" t="str">
        <f>"$ 25,180"</f>
        <v>$ 25,180</v>
      </c>
      <c r="F2529" s="1">
        <v>3139</v>
      </c>
    </row>
    <row r="2530" spans="1:6">
      <c r="A2530" t="s">
        <v>2530</v>
      </c>
      <c r="B2530" t="str">
        <f t="shared" si="33"/>
        <v>0.00326%</v>
      </c>
      <c r="C2530" t="s">
        <v>10</v>
      </c>
      <c r="D2530" t="s">
        <v>10</v>
      </c>
      <c r="E2530" t="str">
        <f>"$ 25,157"</f>
        <v>$ 25,157</v>
      </c>
      <c r="F2530" s="1">
        <v>4457</v>
      </c>
    </row>
    <row r="2531" spans="1:6">
      <c r="A2531" t="s">
        <v>2531</v>
      </c>
      <c r="B2531" t="str">
        <f t="shared" si="33"/>
        <v>0.00326%</v>
      </c>
      <c r="C2531" t="s">
        <v>10</v>
      </c>
      <c r="D2531" t="s">
        <v>10</v>
      </c>
      <c r="E2531" t="str">
        <f>"$ 25,139"</f>
        <v>$ 25,139</v>
      </c>
      <c r="F2531" s="1">
        <v>1038</v>
      </c>
    </row>
    <row r="2532" spans="1:6">
      <c r="A2532" t="s">
        <v>2532</v>
      </c>
      <c r="B2532" t="str">
        <f t="shared" ref="B2532:B2537" si="34">"0.00325%"</f>
        <v>0.00325%</v>
      </c>
      <c r="C2532" t="s">
        <v>10</v>
      </c>
      <c r="D2532" t="s">
        <v>10</v>
      </c>
      <c r="E2532" t="str">
        <f>"$ 25,118"</f>
        <v>$ 25,118</v>
      </c>
      <c r="F2532">
        <v>296</v>
      </c>
    </row>
    <row r="2533" spans="1:6">
      <c r="A2533" t="s">
        <v>2533</v>
      </c>
      <c r="B2533" t="str">
        <f t="shared" si="34"/>
        <v>0.00325%</v>
      </c>
      <c r="C2533" t="s">
        <v>10</v>
      </c>
      <c r="D2533" t="s">
        <v>10</v>
      </c>
      <c r="E2533" t="str">
        <f>"$ 25,071"</f>
        <v>$ 25,071</v>
      </c>
      <c r="F2533">
        <v>838</v>
      </c>
    </row>
    <row r="2534" spans="1:6">
      <c r="A2534" t="s">
        <v>2534</v>
      </c>
      <c r="B2534" t="str">
        <f t="shared" si="34"/>
        <v>0.00325%</v>
      </c>
      <c r="C2534" t="s">
        <v>10</v>
      </c>
      <c r="D2534" t="s">
        <v>10</v>
      </c>
      <c r="E2534" t="str">
        <f>"$ 25,130"</f>
        <v>$ 25,130</v>
      </c>
      <c r="F2534" s="1">
        <v>4216</v>
      </c>
    </row>
    <row r="2535" spans="1:6">
      <c r="A2535" t="s">
        <v>2535</v>
      </c>
      <c r="B2535" t="str">
        <f t="shared" si="34"/>
        <v>0.00325%</v>
      </c>
      <c r="C2535" t="s">
        <v>10</v>
      </c>
      <c r="D2535" t="s">
        <v>10</v>
      </c>
      <c r="E2535" t="str">
        <f>"$ 25,064"</f>
        <v>$ 25,064</v>
      </c>
      <c r="F2535" s="1">
        <v>1402</v>
      </c>
    </row>
    <row r="2536" spans="1:6">
      <c r="A2536" t="s">
        <v>2536</v>
      </c>
      <c r="B2536" t="str">
        <f t="shared" si="34"/>
        <v>0.00325%</v>
      </c>
      <c r="C2536" t="s">
        <v>10</v>
      </c>
      <c r="D2536" t="s">
        <v>10</v>
      </c>
      <c r="E2536" t="str">
        <f>"$ 25,076"</f>
        <v>$ 25,076</v>
      </c>
      <c r="F2536">
        <v>758</v>
      </c>
    </row>
    <row r="2537" spans="1:6">
      <c r="A2537" t="s">
        <v>2537</v>
      </c>
      <c r="B2537" t="str">
        <f t="shared" si="34"/>
        <v>0.00325%</v>
      </c>
      <c r="C2537" t="s">
        <v>10</v>
      </c>
      <c r="D2537" t="s">
        <v>10</v>
      </c>
      <c r="E2537" t="str">
        <f>"$ 25,114"</f>
        <v>$ 25,114</v>
      </c>
      <c r="F2537">
        <v>977</v>
      </c>
    </row>
    <row r="2538" spans="1:6">
      <c r="A2538" t="s">
        <v>2538</v>
      </c>
      <c r="B2538" t="str">
        <f t="shared" ref="B2538:B2543" si="35">"0.00324%"</f>
        <v>0.00324%</v>
      </c>
      <c r="C2538" t="s">
        <v>10</v>
      </c>
      <c r="D2538" t="s">
        <v>10</v>
      </c>
      <c r="E2538" t="str">
        <f>"$ 25,055"</f>
        <v>$ 25,055</v>
      </c>
      <c r="F2538" s="1">
        <v>2657</v>
      </c>
    </row>
    <row r="2539" spans="1:6">
      <c r="A2539" t="s">
        <v>2539</v>
      </c>
      <c r="B2539" t="str">
        <f t="shared" si="35"/>
        <v>0.00324%</v>
      </c>
      <c r="C2539" t="s">
        <v>10</v>
      </c>
      <c r="D2539" t="s">
        <v>10</v>
      </c>
      <c r="E2539" t="str">
        <f>"$ 25,055"</f>
        <v>$ 25,055</v>
      </c>
      <c r="F2539" s="1">
        <v>1056</v>
      </c>
    </row>
    <row r="2540" spans="1:6">
      <c r="A2540" t="s">
        <v>2540</v>
      </c>
      <c r="B2540" t="str">
        <f t="shared" si="35"/>
        <v>0.00324%</v>
      </c>
      <c r="C2540" t="s">
        <v>10</v>
      </c>
      <c r="D2540" t="s">
        <v>10</v>
      </c>
      <c r="E2540" t="str">
        <f>"$ 24,998"</f>
        <v>$ 24,998</v>
      </c>
      <c r="F2540" s="1">
        <v>1866</v>
      </c>
    </row>
    <row r="2541" spans="1:6">
      <c r="A2541" t="s">
        <v>2541</v>
      </c>
      <c r="B2541" t="str">
        <f t="shared" si="35"/>
        <v>0.00324%</v>
      </c>
      <c r="C2541" t="s">
        <v>10</v>
      </c>
      <c r="D2541" t="s">
        <v>10</v>
      </c>
      <c r="E2541" t="str">
        <f>"$ 25,002"</f>
        <v>$ 25,002</v>
      </c>
      <c r="F2541">
        <v>656</v>
      </c>
    </row>
    <row r="2542" spans="1:6">
      <c r="A2542" t="s">
        <v>2542</v>
      </c>
      <c r="B2542" t="str">
        <f t="shared" si="35"/>
        <v>0.00324%</v>
      </c>
      <c r="C2542" t="s">
        <v>10</v>
      </c>
      <c r="D2542" t="s">
        <v>10</v>
      </c>
      <c r="E2542" t="str">
        <f>"$ 25,043"</f>
        <v>$ 25,043</v>
      </c>
      <c r="F2542">
        <v>171</v>
      </c>
    </row>
    <row r="2543" spans="1:6">
      <c r="A2543" t="s">
        <v>2543</v>
      </c>
      <c r="B2543" t="str">
        <f t="shared" si="35"/>
        <v>0.00324%</v>
      </c>
      <c r="C2543" t="s">
        <v>10</v>
      </c>
      <c r="D2543" t="s">
        <v>10</v>
      </c>
      <c r="E2543" t="str">
        <f>"$ 25,022"</f>
        <v>$ 25,022</v>
      </c>
      <c r="F2543" s="1">
        <v>10016</v>
      </c>
    </row>
    <row r="2544" spans="1:6">
      <c r="A2544" t="s">
        <v>2544</v>
      </c>
      <c r="B2544" t="str">
        <f t="shared" ref="B2544:B2550" si="36">"0.00323%"</f>
        <v>0.00323%</v>
      </c>
      <c r="C2544" t="s">
        <v>10</v>
      </c>
      <c r="D2544" t="s">
        <v>10</v>
      </c>
      <c r="E2544" t="str">
        <f>"$ 24,914"</f>
        <v>$ 24,914</v>
      </c>
      <c r="F2544" s="1">
        <v>2699</v>
      </c>
    </row>
    <row r="2545" spans="1:6">
      <c r="A2545" t="s">
        <v>2545</v>
      </c>
      <c r="B2545" t="str">
        <f t="shared" si="36"/>
        <v>0.00323%</v>
      </c>
      <c r="C2545" t="s">
        <v>10</v>
      </c>
      <c r="D2545" t="s">
        <v>10</v>
      </c>
      <c r="E2545" t="str">
        <f>"$ 24,941"</f>
        <v>$ 24,941</v>
      </c>
      <c r="F2545">
        <v>651</v>
      </c>
    </row>
    <row r="2546" spans="1:6">
      <c r="A2546" t="s">
        <v>2546</v>
      </c>
      <c r="B2546" t="str">
        <f t="shared" si="36"/>
        <v>0.00323%</v>
      </c>
      <c r="C2546" t="s">
        <v>10</v>
      </c>
      <c r="D2546" t="s">
        <v>10</v>
      </c>
      <c r="E2546" t="str">
        <f>"$ 24,912"</f>
        <v>$ 24,912</v>
      </c>
      <c r="F2546">
        <v>990</v>
      </c>
    </row>
    <row r="2547" spans="1:6">
      <c r="A2547" t="s">
        <v>2547</v>
      </c>
      <c r="B2547" t="str">
        <f t="shared" si="36"/>
        <v>0.00323%</v>
      </c>
      <c r="C2547" t="s">
        <v>10</v>
      </c>
      <c r="D2547" t="s">
        <v>10</v>
      </c>
      <c r="E2547" t="str">
        <f>"$ 24,928"</f>
        <v>$ 24,928</v>
      </c>
      <c r="F2547" s="1">
        <v>10746</v>
      </c>
    </row>
    <row r="2548" spans="1:6">
      <c r="A2548" t="s">
        <v>2548</v>
      </c>
      <c r="B2548" t="str">
        <f t="shared" si="36"/>
        <v>0.00323%</v>
      </c>
      <c r="C2548" t="s">
        <v>10</v>
      </c>
      <c r="D2548" t="s">
        <v>10</v>
      </c>
      <c r="E2548" t="str">
        <f>"$ 24,939"</f>
        <v>$ 24,939</v>
      </c>
      <c r="F2548">
        <v>50</v>
      </c>
    </row>
    <row r="2549" spans="1:6">
      <c r="A2549" t="s">
        <v>2549</v>
      </c>
      <c r="B2549" t="str">
        <f t="shared" si="36"/>
        <v>0.00323%</v>
      </c>
      <c r="C2549" t="s">
        <v>10</v>
      </c>
      <c r="D2549" t="s">
        <v>10</v>
      </c>
      <c r="E2549" t="str">
        <f>"$ 24,923"</f>
        <v>$ 24,923</v>
      </c>
      <c r="F2549">
        <v>825</v>
      </c>
    </row>
    <row r="2550" spans="1:6">
      <c r="A2550" t="s">
        <v>2550</v>
      </c>
      <c r="B2550" t="str">
        <f t="shared" si="36"/>
        <v>0.00323%</v>
      </c>
      <c r="C2550" t="s">
        <v>10</v>
      </c>
      <c r="D2550" t="s">
        <v>10</v>
      </c>
      <c r="E2550" t="str">
        <f>"$ 24,956"</f>
        <v>$ 24,956</v>
      </c>
      <c r="F2550">
        <v>350</v>
      </c>
    </row>
    <row r="2551" spans="1:6">
      <c r="A2551" t="s">
        <v>2551</v>
      </c>
      <c r="B2551" t="str">
        <f>"0.00322%"</f>
        <v>0.00322%</v>
      </c>
      <c r="C2551" t="s">
        <v>10</v>
      </c>
      <c r="D2551" t="s">
        <v>10</v>
      </c>
      <c r="E2551" t="str">
        <f>"$ 24,842"</f>
        <v>$ 24,842</v>
      </c>
      <c r="F2551">
        <v>426</v>
      </c>
    </row>
    <row r="2552" spans="1:6">
      <c r="A2552" t="s">
        <v>2552</v>
      </c>
      <c r="B2552" t="str">
        <f>"0.00322%"</f>
        <v>0.00322%</v>
      </c>
      <c r="C2552" t="s">
        <v>10</v>
      </c>
      <c r="D2552" t="s">
        <v>10</v>
      </c>
      <c r="E2552" t="str">
        <f>"$ 24,891"</f>
        <v>$ 24,891</v>
      </c>
      <c r="F2552">
        <v>930</v>
      </c>
    </row>
    <row r="2553" spans="1:6">
      <c r="A2553" t="s">
        <v>2553</v>
      </c>
      <c r="B2553" t="str">
        <f t="shared" ref="B2553:B2559" si="37">"0.00321%"</f>
        <v>0.00321%</v>
      </c>
      <c r="C2553" t="s">
        <v>10</v>
      </c>
      <c r="D2553" t="s">
        <v>10</v>
      </c>
      <c r="E2553" t="str">
        <f>"$ 24,811"</f>
        <v>$ 24,811</v>
      </c>
      <c r="F2553">
        <v>234</v>
      </c>
    </row>
    <row r="2554" spans="1:6">
      <c r="A2554" t="s">
        <v>2554</v>
      </c>
      <c r="B2554" t="str">
        <f t="shared" si="37"/>
        <v>0.00321%</v>
      </c>
      <c r="C2554" t="s">
        <v>10</v>
      </c>
      <c r="D2554" t="s">
        <v>10</v>
      </c>
      <c r="E2554" t="str">
        <f>"$ 24,778"</f>
        <v>$ 24,778</v>
      </c>
      <c r="F2554" s="1">
        <v>4084</v>
      </c>
    </row>
    <row r="2555" spans="1:6">
      <c r="A2555" t="s">
        <v>2555</v>
      </c>
      <c r="B2555" t="str">
        <f t="shared" si="37"/>
        <v>0.00321%</v>
      </c>
      <c r="C2555" t="s">
        <v>10</v>
      </c>
      <c r="D2555" t="s">
        <v>10</v>
      </c>
      <c r="E2555" t="str">
        <f>"$ 24,820"</f>
        <v>$ 24,820</v>
      </c>
      <c r="F2555">
        <v>802</v>
      </c>
    </row>
    <row r="2556" spans="1:6">
      <c r="A2556" t="s">
        <v>2556</v>
      </c>
      <c r="B2556" t="str">
        <f t="shared" si="37"/>
        <v>0.00321%</v>
      </c>
      <c r="C2556" t="s">
        <v>10</v>
      </c>
      <c r="D2556" t="s">
        <v>10</v>
      </c>
      <c r="E2556" t="str">
        <f>"$ 24,826"</f>
        <v>$ 24,826</v>
      </c>
      <c r="F2556">
        <v>129</v>
      </c>
    </row>
    <row r="2557" spans="1:6">
      <c r="A2557" t="s">
        <v>2557</v>
      </c>
      <c r="B2557" t="str">
        <f t="shared" si="37"/>
        <v>0.00321%</v>
      </c>
      <c r="C2557" t="s">
        <v>10</v>
      </c>
      <c r="D2557" t="s">
        <v>10</v>
      </c>
      <c r="E2557" t="str">
        <f>"$ 24,802"</f>
        <v>$ 24,802</v>
      </c>
      <c r="F2557">
        <v>121</v>
      </c>
    </row>
    <row r="2558" spans="1:6">
      <c r="A2558" t="s">
        <v>2558</v>
      </c>
      <c r="B2558" t="str">
        <f t="shared" si="37"/>
        <v>0.00321%</v>
      </c>
      <c r="C2558" t="s">
        <v>10</v>
      </c>
      <c r="D2558" t="s">
        <v>10</v>
      </c>
      <c r="E2558" t="str">
        <f>"$ 24,768"</f>
        <v>$ 24,768</v>
      </c>
      <c r="F2558">
        <v>48</v>
      </c>
    </row>
    <row r="2559" spans="1:6">
      <c r="A2559" t="s">
        <v>2559</v>
      </c>
      <c r="B2559" t="str">
        <f t="shared" si="37"/>
        <v>0.00321%</v>
      </c>
      <c r="C2559" t="s">
        <v>10</v>
      </c>
      <c r="D2559" t="s">
        <v>10</v>
      </c>
      <c r="E2559" t="str">
        <f>"$ 24,760"</f>
        <v>$ 24,760</v>
      </c>
      <c r="F2559">
        <v>245</v>
      </c>
    </row>
    <row r="2560" spans="1:6">
      <c r="A2560" t="s">
        <v>2560</v>
      </c>
      <c r="B2560" t="str">
        <f t="shared" ref="B2560:B2568" si="38">"0.00320%"</f>
        <v>0.00320%</v>
      </c>
      <c r="C2560" t="s">
        <v>10</v>
      </c>
      <c r="D2560" t="s">
        <v>10</v>
      </c>
      <c r="E2560" t="str">
        <f>"$ 24,696"</f>
        <v>$ 24,696</v>
      </c>
      <c r="F2560" s="1">
        <v>1072</v>
      </c>
    </row>
    <row r="2561" spans="1:6">
      <c r="A2561" t="s">
        <v>2561</v>
      </c>
      <c r="B2561" t="str">
        <f t="shared" si="38"/>
        <v>0.00320%</v>
      </c>
      <c r="C2561" t="s">
        <v>10</v>
      </c>
      <c r="D2561" t="s">
        <v>10</v>
      </c>
      <c r="E2561" t="str">
        <f>"$ 24,737"</f>
        <v>$ 24,737</v>
      </c>
      <c r="F2561">
        <v>263</v>
      </c>
    </row>
    <row r="2562" spans="1:6">
      <c r="A2562" t="s">
        <v>2562</v>
      </c>
      <c r="B2562" t="str">
        <f t="shared" si="38"/>
        <v>0.00320%</v>
      </c>
      <c r="C2562" t="s">
        <v>10</v>
      </c>
      <c r="D2562" t="s">
        <v>10</v>
      </c>
      <c r="E2562" t="str">
        <f>"$ 24,680"</f>
        <v>$ 24,680</v>
      </c>
      <c r="F2562">
        <v>412</v>
      </c>
    </row>
    <row r="2563" spans="1:6">
      <c r="A2563" t="s">
        <v>2563</v>
      </c>
      <c r="B2563" t="str">
        <f t="shared" si="38"/>
        <v>0.00320%</v>
      </c>
      <c r="C2563" t="s">
        <v>10</v>
      </c>
      <c r="D2563" t="s">
        <v>10</v>
      </c>
      <c r="E2563" t="str">
        <f>"$ 24,677"</f>
        <v>$ 24,677</v>
      </c>
      <c r="F2563" s="1">
        <v>1029</v>
      </c>
    </row>
    <row r="2564" spans="1:6">
      <c r="A2564" t="s">
        <v>2564</v>
      </c>
      <c r="B2564" t="str">
        <f t="shared" si="38"/>
        <v>0.00320%</v>
      </c>
      <c r="C2564" t="s">
        <v>10</v>
      </c>
      <c r="D2564" t="s">
        <v>10</v>
      </c>
      <c r="E2564" t="str">
        <f>"$ 24,684"</f>
        <v>$ 24,684</v>
      </c>
      <c r="F2564" s="1">
        <v>5976</v>
      </c>
    </row>
    <row r="2565" spans="1:6">
      <c r="A2565" t="s">
        <v>2565</v>
      </c>
      <c r="B2565" t="str">
        <f t="shared" si="38"/>
        <v>0.00320%</v>
      </c>
      <c r="C2565" t="s">
        <v>10</v>
      </c>
      <c r="D2565" t="s">
        <v>10</v>
      </c>
      <c r="E2565" t="str">
        <f>"$ 24,713"</f>
        <v>$ 24,713</v>
      </c>
      <c r="F2565">
        <v>115</v>
      </c>
    </row>
    <row r="2566" spans="1:6">
      <c r="A2566" t="s">
        <v>2566</v>
      </c>
      <c r="B2566" t="str">
        <f t="shared" si="38"/>
        <v>0.00320%</v>
      </c>
      <c r="C2566" t="s">
        <v>10</v>
      </c>
      <c r="D2566" t="s">
        <v>10</v>
      </c>
      <c r="E2566" t="str">
        <f>"$ 24,695"</f>
        <v>$ 24,695</v>
      </c>
      <c r="F2566">
        <v>333</v>
      </c>
    </row>
    <row r="2567" spans="1:6">
      <c r="A2567" t="s">
        <v>2567</v>
      </c>
      <c r="B2567" t="str">
        <f t="shared" si="38"/>
        <v>0.00320%</v>
      </c>
      <c r="C2567" t="s">
        <v>10</v>
      </c>
      <c r="D2567" t="s">
        <v>10</v>
      </c>
      <c r="E2567" t="str">
        <f>"$ 24,731"</f>
        <v>$ 24,731</v>
      </c>
      <c r="F2567" s="1">
        <v>4108</v>
      </c>
    </row>
    <row r="2568" spans="1:6">
      <c r="A2568" t="s">
        <v>2568</v>
      </c>
      <c r="B2568" t="str">
        <f t="shared" si="38"/>
        <v>0.00320%</v>
      </c>
      <c r="C2568" t="s">
        <v>10</v>
      </c>
      <c r="D2568" t="s">
        <v>10</v>
      </c>
      <c r="E2568" t="str">
        <f>"$ 24,710"</f>
        <v>$ 24,710</v>
      </c>
      <c r="F2568">
        <v>246</v>
      </c>
    </row>
    <row r="2569" spans="1:6">
      <c r="A2569" t="s">
        <v>2569</v>
      </c>
      <c r="B2569" t="str">
        <f>"0.00319%"</f>
        <v>0.00319%</v>
      </c>
      <c r="C2569" t="s">
        <v>10</v>
      </c>
      <c r="D2569" t="s">
        <v>10</v>
      </c>
      <c r="E2569" t="str">
        <f>"$ 24,615"</f>
        <v>$ 24,615</v>
      </c>
      <c r="F2569">
        <v>361</v>
      </c>
    </row>
    <row r="2570" spans="1:6">
      <c r="A2570" t="s">
        <v>2570</v>
      </c>
      <c r="B2570" t="str">
        <f>"0.00319%"</f>
        <v>0.00319%</v>
      </c>
      <c r="C2570" t="s">
        <v>10</v>
      </c>
      <c r="D2570" t="s">
        <v>10</v>
      </c>
      <c r="E2570" t="str">
        <f>"$ 24,597"</f>
        <v>$ 24,597</v>
      </c>
      <c r="F2570">
        <v>597</v>
      </c>
    </row>
    <row r="2571" spans="1:6">
      <c r="A2571" t="s">
        <v>2571</v>
      </c>
      <c r="B2571" t="str">
        <f>"0.00318%"</f>
        <v>0.00318%</v>
      </c>
      <c r="C2571" t="s">
        <v>10</v>
      </c>
      <c r="D2571" t="s">
        <v>10</v>
      </c>
      <c r="E2571" t="str">
        <f>"$ 24,571"</f>
        <v>$ 24,571</v>
      </c>
      <c r="F2571" s="1">
        <v>5493</v>
      </c>
    </row>
    <row r="2572" spans="1:6">
      <c r="A2572" t="s">
        <v>2572</v>
      </c>
      <c r="B2572" t="str">
        <f>"0.00318%"</f>
        <v>0.00318%</v>
      </c>
      <c r="C2572" t="s">
        <v>10</v>
      </c>
      <c r="D2572" t="s">
        <v>10</v>
      </c>
      <c r="E2572" t="str">
        <f>"$ 24,594"</f>
        <v>$ 24,594</v>
      </c>
      <c r="F2572">
        <v>781</v>
      </c>
    </row>
    <row r="2573" spans="1:6">
      <c r="A2573" t="s">
        <v>2573</v>
      </c>
      <c r="B2573" t="str">
        <f>"0.00318%"</f>
        <v>0.00318%</v>
      </c>
      <c r="C2573" t="s">
        <v>10</v>
      </c>
      <c r="D2573" t="s">
        <v>10</v>
      </c>
      <c r="E2573" t="str">
        <f>"$ 24,559"</f>
        <v>$ 24,559</v>
      </c>
      <c r="F2573" s="1">
        <v>3790</v>
      </c>
    </row>
    <row r="2574" spans="1:6">
      <c r="A2574" t="s">
        <v>2574</v>
      </c>
      <c r="B2574" t="str">
        <f>"0.00318%"</f>
        <v>0.00318%</v>
      </c>
      <c r="C2574" t="s">
        <v>10</v>
      </c>
      <c r="D2574" t="s">
        <v>10</v>
      </c>
      <c r="E2574" t="str">
        <f>"$ 24,554"</f>
        <v>$ 24,554</v>
      </c>
      <c r="F2574">
        <v>345</v>
      </c>
    </row>
    <row r="2575" spans="1:6">
      <c r="A2575" t="s">
        <v>2575</v>
      </c>
      <c r="B2575" t="str">
        <f t="shared" ref="B2575:B2580" si="39">"0.00317%"</f>
        <v>0.00317%</v>
      </c>
      <c r="C2575" t="s">
        <v>10</v>
      </c>
      <c r="D2575" t="s">
        <v>10</v>
      </c>
      <c r="E2575" t="str">
        <f>"$ 24,471"</f>
        <v>$ 24,471</v>
      </c>
      <c r="F2575">
        <v>553</v>
      </c>
    </row>
    <row r="2576" spans="1:6">
      <c r="A2576" t="s">
        <v>2576</v>
      </c>
      <c r="B2576" t="str">
        <f t="shared" si="39"/>
        <v>0.00317%</v>
      </c>
      <c r="C2576" t="s">
        <v>10</v>
      </c>
      <c r="D2576" t="s">
        <v>10</v>
      </c>
      <c r="E2576" t="str">
        <f>"$ 24,484"</f>
        <v>$ 24,484</v>
      </c>
      <c r="F2576" s="1">
        <v>1419</v>
      </c>
    </row>
    <row r="2577" spans="1:6">
      <c r="A2577" t="s">
        <v>2577</v>
      </c>
      <c r="B2577" t="str">
        <f t="shared" si="39"/>
        <v>0.00317%</v>
      </c>
      <c r="C2577" t="s">
        <v>10</v>
      </c>
      <c r="D2577" t="s">
        <v>10</v>
      </c>
      <c r="E2577" t="str">
        <f>"$ 24,447"</f>
        <v>$ 24,447</v>
      </c>
      <c r="F2577" s="1">
        <v>1497</v>
      </c>
    </row>
    <row r="2578" spans="1:6">
      <c r="A2578" t="s">
        <v>2578</v>
      </c>
      <c r="B2578" t="str">
        <f t="shared" si="39"/>
        <v>0.00317%</v>
      </c>
      <c r="C2578" t="s">
        <v>10</v>
      </c>
      <c r="D2578" t="s">
        <v>10</v>
      </c>
      <c r="E2578" t="str">
        <f>"$ 24,489"</f>
        <v>$ 24,489</v>
      </c>
      <c r="F2578">
        <v>325</v>
      </c>
    </row>
    <row r="2579" spans="1:6">
      <c r="A2579" t="s">
        <v>2579</v>
      </c>
      <c r="B2579" t="str">
        <f t="shared" si="39"/>
        <v>0.00317%</v>
      </c>
      <c r="C2579" t="s">
        <v>10</v>
      </c>
      <c r="D2579" t="s">
        <v>10</v>
      </c>
      <c r="E2579" t="str">
        <f>"$ 24,470"</f>
        <v>$ 24,470</v>
      </c>
      <c r="F2579" s="1">
        <v>7159</v>
      </c>
    </row>
    <row r="2580" spans="1:6">
      <c r="A2580" t="s">
        <v>2580</v>
      </c>
      <c r="B2580" t="str">
        <f t="shared" si="39"/>
        <v>0.00317%</v>
      </c>
      <c r="C2580" t="s">
        <v>10</v>
      </c>
      <c r="D2580" t="s">
        <v>10</v>
      </c>
      <c r="E2580" t="str">
        <f>"$ 24,468"</f>
        <v>$ 24,468</v>
      </c>
      <c r="F2580">
        <v>576</v>
      </c>
    </row>
    <row r="2581" spans="1:6">
      <c r="A2581" t="s">
        <v>2581</v>
      </c>
      <c r="B2581" t="str">
        <f t="shared" ref="B2581:B2588" si="40">"0.00316%"</f>
        <v>0.00316%</v>
      </c>
      <c r="C2581" t="s">
        <v>10</v>
      </c>
      <c r="D2581" t="s">
        <v>10</v>
      </c>
      <c r="E2581" t="str">
        <f>"$ 24,434"</f>
        <v>$ 24,434</v>
      </c>
      <c r="F2581" s="1">
        <v>8742</v>
      </c>
    </row>
    <row r="2582" spans="1:6">
      <c r="A2582" t="s">
        <v>2582</v>
      </c>
      <c r="B2582" t="str">
        <f t="shared" si="40"/>
        <v>0.00316%</v>
      </c>
      <c r="C2582" t="s">
        <v>10</v>
      </c>
      <c r="D2582" t="s">
        <v>10</v>
      </c>
      <c r="E2582" t="str">
        <f>"$ 24,399"</f>
        <v>$ 24,399</v>
      </c>
      <c r="F2582" s="1">
        <v>5504</v>
      </c>
    </row>
    <row r="2583" spans="1:6">
      <c r="A2583" t="s">
        <v>2583</v>
      </c>
      <c r="B2583" t="str">
        <f t="shared" si="40"/>
        <v>0.00316%</v>
      </c>
      <c r="C2583" t="s">
        <v>10</v>
      </c>
      <c r="D2583" t="s">
        <v>10</v>
      </c>
      <c r="E2583" t="str">
        <f>"$ 24,428"</f>
        <v>$ 24,428</v>
      </c>
      <c r="F2583">
        <v>322</v>
      </c>
    </row>
    <row r="2584" spans="1:6">
      <c r="A2584" t="s">
        <v>2584</v>
      </c>
      <c r="B2584" t="str">
        <f t="shared" si="40"/>
        <v>0.00316%</v>
      </c>
      <c r="C2584" t="s">
        <v>10</v>
      </c>
      <c r="D2584" t="s">
        <v>10</v>
      </c>
      <c r="E2584" t="str">
        <f>"$ 24,371"</f>
        <v>$ 24,371</v>
      </c>
      <c r="F2584">
        <v>568</v>
      </c>
    </row>
    <row r="2585" spans="1:6">
      <c r="A2585" t="s">
        <v>2585</v>
      </c>
      <c r="B2585" t="str">
        <f t="shared" si="40"/>
        <v>0.00316%</v>
      </c>
      <c r="C2585" t="s">
        <v>10</v>
      </c>
      <c r="D2585" t="s">
        <v>10</v>
      </c>
      <c r="E2585" t="str">
        <f>"$ 24,398"</f>
        <v>$ 24,398</v>
      </c>
      <c r="F2585">
        <v>429</v>
      </c>
    </row>
    <row r="2586" spans="1:6">
      <c r="A2586" t="s">
        <v>2586</v>
      </c>
      <c r="B2586" t="str">
        <f t="shared" si="40"/>
        <v>0.00316%</v>
      </c>
      <c r="C2586" t="s">
        <v>10</v>
      </c>
      <c r="D2586" t="s">
        <v>10</v>
      </c>
      <c r="E2586" t="str">
        <f>"$ 24,402"</f>
        <v>$ 24,402</v>
      </c>
      <c r="F2586" s="1">
        <v>1309</v>
      </c>
    </row>
    <row r="2587" spans="1:6">
      <c r="A2587" t="s">
        <v>2587</v>
      </c>
      <c r="B2587" t="str">
        <f t="shared" si="40"/>
        <v>0.00316%</v>
      </c>
      <c r="C2587" t="s">
        <v>10</v>
      </c>
      <c r="D2587" t="s">
        <v>10</v>
      </c>
      <c r="E2587" t="str">
        <f>"$ 24,389"</f>
        <v>$ 24,389</v>
      </c>
      <c r="F2587" s="1">
        <v>49231</v>
      </c>
    </row>
    <row r="2588" spans="1:6">
      <c r="A2588" t="s">
        <v>2588</v>
      </c>
      <c r="B2588" t="str">
        <f t="shared" si="40"/>
        <v>0.00316%</v>
      </c>
      <c r="C2588" t="s">
        <v>10</v>
      </c>
      <c r="D2588" t="s">
        <v>10</v>
      </c>
      <c r="E2588" t="str">
        <f>"$ 24,408"</f>
        <v>$ 24,408</v>
      </c>
      <c r="F2588" s="1">
        <v>1067</v>
      </c>
    </row>
    <row r="2589" spans="1:6">
      <c r="A2589" t="s">
        <v>2589</v>
      </c>
      <c r="B2589" t="str">
        <f t="shared" ref="B2589:B2595" si="41">"0.00315%"</f>
        <v>0.00315%</v>
      </c>
      <c r="C2589" t="s">
        <v>10</v>
      </c>
      <c r="D2589" t="s">
        <v>10</v>
      </c>
      <c r="E2589" t="str">
        <f>"$ 24,290"</f>
        <v>$ 24,290</v>
      </c>
      <c r="F2589" s="1">
        <v>13396</v>
      </c>
    </row>
    <row r="2590" spans="1:6">
      <c r="A2590" t="s">
        <v>2590</v>
      </c>
      <c r="B2590" t="str">
        <f t="shared" si="41"/>
        <v>0.00315%</v>
      </c>
      <c r="C2590" t="s">
        <v>10</v>
      </c>
      <c r="D2590" t="s">
        <v>10</v>
      </c>
      <c r="E2590" t="str">
        <f>"$ 24,303"</f>
        <v>$ 24,303</v>
      </c>
      <c r="F2590" s="1">
        <v>5250</v>
      </c>
    </row>
    <row r="2591" spans="1:6">
      <c r="A2591" t="s">
        <v>2591</v>
      </c>
      <c r="B2591" t="str">
        <f t="shared" si="41"/>
        <v>0.00315%</v>
      </c>
      <c r="C2591" t="s">
        <v>10</v>
      </c>
      <c r="D2591" t="s">
        <v>10</v>
      </c>
      <c r="E2591" t="str">
        <f>"$ 24,315"</f>
        <v>$ 24,315</v>
      </c>
      <c r="F2591">
        <v>907</v>
      </c>
    </row>
    <row r="2592" spans="1:6">
      <c r="A2592" t="s">
        <v>2592</v>
      </c>
      <c r="B2592" t="str">
        <f t="shared" si="41"/>
        <v>0.00315%</v>
      </c>
      <c r="C2592" t="s">
        <v>10</v>
      </c>
      <c r="D2592" t="s">
        <v>10</v>
      </c>
      <c r="E2592" t="str">
        <f>"$ 24,346"</f>
        <v>$ 24,346</v>
      </c>
      <c r="F2592">
        <v>530</v>
      </c>
    </row>
    <row r="2593" spans="1:6">
      <c r="A2593" t="s">
        <v>2593</v>
      </c>
      <c r="B2593" t="str">
        <f t="shared" si="41"/>
        <v>0.00315%</v>
      </c>
      <c r="C2593" t="s">
        <v>10</v>
      </c>
      <c r="D2593" t="s">
        <v>10</v>
      </c>
      <c r="E2593" t="str">
        <f>"$ 24,286"</f>
        <v>$ 24,286</v>
      </c>
      <c r="F2593">
        <v>368</v>
      </c>
    </row>
    <row r="2594" spans="1:6">
      <c r="A2594" t="s">
        <v>2594</v>
      </c>
      <c r="B2594" t="str">
        <f t="shared" si="41"/>
        <v>0.00315%</v>
      </c>
      <c r="C2594" t="s">
        <v>10</v>
      </c>
      <c r="D2594" t="s">
        <v>10</v>
      </c>
      <c r="E2594" t="str">
        <f>"$ 24,335"</f>
        <v>$ 24,335</v>
      </c>
      <c r="F2594">
        <v>543</v>
      </c>
    </row>
    <row r="2595" spans="1:6">
      <c r="A2595" t="s">
        <v>2595</v>
      </c>
      <c r="B2595" t="str">
        <f t="shared" si="41"/>
        <v>0.00315%</v>
      </c>
      <c r="C2595" t="s">
        <v>10</v>
      </c>
      <c r="D2595" t="s">
        <v>10</v>
      </c>
      <c r="E2595" t="str">
        <f>"$ 24,340"</f>
        <v>$ 24,340</v>
      </c>
      <c r="F2595">
        <v>468</v>
      </c>
    </row>
    <row r="2596" spans="1:6">
      <c r="A2596" t="s">
        <v>2596</v>
      </c>
      <c r="B2596" t="str">
        <f>"0.00314%"</f>
        <v>0.00314%</v>
      </c>
      <c r="C2596" t="s">
        <v>10</v>
      </c>
      <c r="D2596" t="s">
        <v>10</v>
      </c>
      <c r="E2596" t="str">
        <f>"$ 24,277"</f>
        <v>$ 24,277</v>
      </c>
      <c r="F2596">
        <v>434</v>
      </c>
    </row>
    <row r="2597" spans="1:6">
      <c r="A2597" t="s">
        <v>2597</v>
      </c>
      <c r="B2597" t="str">
        <f>"0.00314%"</f>
        <v>0.00314%</v>
      </c>
      <c r="C2597" t="s">
        <v>10</v>
      </c>
      <c r="D2597" t="s">
        <v>10</v>
      </c>
      <c r="E2597" t="str">
        <f>"$ 24,263"</f>
        <v>$ 24,263</v>
      </c>
      <c r="F2597" s="1">
        <v>21210</v>
      </c>
    </row>
    <row r="2598" spans="1:6">
      <c r="A2598" t="s">
        <v>2598</v>
      </c>
      <c r="B2598" t="str">
        <f>"0.00314%"</f>
        <v>0.00314%</v>
      </c>
      <c r="C2598" t="s">
        <v>10</v>
      </c>
      <c r="D2598" t="s">
        <v>10</v>
      </c>
      <c r="E2598" t="str">
        <f>"$ 24,215"</f>
        <v>$ 24,215</v>
      </c>
      <c r="F2598">
        <v>795</v>
      </c>
    </row>
    <row r="2599" spans="1:6">
      <c r="A2599" t="s">
        <v>2599</v>
      </c>
      <c r="B2599" t="str">
        <f>"0.00314%"</f>
        <v>0.00314%</v>
      </c>
      <c r="C2599" t="s">
        <v>10</v>
      </c>
      <c r="D2599" t="s">
        <v>10</v>
      </c>
      <c r="E2599" t="str">
        <f>"$ 24,232"</f>
        <v>$ 24,232</v>
      </c>
      <c r="F2599">
        <v>492</v>
      </c>
    </row>
    <row r="2600" spans="1:6">
      <c r="A2600" t="s">
        <v>2600</v>
      </c>
      <c r="B2600" t="str">
        <f>"0.00314%"</f>
        <v>0.00314%</v>
      </c>
      <c r="C2600" t="s">
        <v>10</v>
      </c>
      <c r="D2600" t="s">
        <v>10</v>
      </c>
      <c r="E2600" t="str">
        <f>"$ 24,275"</f>
        <v>$ 24,275</v>
      </c>
      <c r="F2600" s="1">
        <v>2848</v>
      </c>
    </row>
    <row r="2601" spans="1:6">
      <c r="A2601" t="s">
        <v>2601</v>
      </c>
      <c r="B2601" t="str">
        <f>"0.00313%"</f>
        <v>0.00313%</v>
      </c>
      <c r="C2601" t="s">
        <v>10</v>
      </c>
      <c r="D2601" t="s">
        <v>10</v>
      </c>
      <c r="E2601" t="str">
        <f>"$ 24,167"</f>
        <v>$ 24,167</v>
      </c>
      <c r="F2601">
        <v>759</v>
      </c>
    </row>
    <row r="2602" spans="1:6">
      <c r="A2602" t="s">
        <v>2602</v>
      </c>
      <c r="B2602" t="str">
        <f>"0.00313%"</f>
        <v>0.00313%</v>
      </c>
      <c r="C2602" t="s">
        <v>10</v>
      </c>
      <c r="D2602" t="s">
        <v>10</v>
      </c>
      <c r="E2602" t="str">
        <f>"$ 24,191"</f>
        <v>$ 24,191</v>
      </c>
      <c r="F2602">
        <v>234</v>
      </c>
    </row>
    <row r="2603" spans="1:6">
      <c r="A2603" t="s">
        <v>2603</v>
      </c>
      <c r="B2603" t="str">
        <f>"0.00313%"</f>
        <v>0.00313%</v>
      </c>
      <c r="C2603" t="s">
        <v>10</v>
      </c>
      <c r="D2603" t="s">
        <v>10</v>
      </c>
      <c r="E2603" t="str">
        <f>"$ 24,199"</f>
        <v>$ 24,199</v>
      </c>
      <c r="F2603" s="1">
        <v>1534</v>
      </c>
    </row>
    <row r="2604" spans="1:6">
      <c r="A2604" t="s">
        <v>2604</v>
      </c>
      <c r="B2604" t="str">
        <f>"0.00313%"</f>
        <v>0.00313%</v>
      </c>
      <c r="C2604" t="s">
        <v>10</v>
      </c>
      <c r="D2604" t="s">
        <v>10</v>
      </c>
      <c r="E2604" t="str">
        <f>"$ 24,189"</f>
        <v>$ 24,189</v>
      </c>
      <c r="F2604" s="1">
        <v>5772</v>
      </c>
    </row>
    <row r="2605" spans="1:6">
      <c r="A2605" t="s">
        <v>2605</v>
      </c>
      <c r="B2605" t="str">
        <f t="shared" ref="B2605:B2612" si="42">"0.00312%"</f>
        <v>0.00312%</v>
      </c>
      <c r="C2605" t="s">
        <v>10</v>
      </c>
      <c r="D2605" t="s">
        <v>10</v>
      </c>
      <c r="E2605" t="str">
        <f>"$ 24,090"</f>
        <v>$ 24,090</v>
      </c>
      <c r="F2605">
        <v>742</v>
      </c>
    </row>
    <row r="2606" spans="1:6">
      <c r="A2606" t="s">
        <v>2606</v>
      </c>
      <c r="B2606" t="str">
        <f t="shared" si="42"/>
        <v>0.00312%</v>
      </c>
      <c r="C2606" t="s">
        <v>10</v>
      </c>
      <c r="D2606" t="s">
        <v>10</v>
      </c>
      <c r="E2606" t="str">
        <f>"$ 24,125"</f>
        <v>$ 24,125</v>
      </c>
      <c r="F2606">
        <v>207</v>
      </c>
    </row>
    <row r="2607" spans="1:6">
      <c r="A2607" t="s">
        <v>2607</v>
      </c>
      <c r="B2607" t="str">
        <f t="shared" si="42"/>
        <v>0.00312%</v>
      </c>
      <c r="C2607" t="s">
        <v>10</v>
      </c>
      <c r="D2607" t="s">
        <v>10</v>
      </c>
      <c r="E2607" t="str">
        <f>"$ 24,097"</f>
        <v>$ 24,097</v>
      </c>
      <c r="F2607">
        <v>676</v>
      </c>
    </row>
    <row r="2608" spans="1:6">
      <c r="A2608" t="s">
        <v>2608</v>
      </c>
      <c r="B2608" t="str">
        <f t="shared" si="42"/>
        <v>0.00312%</v>
      </c>
      <c r="C2608" t="s">
        <v>10</v>
      </c>
      <c r="D2608" t="s">
        <v>10</v>
      </c>
      <c r="E2608" t="str">
        <f>"$ 24,080"</f>
        <v>$ 24,080</v>
      </c>
      <c r="F2608" s="1">
        <v>10887</v>
      </c>
    </row>
    <row r="2609" spans="1:6">
      <c r="A2609" t="s">
        <v>2609</v>
      </c>
      <c r="B2609" t="str">
        <f t="shared" si="42"/>
        <v>0.00312%</v>
      </c>
      <c r="C2609" t="s">
        <v>10</v>
      </c>
      <c r="D2609" t="s">
        <v>10</v>
      </c>
      <c r="E2609" t="str">
        <f>"$ 24,125"</f>
        <v>$ 24,125</v>
      </c>
      <c r="F2609">
        <v>495</v>
      </c>
    </row>
    <row r="2610" spans="1:6">
      <c r="A2610" t="s">
        <v>2610</v>
      </c>
      <c r="B2610" t="str">
        <f t="shared" si="42"/>
        <v>0.00312%</v>
      </c>
      <c r="C2610" t="s">
        <v>10</v>
      </c>
      <c r="D2610" t="s">
        <v>10</v>
      </c>
      <c r="E2610" t="str">
        <f>"$ 24,100"</f>
        <v>$ 24,100</v>
      </c>
      <c r="F2610">
        <v>365</v>
      </c>
    </row>
    <row r="2611" spans="1:6">
      <c r="A2611" t="s">
        <v>2611</v>
      </c>
      <c r="B2611" t="str">
        <f t="shared" si="42"/>
        <v>0.00312%</v>
      </c>
      <c r="C2611" t="s">
        <v>10</v>
      </c>
      <c r="D2611" t="s">
        <v>10</v>
      </c>
      <c r="E2611" t="str">
        <f>"$ 24,097"</f>
        <v>$ 24,097</v>
      </c>
      <c r="F2611">
        <v>140</v>
      </c>
    </row>
    <row r="2612" spans="1:6">
      <c r="A2612" t="s">
        <v>2612</v>
      </c>
      <c r="B2612" t="str">
        <f t="shared" si="42"/>
        <v>0.00312%</v>
      </c>
      <c r="C2612" t="s">
        <v>10</v>
      </c>
      <c r="D2612" t="s">
        <v>10</v>
      </c>
      <c r="E2612" t="str">
        <f>"$ 24,068"</f>
        <v>$ 24,068</v>
      </c>
      <c r="F2612">
        <v>329</v>
      </c>
    </row>
    <row r="2613" spans="1:6">
      <c r="A2613" t="s">
        <v>2613</v>
      </c>
      <c r="B2613" t="str">
        <f>"0.00311%"</f>
        <v>0.00311%</v>
      </c>
      <c r="C2613" t="s">
        <v>10</v>
      </c>
      <c r="D2613" t="s">
        <v>10</v>
      </c>
      <c r="E2613" t="str">
        <f>"$ 24,000"</f>
        <v>$ 24,000</v>
      </c>
      <c r="F2613">
        <v>120</v>
      </c>
    </row>
    <row r="2614" spans="1:6">
      <c r="A2614" t="s">
        <v>2614</v>
      </c>
      <c r="B2614" t="str">
        <f>"0.00311%"</f>
        <v>0.00311%</v>
      </c>
      <c r="C2614" t="s">
        <v>10</v>
      </c>
      <c r="D2614" t="s">
        <v>10</v>
      </c>
      <c r="E2614" t="str">
        <f>"$ 24,045"</f>
        <v>$ 24,045</v>
      </c>
      <c r="F2614">
        <v>445</v>
      </c>
    </row>
    <row r="2615" spans="1:6">
      <c r="A2615" t="s">
        <v>2615</v>
      </c>
      <c r="B2615" t="str">
        <f>"0.00311%"</f>
        <v>0.00311%</v>
      </c>
      <c r="C2615" t="s">
        <v>10</v>
      </c>
      <c r="D2615" t="s">
        <v>10</v>
      </c>
      <c r="E2615" t="str">
        <f>"$ 23,999"</f>
        <v>$ 23,999</v>
      </c>
      <c r="F2615">
        <v>613</v>
      </c>
    </row>
    <row r="2616" spans="1:6">
      <c r="A2616" t="s">
        <v>2616</v>
      </c>
      <c r="B2616" t="str">
        <f>"0.00309%"</f>
        <v>0.00309%</v>
      </c>
      <c r="C2616" t="s">
        <v>10</v>
      </c>
      <c r="D2616" t="s">
        <v>10</v>
      </c>
      <c r="E2616" t="str">
        <f>"$ 23,897"</f>
        <v>$ 23,897</v>
      </c>
      <c r="F2616">
        <v>80</v>
      </c>
    </row>
    <row r="2617" spans="1:6">
      <c r="A2617" t="s">
        <v>2617</v>
      </c>
      <c r="B2617" t="str">
        <f>"0.00309%"</f>
        <v>0.00309%</v>
      </c>
      <c r="C2617" t="s">
        <v>10</v>
      </c>
      <c r="D2617" t="s">
        <v>10</v>
      </c>
      <c r="E2617" t="str">
        <f>"$ 23,846"</f>
        <v>$ 23,846</v>
      </c>
      <c r="F2617">
        <v>119</v>
      </c>
    </row>
    <row r="2618" spans="1:6">
      <c r="A2618" t="s">
        <v>2618</v>
      </c>
      <c r="B2618" t="str">
        <f>"0.00309%"</f>
        <v>0.00309%</v>
      </c>
      <c r="C2618" t="s">
        <v>10</v>
      </c>
      <c r="D2618" t="s">
        <v>10</v>
      </c>
      <c r="E2618" t="str">
        <f>"$ 23,883"</f>
        <v>$ 23,883</v>
      </c>
      <c r="F2618">
        <v>316</v>
      </c>
    </row>
    <row r="2619" spans="1:6">
      <c r="A2619" t="s">
        <v>2619</v>
      </c>
      <c r="B2619" t="str">
        <f>"0.00309%"</f>
        <v>0.00309%</v>
      </c>
      <c r="C2619" t="s">
        <v>10</v>
      </c>
      <c r="D2619" t="s">
        <v>10</v>
      </c>
      <c r="E2619" t="str">
        <f>"$ 23,852"</f>
        <v>$ 23,852</v>
      </c>
      <c r="F2619">
        <v>361</v>
      </c>
    </row>
    <row r="2620" spans="1:6">
      <c r="A2620" t="s">
        <v>2620</v>
      </c>
      <c r="B2620" t="str">
        <f>"0.00309%"</f>
        <v>0.00309%</v>
      </c>
      <c r="C2620" t="s">
        <v>10</v>
      </c>
      <c r="D2620" t="s">
        <v>10</v>
      </c>
      <c r="E2620" t="str">
        <f>"$ 23,855"</f>
        <v>$ 23,855</v>
      </c>
      <c r="F2620">
        <v>673</v>
      </c>
    </row>
    <row r="2621" spans="1:6">
      <c r="A2621" t="s">
        <v>2621</v>
      </c>
      <c r="B2621" t="str">
        <f>"0.00308%"</f>
        <v>0.00308%</v>
      </c>
      <c r="C2621" t="s">
        <v>10</v>
      </c>
      <c r="D2621" t="s">
        <v>10</v>
      </c>
      <c r="E2621" t="str">
        <f>"$ 23,749"</f>
        <v>$ 23,749</v>
      </c>
      <c r="F2621">
        <v>161</v>
      </c>
    </row>
    <row r="2622" spans="1:6">
      <c r="A2622" t="s">
        <v>2622</v>
      </c>
      <c r="B2622" t="str">
        <f>"0.00308%"</f>
        <v>0.00308%</v>
      </c>
      <c r="C2622" t="s">
        <v>10</v>
      </c>
      <c r="D2622" t="s">
        <v>10</v>
      </c>
      <c r="E2622" t="str">
        <f>"$ 23,765"</f>
        <v>$ 23,765</v>
      </c>
      <c r="F2622">
        <v>317</v>
      </c>
    </row>
    <row r="2623" spans="1:6">
      <c r="A2623" t="s">
        <v>2623</v>
      </c>
      <c r="B2623" t="str">
        <f>"0.00308%"</f>
        <v>0.00308%</v>
      </c>
      <c r="C2623" t="s">
        <v>10</v>
      </c>
      <c r="D2623" t="s">
        <v>10</v>
      </c>
      <c r="E2623" t="str">
        <f>"$ 23,768"</f>
        <v>$ 23,768</v>
      </c>
      <c r="F2623" s="1">
        <v>11687</v>
      </c>
    </row>
    <row r="2624" spans="1:6">
      <c r="A2624" t="s">
        <v>2624</v>
      </c>
      <c r="B2624" t="str">
        <f>"0.00308%"</f>
        <v>0.00308%</v>
      </c>
      <c r="C2624" t="s">
        <v>10</v>
      </c>
      <c r="D2624" t="s">
        <v>10</v>
      </c>
      <c r="E2624" t="str">
        <f>"$ 23,784"</f>
        <v>$ 23,784</v>
      </c>
      <c r="F2624">
        <v>373</v>
      </c>
    </row>
    <row r="2625" spans="1:6">
      <c r="A2625" t="s">
        <v>2625</v>
      </c>
      <c r="B2625" t="str">
        <f t="shared" ref="B2625:B2635" si="43">"0.00307%"</f>
        <v>0.00307%</v>
      </c>
      <c r="C2625" t="s">
        <v>10</v>
      </c>
      <c r="D2625" t="s">
        <v>10</v>
      </c>
      <c r="E2625" t="str">
        <f>"$ 23,685"</f>
        <v>$ 23,685</v>
      </c>
      <c r="F2625" s="1">
        <v>1091</v>
      </c>
    </row>
    <row r="2626" spans="1:6">
      <c r="A2626" t="s">
        <v>2626</v>
      </c>
      <c r="B2626" t="str">
        <f t="shared" si="43"/>
        <v>0.00307%</v>
      </c>
      <c r="C2626" t="s">
        <v>10</v>
      </c>
      <c r="D2626" t="s">
        <v>10</v>
      </c>
      <c r="E2626" t="str">
        <f>"$ 23,719"</f>
        <v>$ 23,719</v>
      </c>
      <c r="F2626">
        <v>131</v>
      </c>
    </row>
    <row r="2627" spans="1:6">
      <c r="A2627" t="s">
        <v>2627</v>
      </c>
      <c r="B2627" t="str">
        <f t="shared" si="43"/>
        <v>0.00307%</v>
      </c>
      <c r="C2627" t="s">
        <v>10</v>
      </c>
      <c r="D2627" t="s">
        <v>10</v>
      </c>
      <c r="E2627" t="str">
        <f>"$ 23,710"</f>
        <v>$ 23,710</v>
      </c>
      <c r="F2627" s="1">
        <v>17511</v>
      </c>
    </row>
    <row r="2628" spans="1:6">
      <c r="A2628" t="s">
        <v>2628</v>
      </c>
      <c r="B2628" t="str">
        <f t="shared" si="43"/>
        <v>0.00307%</v>
      </c>
      <c r="C2628" t="s">
        <v>10</v>
      </c>
      <c r="D2628" t="s">
        <v>10</v>
      </c>
      <c r="E2628" t="str">
        <f>"$ 23,724"</f>
        <v>$ 23,724</v>
      </c>
      <c r="F2628">
        <v>589</v>
      </c>
    </row>
    <row r="2629" spans="1:6">
      <c r="A2629" t="s">
        <v>2629</v>
      </c>
      <c r="B2629" t="str">
        <f t="shared" si="43"/>
        <v>0.00307%</v>
      </c>
      <c r="C2629" t="s">
        <v>10</v>
      </c>
      <c r="D2629" t="s">
        <v>10</v>
      </c>
      <c r="E2629" t="str">
        <f>"$ 23,738"</f>
        <v>$ 23,738</v>
      </c>
      <c r="F2629">
        <v>676</v>
      </c>
    </row>
    <row r="2630" spans="1:6">
      <c r="A2630" t="s">
        <v>2630</v>
      </c>
      <c r="B2630" t="str">
        <f t="shared" si="43"/>
        <v>0.00307%</v>
      </c>
      <c r="C2630" t="s">
        <v>10</v>
      </c>
      <c r="D2630" t="s">
        <v>10</v>
      </c>
      <c r="E2630" t="str">
        <f>"$ 23,684"</f>
        <v>$ 23,684</v>
      </c>
      <c r="F2630">
        <v>79</v>
      </c>
    </row>
    <row r="2631" spans="1:6">
      <c r="A2631" t="s">
        <v>2631</v>
      </c>
      <c r="B2631" t="str">
        <f t="shared" si="43"/>
        <v>0.00307%</v>
      </c>
      <c r="C2631" t="s">
        <v>10</v>
      </c>
      <c r="D2631" t="s">
        <v>10</v>
      </c>
      <c r="E2631" t="str">
        <f>"$ 23,736"</f>
        <v>$ 23,736</v>
      </c>
      <c r="F2631">
        <v>170</v>
      </c>
    </row>
    <row r="2632" spans="1:6">
      <c r="A2632" t="s">
        <v>2632</v>
      </c>
      <c r="B2632" t="str">
        <f t="shared" si="43"/>
        <v>0.00307%</v>
      </c>
      <c r="C2632" t="s">
        <v>10</v>
      </c>
      <c r="D2632" t="s">
        <v>10</v>
      </c>
      <c r="E2632" t="str">
        <f>"$ 23,721"</f>
        <v>$ 23,721</v>
      </c>
      <c r="F2632" s="1">
        <v>2641</v>
      </c>
    </row>
    <row r="2633" spans="1:6">
      <c r="A2633" t="s">
        <v>2633</v>
      </c>
      <c r="B2633" t="str">
        <f t="shared" si="43"/>
        <v>0.00307%</v>
      </c>
      <c r="C2633" t="s">
        <v>10</v>
      </c>
      <c r="D2633" t="s">
        <v>10</v>
      </c>
      <c r="E2633" t="str">
        <f>"$ 23,669"</f>
        <v>$ 23,669</v>
      </c>
      <c r="F2633">
        <v>396</v>
      </c>
    </row>
    <row r="2634" spans="1:6">
      <c r="A2634" t="s">
        <v>2634</v>
      </c>
      <c r="B2634" t="str">
        <f t="shared" si="43"/>
        <v>0.00307%</v>
      </c>
      <c r="C2634" t="s">
        <v>10</v>
      </c>
      <c r="D2634" t="s">
        <v>10</v>
      </c>
      <c r="E2634" t="str">
        <f>"$ 23,684"</f>
        <v>$ 23,684</v>
      </c>
      <c r="F2634" s="1">
        <v>2607</v>
      </c>
    </row>
    <row r="2635" spans="1:6">
      <c r="A2635" t="s">
        <v>2635</v>
      </c>
      <c r="B2635" t="str">
        <f t="shared" si="43"/>
        <v>0.00307%</v>
      </c>
      <c r="C2635" t="s">
        <v>10</v>
      </c>
      <c r="D2635" t="s">
        <v>10</v>
      </c>
      <c r="E2635" t="str">
        <f>"$ 23,688"</f>
        <v>$ 23,688</v>
      </c>
      <c r="F2635">
        <v>733</v>
      </c>
    </row>
    <row r="2636" spans="1:6">
      <c r="A2636" t="s">
        <v>2636</v>
      </c>
      <c r="B2636" t="str">
        <f>"0.00306%"</f>
        <v>0.00306%</v>
      </c>
      <c r="C2636" t="s">
        <v>10</v>
      </c>
      <c r="D2636" t="s">
        <v>10</v>
      </c>
      <c r="E2636" t="str">
        <f>"$ 23,604"</f>
        <v>$ 23,604</v>
      </c>
      <c r="F2636">
        <v>348</v>
      </c>
    </row>
    <row r="2637" spans="1:6">
      <c r="A2637" t="s">
        <v>2637</v>
      </c>
      <c r="B2637" t="str">
        <f>"0.00306%"</f>
        <v>0.00306%</v>
      </c>
      <c r="C2637" t="s">
        <v>10</v>
      </c>
      <c r="D2637" t="s">
        <v>10</v>
      </c>
      <c r="E2637" t="str">
        <f>"$ 23,647"</f>
        <v>$ 23,647</v>
      </c>
      <c r="F2637">
        <v>60</v>
      </c>
    </row>
    <row r="2638" spans="1:6">
      <c r="A2638" t="s">
        <v>2638</v>
      </c>
      <c r="B2638" t="str">
        <f>"0.00306%"</f>
        <v>0.00306%</v>
      </c>
      <c r="C2638" t="s">
        <v>10</v>
      </c>
      <c r="D2638" t="s">
        <v>10</v>
      </c>
      <c r="E2638" t="str">
        <f>"$ 23,660"</f>
        <v>$ 23,660</v>
      </c>
      <c r="F2638">
        <v>288</v>
      </c>
    </row>
    <row r="2639" spans="1:6">
      <c r="A2639" t="s">
        <v>2639</v>
      </c>
      <c r="B2639" t="str">
        <f>"0.00306%"</f>
        <v>0.00306%</v>
      </c>
      <c r="C2639" t="s">
        <v>10</v>
      </c>
      <c r="D2639" t="s">
        <v>10</v>
      </c>
      <c r="E2639" t="str">
        <f>"$ 23,594"</f>
        <v>$ 23,594</v>
      </c>
      <c r="F2639">
        <v>456</v>
      </c>
    </row>
    <row r="2640" spans="1:6">
      <c r="A2640" t="s">
        <v>2640</v>
      </c>
      <c r="B2640" t="str">
        <f>"0.00306%"</f>
        <v>0.00306%</v>
      </c>
      <c r="C2640" t="s">
        <v>10</v>
      </c>
      <c r="D2640" t="s">
        <v>10</v>
      </c>
      <c r="E2640" t="str">
        <f>"$ 23,654"</f>
        <v>$ 23,654</v>
      </c>
      <c r="F2640" s="1">
        <v>8613</v>
      </c>
    </row>
    <row r="2641" spans="1:6">
      <c r="A2641" t="s">
        <v>2641</v>
      </c>
      <c r="B2641" t="str">
        <f t="shared" ref="B2641:B2649" si="44">"0.00305%"</f>
        <v>0.00305%</v>
      </c>
      <c r="C2641" t="s">
        <v>10</v>
      </c>
      <c r="D2641" t="s">
        <v>10</v>
      </c>
      <c r="E2641" t="str">
        <f>"$ 23,514"</f>
        <v>$ 23,514</v>
      </c>
      <c r="F2641" s="1">
        <v>1616</v>
      </c>
    </row>
    <row r="2642" spans="1:6">
      <c r="A2642" t="s">
        <v>2642</v>
      </c>
      <c r="B2642" t="str">
        <f t="shared" si="44"/>
        <v>0.00305%</v>
      </c>
      <c r="C2642" t="s">
        <v>10</v>
      </c>
      <c r="D2642" t="s">
        <v>10</v>
      </c>
      <c r="E2642" t="str">
        <f>"$ 23,540"</f>
        <v>$ 23,540</v>
      </c>
      <c r="F2642" s="1">
        <v>1034</v>
      </c>
    </row>
    <row r="2643" spans="1:6">
      <c r="A2643" t="s">
        <v>2643</v>
      </c>
      <c r="B2643" t="str">
        <f t="shared" si="44"/>
        <v>0.00305%</v>
      </c>
      <c r="C2643" t="s">
        <v>10</v>
      </c>
      <c r="D2643" t="s">
        <v>10</v>
      </c>
      <c r="E2643" t="str">
        <f>"$ 23,538"</f>
        <v>$ 23,538</v>
      </c>
      <c r="F2643" s="1">
        <v>4383</v>
      </c>
    </row>
    <row r="2644" spans="1:6">
      <c r="A2644" t="s">
        <v>2644</v>
      </c>
      <c r="B2644" t="str">
        <f t="shared" si="44"/>
        <v>0.00305%</v>
      </c>
      <c r="C2644" t="s">
        <v>10</v>
      </c>
      <c r="D2644" t="s">
        <v>10</v>
      </c>
      <c r="E2644" t="str">
        <f>"$ 23,583"</f>
        <v>$ 23,583</v>
      </c>
      <c r="F2644">
        <v>179</v>
      </c>
    </row>
    <row r="2645" spans="1:6">
      <c r="A2645" t="s">
        <v>2645</v>
      </c>
      <c r="B2645" t="str">
        <f t="shared" si="44"/>
        <v>0.00305%</v>
      </c>
      <c r="C2645" t="s">
        <v>10</v>
      </c>
      <c r="D2645" t="s">
        <v>10</v>
      </c>
      <c r="E2645" t="str">
        <f>"$ 23,574"</f>
        <v>$ 23,574</v>
      </c>
      <c r="F2645" s="1">
        <v>1218</v>
      </c>
    </row>
    <row r="2646" spans="1:6">
      <c r="A2646" t="s">
        <v>2646</v>
      </c>
      <c r="B2646" t="str">
        <f t="shared" si="44"/>
        <v>0.00305%</v>
      </c>
      <c r="C2646" t="s">
        <v>10</v>
      </c>
      <c r="D2646" t="s">
        <v>10</v>
      </c>
      <c r="E2646" t="str">
        <f>"$ 23,582"</f>
        <v>$ 23,582</v>
      </c>
      <c r="F2646">
        <v>408</v>
      </c>
    </row>
    <row r="2647" spans="1:6">
      <c r="A2647" t="s">
        <v>2647</v>
      </c>
      <c r="B2647" t="str">
        <f t="shared" si="44"/>
        <v>0.00305%</v>
      </c>
      <c r="C2647" t="s">
        <v>10</v>
      </c>
      <c r="D2647" t="s">
        <v>10</v>
      </c>
      <c r="E2647" t="str">
        <f>"$ 23,514"</f>
        <v>$ 23,514</v>
      </c>
      <c r="F2647" s="1">
        <v>61946</v>
      </c>
    </row>
    <row r="2648" spans="1:6">
      <c r="A2648" t="s">
        <v>2648</v>
      </c>
      <c r="B2648" t="str">
        <f t="shared" si="44"/>
        <v>0.00305%</v>
      </c>
      <c r="C2648" t="s">
        <v>10</v>
      </c>
      <c r="D2648" t="s">
        <v>10</v>
      </c>
      <c r="E2648" t="str">
        <f>"$ 23,533"</f>
        <v>$ 23,533</v>
      </c>
      <c r="F2648">
        <v>85</v>
      </c>
    </row>
    <row r="2649" spans="1:6">
      <c r="A2649" t="s">
        <v>2649</v>
      </c>
      <c r="B2649" t="str">
        <f t="shared" si="44"/>
        <v>0.00305%</v>
      </c>
      <c r="C2649" t="s">
        <v>10</v>
      </c>
      <c r="D2649" t="s">
        <v>10</v>
      </c>
      <c r="E2649" t="str">
        <f>"$ 23,514"</f>
        <v>$ 23,514</v>
      </c>
      <c r="F2649">
        <v>165</v>
      </c>
    </row>
    <row r="2650" spans="1:6">
      <c r="A2650" t="s">
        <v>2650</v>
      </c>
      <c r="B2650" t="str">
        <f>"0.00304%"</f>
        <v>0.00304%</v>
      </c>
      <c r="C2650" t="s">
        <v>10</v>
      </c>
      <c r="D2650" t="s">
        <v>10</v>
      </c>
      <c r="E2650" t="str">
        <f>"$ 23,507"</f>
        <v>$ 23,507</v>
      </c>
      <c r="F2650" s="1">
        <v>3066</v>
      </c>
    </row>
    <row r="2651" spans="1:6">
      <c r="A2651" t="s">
        <v>2651</v>
      </c>
      <c r="B2651" t="str">
        <f>"0.00304%"</f>
        <v>0.00304%</v>
      </c>
      <c r="C2651" t="s">
        <v>10</v>
      </c>
      <c r="D2651" t="s">
        <v>10</v>
      </c>
      <c r="E2651" t="str">
        <f>"$ 23,439"</f>
        <v>$ 23,439</v>
      </c>
      <c r="F2651">
        <v>177</v>
      </c>
    </row>
    <row r="2652" spans="1:6">
      <c r="A2652" t="s">
        <v>2652</v>
      </c>
      <c r="B2652" t="str">
        <f>"0.00304%"</f>
        <v>0.00304%</v>
      </c>
      <c r="C2652" t="s">
        <v>10</v>
      </c>
      <c r="D2652" t="s">
        <v>10</v>
      </c>
      <c r="E2652" t="str">
        <f>"$ 23,481"</f>
        <v>$ 23,481</v>
      </c>
      <c r="F2652" s="1">
        <v>1725</v>
      </c>
    </row>
    <row r="2653" spans="1:6">
      <c r="A2653" t="s">
        <v>2653</v>
      </c>
      <c r="B2653" t="str">
        <f>"0.00303%"</f>
        <v>0.00303%</v>
      </c>
      <c r="C2653" t="s">
        <v>10</v>
      </c>
      <c r="D2653" t="s">
        <v>10</v>
      </c>
      <c r="E2653" t="str">
        <f>"$ 23,422"</f>
        <v>$ 23,422</v>
      </c>
      <c r="F2653">
        <v>203</v>
      </c>
    </row>
    <row r="2654" spans="1:6">
      <c r="A2654" t="s">
        <v>2654</v>
      </c>
      <c r="B2654" t="str">
        <f>"0.00303%"</f>
        <v>0.00303%</v>
      </c>
      <c r="C2654" t="s">
        <v>10</v>
      </c>
      <c r="D2654" t="s">
        <v>10</v>
      </c>
      <c r="E2654" t="str">
        <f>"$ 23,393"</f>
        <v>$ 23,393</v>
      </c>
      <c r="F2654">
        <v>210</v>
      </c>
    </row>
    <row r="2655" spans="1:6">
      <c r="A2655" t="s">
        <v>2655</v>
      </c>
      <c r="B2655" t="str">
        <f>"0.00303%"</f>
        <v>0.00303%</v>
      </c>
      <c r="C2655" t="s">
        <v>10</v>
      </c>
      <c r="D2655" t="s">
        <v>10</v>
      </c>
      <c r="E2655" t="str">
        <f>"$ 23,410"</f>
        <v>$ 23,410</v>
      </c>
      <c r="F2655">
        <v>262</v>
      </c>
    </row>
    <row r="2656" spans="1:6">
      <c r="A2656" t="s">
        <v>2656</v>
      </c>
      <c r="B2656" t="str">
        <f>"0.00303%"</f>
        <v>0.00303%</v>
      </c>
      <c r="C2656" t="s">
        <v>10</v>
      </c>
      <c r="D2656" t="s">
        <v>10</v>
      </c>
      <c r="E2656" t="str">
        <f>"$ 23,404"</f>
        <v>$ 23,404</v>
      </c>
      <c r="F2656">
        <v>109</v>
      </c>
    </row>
    <row r="2657" spans="1:6">
      <c r="A2657" t="s">
        <v>2657</v>
      </c>
      <c r="B2657" t="str">
        <f t="shared" ref="B2657:B2665" si="45">"0.00302%"</f>
        <v>0.00302%</v>
      </c>
      <c r="C2657" t="s">
        <v>10</v>
      </c>
      <c r="D2657" t="s">
        <v>10</v>
      </c>
      <c r="E2657" t="str">
        <f>"$ 23,290"</f>
        <v>$ 23,290</v>
      </c>
      <c r="F2657">
        <v>766</v>
      </c>
    </row>
    <row r="2658" spans="1:6">
      <c r="A2658" t="s">
        <v>2658</v>
      </c>
      <c r="B2658" t="str">
        <f t="shared" si="45"/>
        <v>0.00302%</v>
      </c>
      <c r="C2658" t="s">
        <v>10</v>
      </c>
      <c r="D2658" t="s">
        <v>10</v>
      </c>
      <c r="E2658" t="str">
        <f>"$ 23,323"</f>
        <v>$ 23,323</v>
      </c>
      <c r="F2658" s="1">
        <v>2906</v>
      </c>
    </row>
    <row r="2659" spans="1:6">
      <c r="A2659" t="s">
        <v>2659</v>
      </c>
      <c r="B2659" t="str">
        <f t="shared" si="45"/>
        <v>0.00302%</v>
      </c>
      <c r="C2659" t="s">
        <v>10</v>
      </c>
      <c r="D2659" t="s">
        <v>10</v>
      </c>
      <c r="E2659" t="str">
        <f>"$ 23,335"</f>
        <v>$ 23,335</v>
      </c>
      <c r="F2659">
        <v>283</v>
      </c>
    </row>
    <row r="2660" spans="1:6">
      <c r="A2660" t="s">
        <v>2660</v>
      </c>
      <c r="B2660" t="str">
        <f t="shared" si="45"/>
        <v>0.00302%</v>
      </c>
      <c r="C2660" t="s">
        <v>10</v>
      </c>
      <c r="D2660" t="s">
        <v>10</v>
      </c>
      <c r="E2660" t="str">
        <f>"$ 23,346"</f>
        <v>$ 23,346</v>
      </c>
      <c r="F2660">
        <v>225</v>
      </c>
    </row>
    <row r="2661" spans="1:6">
      <c r="A2661" t="s">
        <v>2661</v>
      </c>
      <c r="B2661" t="str">
        <f t="shared" si="45"/>
        <v>0.00302%</v>
      </c>
      <c r="C2661" t="s">
        <v>10</v>
      </c>
      <c r="D2661" t="s">
        <v>10</v>
      </c>
      <c r="E2661" t="str">
        <f>"$ 23,293"</f>
        <v>$ 23,293</v>
      </c>
      <c r="F2661">
        <v>174</v>
      </c>
    </row>
    <row r="2662" spans="1:6">
      <c r="A2662" t="s">
        <v>2662</v>
      </c>
      <c r="B2662" t="str">
        <f t="shared" si="45"/>
        <v>0.00302%</v>
      </c>
      <c r="C2662" t="s">
        <v>10</v>
      </c>
      <c r="D2662" t="s">
        <v>10</v>
      </c>
      <c r="E2662" t="str">
        <f>"$ 23,348"</f>
        <v>$ 23,348</v>
      </c>
      <c r="F2662" s="1">
        <v>1254</v>
      </c>
    </row>
    <row r="2663" spans="1:6">
      <c r="A2663" t="s">
        <v>2663</v>
      </c>
      <c r="B2663" t="str">
        <f t="shared" si="45"/>
        <v>0.00302%</v>
      </c>
      <c r="C2663" t="s">
        <v>10</v>
      </c>
      <c r="D2663" t="s">
        <v>10</v>
      </c>
      <c r="E2663" t="str">
        <f>"$ 23,288"</f>
        <v>$ 23,288</v>
      </c>
      <c r="F2663">
        <v>19</v>
      </c>
    </row>
    <row r="2664" spans="1:6">
      <c r="A2664" t="s">
        <v>2664</v>
      </c>
      <c r="B2664" t="str">
        <f t="shared" si="45"/>
        <v>0.00302%</v>
      </c>
      <c r="C2664" t="s">
        <v>10</v>
      </c>
      <c r="D2664" t="s">
        <v>10</v>
      </c>
      <c r="E2664" t="str">
        <f>"$ 23,354"</f>
        <v>$ 23,354</v>
      </c>
      <c r="F2664">
        <v>845</v>
      </c>
    </row>
    <row r="2665" spans="1:6">
      <c r="A2665" t="s">
        <v>2665</v>
      </c>
      <c r="B2665" t="str">
        <f t="shared" si="45"/>
        <v>0.00302%</v>
      </c>
      <c r="C2665" t="s">
        <v>10</v>
      </c>
      <c r="D2665" t="s">
        <v>10</v>
      </c>
      <c r="E2665" t="str">
        <f>"$ 23,301"</f>
        <v>$ 23,301</v>
      </c>
      <c r="F2665" s="1">
        <v>2147</v>
      </c>
    </row>
    <row r="2666" spans="1:6">
      <c r="A2666" t="s">
        <v>2666</v>
      </c>
      <c r="B2666" t="str">
        <f t="shared" ref="B2666:B2671" si="46">"0.00301%"</f>
        <v>0.00301%</v>
      </c>
      <c r="C2666" t="s">
        <v>10</v>
      </c>
      <c r="D2666" t="s">
        <v>10</v>
      </c>
      <c r="E2666" t="str">
        <f>"$ 23,205"</f>
        <v>$ 23,205</v>
      </c>
      <c r="F2666" s="1">
        <v>1138</v>
      </c>
    </row>
    <row r="2667" spans="1:6">
      <c r="A2667" t="s">
        <v>2667</v>
      </c>
      <c r="B2667" t="str">
        <f t="shared" si="46"/>
        <v>0.00301%</v>
      </c>
      <c r="C2667" t="s">
        <v>10</v>
      </c>
      <c r="D2667" t="s">
        <v>10</v>
      </c>
      <c r="E2667" t="str">
        <f>"$ 23,268"</f>
        <v>$ 23,268</v>
      </c>
      <c r="F2667" s="1">
        <v>4609</v>
      </c>
    </row>
    <row r="2668" spans="1:6">
      <c r="A2668" t="s">
        <v>2668</v>
      </c>
      <c r="B2668" t="str">
        <f t="shared" si="46"/>
        <v>0.00301%</v>
      </c>
      <c r="C2668" t="s">
        <v>10</v>
      </c>
      <c r="D2668" t="s">
        <v>10</v>
      </c>
      <c r="E2668" t="str">
        <f>"$ 23,272"</f>
        <v>$ 23,272</v>
      </c>
      <c r="F2668">
        <v>891</v>
      </c>
    </row>
    <row r="2669" spans="1:6">
      <c r="A2669" t="s">
        <v>2669</v>
      </c>
      <c r="B2669" t="str">
        <f t="shared" si="46"/>
        <v>0.00301%</v>
      </c>
      <c r="C2669" t="s">
        <v>10</v>
      </c>
      <c r="D2669" t="s">
        <v>10</v>
      </c>
      <c r="E2669" t="str">
        <f>"$ 23,258"</f>
        <v>$ 23,258</v>
      </c>
      <c r="F2669" s="1">
        <v>1066</v>
      </c>
    </row>
    <row r="2670" spans="1:6">
      <c r="A2670" t="s">
        <v>2670</v>
      </c>
      <c r="B2670" t="str">
        <f t="shared" si="46"/>
        <v>0.00301%</v>
      </c>
      <c r="C2670" t="s">
        <v>10</v>
      </c>
      <c r="D2670" t="s">
        <v>10</v>
      </c>
      <c r="E2670" t="str">
        <f>"$ 23,225"</f>
        <v>$ 23,225</v>
      </c>
      <c r="F2670">
        <v>457</v>
      </c>
    </row>
    <row r="2671" spans="1:6">
      <c r="A2671" t="s">
        <v>2671</v>
      </c>
      <c r="B2671" t="str">
        <f t="shared" si="46"/>
        <v>0.00301%</v>
      </c>
      <c r="C2671" t="s">
        <v>10</v>
      </c>
      <c r="D2671" t="s">
        <v>10</v>
      </c>
      <c r="E2671" t="str">
        <f>"$ 23,218"</f>
        <v>$ 23,218</v>
      </c>
      <c r="F2671">
        <v>229</v>
      </c>
    </row>
    <row r="2672" spans="1:6">
      <c r="A2672" t="s">
        <v>2672</v>
      </c>
      <c r="B2672" t="str">
        <f>"0.00300%"</f>
        <v>0.00300%</v>
      </c>
      <c r="C2672" t="s">
        <v>10</v>
      </c>
      <c r="D2672" t="s">
        <v>10</v>
      </c>
      <c r="E2672" t="str">
        <f>"$ 23,130"</f>
        <v>$ 23,130</v>
      </c>
      <c r="F2672">
        <v>750</v>
      </c>
    </row>
    <row r="2673" spans="1:6">
      <c r="A2673" t="s">
        <v>2673</v>
      </c>
      <c r="B2673" t="str">
        <f>"0.00300%"</f>
        <v>0.00300%</v>
      </c>
      <c r="C2673" t="s">
        <v>10</v>
      </c>
      <c r="D2673" t="s">
        <v>10</v>
      </c>
      <c r="E2673" t="str">
        <f>"$ 23,139"</f>
        <v>$ 23,139</v>
      </c>
      <c r="F2673" s="1">
        <v>15679</v>
      </c>
    </row>
    <row r="2674" spans="1:6">
      <c r="A2674" t="s">
        <v>2674</v>
      </c>
      <c r="B2674" t="str">
        <f>"0.00300%"</f>
        <v>0.00300%</v>
      </c>
      <c r="C2674" t="s">
        <v>10</v>
      </c>
      <c r="D2674" t="s">
        <v>10</v>
      </c>
      <c r="E2674" t="str">
        <f>"$ 23,134"</f>
        <v>$ 23,134</v>
      </c>
      <c r="F2674" s="1">
        <v>1470</v>
      </c>
    </row>
    <row r="2675" spans="1:6">
      <c r="A2675" t="s">
        <v>2675</v>
      </c>
      <c r="B2675" t="str">
        <f>"0.00300%"</f>
        <v>0.00300%</v>
      </c>
      <c r="C2675" t="s">
        <v>10</v>
      </c>
      <c r="D2675" t="s">
        <v>10</v>
      </c>
      <c r="E2675" t="str">
        <f>"$ 23,141"</f>
        <v>$ 23,141</v>
      </c>
      <c r="F2675">
        <v>829</v>
      </c>
    </row>
    <row r="2676" spans="1:6">
      <c r="A2676" t="s">
        <v>2676</v>
      </c>
      <c r="B2676" t="str">
        <f>"0.00299%"</f>
        <v>0.00299%</v>
      </c>
      <c r="C2676" t="s">
        <v>10</v>
      </c>
      <c r="D2676" t="s">
        <v>10</v>
      </c>
      <c r="E2676" t="str">
        <f>"$ 23,061"</f>
        <v>$ 23,061</v>
      </c>
      <c r="F2676" s="1">
        <v>2593</v>
      </c>
    </row>
    <row r="2677" spans="1:6">
      <c r="A2677" t="s">
        <v>2677</v>
      </c>
      <c r="B2677" t="str">
        <f>"0.00299%"</f>
        <v>0.00299%</v>
      </c>
      <c r="C2677" t="s">
        <v>10</v>
      </c>
      <c r="D2677" t="s">
        <v>10</v>
      </c>
      <c r="E2677" t="str">
        <f>"$ 23,099"</f>
        <v>$ 23,099</v>
      </c>
      <c r="F2677">
        <v>117</v>
      </c>
    </row>
    <row r="2678" spans="1:6">
      <c r="A2678" t="s">
        <v>2678</v>
      </c>
      <c r="B2678" t="str">
        <f>"0.00299%"</f>
        <v>0.00299%</v>
      </c>
      <c r="C2678" t="s">
        <v>10</v>
      </c>
      <c r="D2678" t="s">
        <v>10</v>
      </c>
      <c r="E2678" t="str">
        <f>"$ 23,077"</f>
        <v>$ 23,077</v>
      </c>
      <c r="F2678" s="1">
        <v>9303</v>
      </c>
    </row>
    <row r="2679" spans="1:6">
      <c r="A2679" t="s">
        <v>2679</v>
      </c>
      <c r="B2679" t="str">
        <f>"0.00299%"</f>
        <v>0.00299%</v>
      </c>
      <c r="C2679" t="s">
        <v>10</v>
      </c>
      <c r="D2679" t="s">
        <v>10</v>
      </c>
      <c r="E2679" t="str">
        <f>"$ 23,124"</f>
        <v>$ 23,124</v>
      </c>
      <c r="F2679">
        <v>521</v>
      </c>
    </row>
    <row r="2680" spans="1:6">
      <c r="A2680" t="s">
        <v>2680</v>
      </c>
      <c r="B2680" t="str">
        <f t="shared" ref="B2680:B2687" si="47">"0.00298%"</f>
        <v>0.00298%</v>
      </c>
      <c r="C2680" t="s">
        <v>10</v>
      </c>
      <c r="D2680" t="s">
        <v>10</v>
      </c>
      <c r="E2680" t="str">
        <f>"$ 22,978"</f>
        <v>$ 22,978</v>
      </c>
      <c r="F2680">
        <v>194</v>
      </c>
    </row>
    <row r="2681" spans="1:6">
      <c r="A2681" t="s">
        <v>2681</v>
      </c>
      <c r="B2681" t="str">
        <f t="shared" si="47"/>
        <v>0.00298%</v>
      </c>
      <c r="C2681" t="s">
        <v>10</v>
      </c>
      <c r="D2681" t="s">
        <v>10</v>
      </c>
      <c r="E2681" t="str">
        <f>"$ 22,996"</f>
        <v>$ 22,996</v>
      </c>
      <c r="F2681">
        <v>456</v>
      </c>
    </row>
    <row r="2682" spans="1:6">
      <c r="A2682" t="s">
        <v>2682</v>
      </c>
      <c r="B2682" t="str">
        <f t="shared" si="47"/>
        <v>0.00298%</v>
      </c>
      <c r="C2682" t="s">
        <v>10</v>
      </c>
      <c r="D2682" t="s">
        <v>10</v>
      </c>
      <c r="E2682" t="str">
        <f>"$ 22,977"</f>
        <v>$ 22,977</v>
      </c>
      <c r="F2682" s="1">
        <v>3193</v>
      </c>
    </row>
    <row r="2683" spans="1:6">
      <c r="A2683" t="s">
        <v>2683</v>
      </c>
      <c r="B2683" t="str">
        <f t="shared" si="47"/>
        <v>0.00298%</v>
      </c>
      <c r="C2683" t="s">
        <v>10</v>
      </c>
      <c r="D2683" t="s">
        <v>10</v>
      </c>
      <c r="E2683" t="str">
        <f>"$ 22,982"</f>
        <v>$ 22,982</v>
      </c>
      <c r="F2683" s="1">
        <v>1324</v>
      </c>
    </row>
    <row r="2684" spans="1:6">
      <c r="A2684" t="s">
        <v>2684</v>
      </c>
      <c r="B2684" t="str">
        <f t="shared" si="47"/>
        <v>0.00298%</v>
      </c>
      <c r="C2684" t="s">
        <v>10</v>
      </c>
      <c r="D2684" t="s">
        <v>10</v>
      </c>
      <c r="E2684" t="str">
        <f>"$ 22,988"</f>
        <v>$ 22,988</v>
      </c>
      <c r="F2684" s="1">
        <v>5348</v>
      </c>
    </row>
    <row r="2685" spans="1:6">
      <c r="A2685" t="s">
        <v>2685</v>
      </c>
      <c r="B2685" t="str">
        <f t="shared" si="47"/>
        <v>0.00298%</v>
      </c>
      <c r="C2685" t="s">
        <v>10</v>
      </c>
      <c r="D2685" t="s">
        <v>10</v>
      </c>
      <c r="E2685" t="str">
        <f>"$ 23,010"</f>
        <v>$ 23,010</v>
      </c>
      <c r="F2685" s="1">
        <v>65099</v>
      </c>
    </row>
    <row r="2686" spans="1:6">
      <c r="A2686" t="s">
        <v>2686</v>
      </c>
      <c r="B2686" t="str">
        <f t="shared" si="47"/>
        <v>0.00298%</v>
      </c>
      <c r="C2686" t="s">
        <v>10</v>
      </c>
      <c r="D2686" t="s">
        <v>10</v>
      </c>
      <c r="E2686" t="str">
        <f>"$ 23,017"</f>
        <v>$ 23,017</v>
      </c>
      <c r="F2686">
        <v>792</v>
      </c>
    </row>
    <row r="2687" spans="1:6">
      <c r="A2687" t="s">
        <v>2687</v>
      </c>
      <c r="B2687" t="str">
        <f t="shared" si="47"/>
        <v>0.00298%</v>
      </c>
      <c r="C2687" t="s">
        <v>10</v>
      </c>
      <c r="D2687" t="s">
        <v>10</v>
      </c>
      <c r="E2687" t="str">
        <f>"$ 23,036"</f>
        <v>$ 23,036</v>
      </c>
      <c r="F2687" s="1">
        <v>61097</v>
      </c>
    </row>
    <row r="2688" spans="1:6">
      <c r="A2688" t="s">
        <v>2688</v>
      </c>
      <c r="B2688" t="str">
        <f t="shared" ref="B2688:B2696" si="48">"0.00297%"</f>
        <v>0.00297%</v>
      </c>
      <c r="C2688" t="s">
        <v>10</v>
      </c>
      <c r="D2688" t="s">
        <v>10</v>
      </c>
      <c r="E2688" t="str">
        <f>"$ 22,972"</f>
        <v>$ 22,972</v>
      </c>
      <c r="F2688">
        <v>431</v>
      </c>
    </row>
    <row r="2689" spans="1:6">
      <c r="A2689" t="s">
        <v>2689</v>
      </c>
      <c r="B2689" t="str">
        <f t="shared" si="48"/>
        <v>0.00297%</v>
      </c>
      <c r="C2689" t="s">
        <v>10</v>
      </c>
      <c r="D2689" t="s">
        <v>10</v>
      </c>
      <c r="E2689" t="str">
        <f>"$ 22,959"</f>
        <v>$ 22,959</v>
      </c>
      <c r="F2689" s="1">
        <v>12146</v>
      </c>
    </row>
    <row r="2690" spans="1:6">
      <c r="A2690" t="s">
        <v>2690</v>
      </c>
      <c r="B2690" t="str">
        <f t="shared" si="48"/>
        <v>0.00297%</v>
      </c>
      <c r="C2690" t="s">
        <v>10</v>
      </c>
      <c r="D2690" t="s">
        <v>10</v>
      </c>
      <c r="E2690" t="str">
        <f>"$ 22,964"</f>
        <v>$ 22,964</v>
      </c>
      <c r="F2690">
        <v>308</v>
      </c>
    </row>
    <row r="2691" spans="1:6">
      <c r="A2691" t="s">
        <v>2691</v>
      </c>
      <c r="B2691" t="str">
        <f t="shared" si="48"/>
        <v>0.00297%</v>
      </c>
      <c r="C2691" t="s">
        <v>10</v>
      </c>
      <c r="D2691" t="s">
        <v>10</v>
      </c>
      <c r="E2691" t="str">
        <f>"$ 22,948"</f>
        <v>$ 22,948</v>
      </c>
      <c r="F2691">
        <v>255</v>
      </c>
    </row>
    <row r="2692" spans="1:6">
      <c r="A2692" t="s">
        <v>2692</v>
      </c>
      <c r="B2692" t="str">
        <f t="shared" si="48"/>
        <v>0.00297%</v>
      </c>
      <c r="C2692" t="s">
        <v>10</v>
      </c>
      <c r="D2692" t="s">
        <v>10</v>
      </c>
      <c r="E2692" t="str">
        <f>"$ 22,952"</f>
        <v>$ 22,952</v>
      </c>
      <c r="F2692">
        <v>456</v>
      </c>
    </row>
    <row r="2693" spans="1:6">
      <c r="A2693" t="s">
        <v>2693</v>
      </c>
      <c r="B2693" t="str">
        <f t="shared" si="48"/>
        <v>0.00297%</v>
      </c>
      <c r="C2693" t="s">
        <v>10</v>
      </c>
      <c r="D2693" t="s">
        <v>10</v>
      </c>
      <c r="E2693" t="str">
        <f>"$ 22,960"</f>
        <v>$ 22,960</v>
      </c>
      <c r="F2693" s="1">
        <v>5693</v>
      </c>
    </row>
    <row r="2694" spans="1:6">
      <c r="A2694" t="s">
        <v>2694</v>
      </c>
      <c r="B2694" t="str">
        <f t="shared" si="48"/>
        <v>0.00297%</v>
      </c>
      <c r="C2694" t="s">
        <v>10</v>
      </c>
      <c r="D2694" t="s">
        <v>10</v>
      </c>
      <c r="E2694" t="str">
        <f>"$ 22,926"</f>
        <v>$ 22,926</v>
      </c>
      <c r="F2694" s="1">
        <v>3464</v>
      </c>
    </row>
    <row r="2695" spans="1:6">
      <c r="A2695" t="s">
        <v>2695</v>
      </c>
      <c r="B2695" t="str">
        <f t="shared" si="48"/>
        <v>0.00297%</v>
      </c>
      <c r="C2695" t="s">
        <v>10</v>
      </c>
      <c r="D2695" t="s">
        <v>10</v>
      </c>
      <c r="E2695" t="str">
        <f>"$ 22,907"</f>
        <v>$ 22,907</v>
      </c>
      <c r="F2695">
        <v>821</v>
      </c>
    </row>
    <row r="2696" spans="1:6">
      <c r="A2696" t="s">
        <v>2696</v>
      </c>
      <c r="B2696" t="str">
        <f t="shared" si="48"/>
        <v>0.00297%</v>
      </c>
      <c r="C2696" t="s">
        <v>10</v>
      </c>
      <c r="D2696" t="s">
        <v>10</v>
      </c>
      <c r="E2696" t="str">
        <f>"$ 22,962"</f>
        <v>$ 22,962</v>
      </c>
      <c r="F2696" s="1">
        <v>1114</v>
      </c>
    </row>
    <row r="2697" spans="1:6">
      <c r="A2697" t="s">
        <v>2697</v>
      </c>
      <c r="B2697" t="str">
        <f>"0.00296%"</f>
        <v>0.00296%</v>
      </c>
      <c r="C2697" t="s">
        <v>10</v>
      </c>
      <c r="D2697" t="s">
        <v>10</v>
      </c>
      <c r="E2697" t="str">
        <f>"$ 22,858"</f>
        <v>$ 22,858</v>
      </c>
      <c r="F2697">
        <v>165</v>
      </c>
    </row>
    <row r="2698" spans="1:6">
      <c r="A2698" t="s">
        <v>2698</v>
      </c>
      <c r="B2698" t="str">
        <f>"0.00296%"</f>
        <v>0.00296%</v>
      </c>
      <c r="C2698" t="s">
        <v>10</v>
      </c>
      <c r="D2698" t="s">
        <v>10</v>
      </c>
      <c r="E2698" t="str">
        <f>"$ 22,847"</f>
        <v>$ 22,847</v>
      </c>
      <c r="F2698">
        <v>602</v>
      </c>
    </row>
    <row r="2699" spans="1:6">
      <c r="A2699" t="s">
        <v>2699</v>
      </c>
      <c r="B2699" t="str">
        <f>"0.00296%"</f>
        <v>0.00296%</v>
      </c>
      <c r="C2699" t="s">
        <v>10</v>
      </c>
      <c r="D2699" t="s">
        <v>10</v>
      </c>
      <c r="E2699" t="str">
        <f>"$ 22,890"</f>
        <v>$ 22,890</v>
      </c>
      <c r="F2699" s="1">
        <v>2608</v>
      </c>
    </row>
    <row r="2700" spans="1:6">
      <c r="A2700" t="s">
        <v>2700</v>
      </c>
      <c r="B2700" t="str">
        <f>"0.00296%"</f>
        <v>0.00296%</v>
      </c>
      <c r="C2700" t="s">
        <v>10</v>
      </c>
      <c r="D2700" t="s">
        <v>10</v>
      </c>
      <c r="E2700" t="str">
        <f>"$ 22,824"</f>
        <v>$ 22,824</v>
      </c>
      <c r="F2700">
        <v>380</v>
      </c>
    </row>
    <row r="2701" spans="1:6">
      <c r="A2701" t="s">
        <v>2701</v>
      </c>
      <c r="B2701" t="str">
        <f>"0.00296%"</f>
        <v>0.00296%</v>
      </c>
      <c r="C2701" t="s">
        <v>10</v>
      </c>
      <c r="D2701" t="s">
        <v>10</v>
      </c>
      <c r="E2701" t="str">
        <f>"$ 22,863"</f>
        <v>$ 22,863</v>
      </c>
      <c r="F2701" s="1">
        <v>1031</v>
      </c>
    </row>
    <row r="2702" spans="1:6">
      <c r="A2702" t="s">
        <v>2702</v>
      </c>
      <c r="B2702" t="str">
        <f t="shared" ref="B2702:B2707" si="49">"0.00295%"</f>
        <v>0.00295%</v>
      </c>
      <c r="C2702" t="s">
        <v>10</v>
      </c>
      <c r="D2702" t="s">
        <v>10</v>
      </c>
      <c r="E2702" t="str">
        <f>"$ 22,807"</f>
        <v>$ 22,807</v>
      </c>
      <c r="F2702" s="1">
        <v>3349</v>
      </c>
    </row>
    <row r="2703" spans="1:6">
      <c r="A2703" t="s">
        <v>2703</v>
      </c>
      <c r="B2703" t="str">
        <f t="shared" si="49"/>
        <v>0.00295%</v>
      </c>
      <c r="C2703" t="s">
        <v>10</v>
      </c>
      <c r="D2703" t="s">
        <v>10</v>
      </c>
      <c r="E2703" t="str">
        <f>"$ 22,800"</f>
        <v>$ 22,800</v>
      </c>
      <c r="F2703" s="1">
        <v>2752</v>
      </c>
    </row>
    <row r="2704" spans="1:6">
      <c r="A2704" t="s">
        <v>2704</v>
      </c>
      <c r="B2704" t="str">
        <f t="shared" si="49"/>
        <v>0.00295%</v>
      </c>
      <c r="C2704" t="s">
        <v>10</v>
      </c>
      <c r="D2704" t="s">
        <v>10</v>
      </c>
      <c r="E2704" t="str">
        <f>"$ 22,818"</f>
        <v>$ 22,818</v>
      </c>
      <c r="F2704" s="1">
        <v>10209</v>
      </c>
    </row>
    <row r="2705" spans="1:6">
      <c r="A2705" t="s">
        <v>2705</v>
      </c>
      <c r="B2705" t="str">
        <f t="shared" si="49"/>
        <v>0.00295%</v>
      </c>
      <c r="C2705" t="s">
        <v>10</v>
      </c>
      <c r="D2705" t="s">
        <v>10</v>
      </c>
      <c r="E2705" t="str">
        <f>"$ 22,784"</f>
        <v>$ 22,784</v>
      </c>
      <c r="F2705" s="1">
        <v>2064</v>
      </c>
    </row>
    <row r="2706" spans="1:6">
      <c r="A2706" t="s">
        <v>2706</v>
      </c>
      <c r="B2706" t="str">
        <f t="shared" si="49"/>
        <v>0.00295%</v>
      </c>
      <c r="C2706" t="s">
        <v>10</v>
      </c>
      <c r="D2706" t="s">
        <v>10</v>
      </c>
      <c r="E2706" t="str">
        <f>"$ 22,794"</f>
        <v>$ 22,794</v>
      </c>
      <c r="F2706" s="1">
        <v>10443</v>
      </c>
    </row>
    <row r="2707" spans="1:6">
      <c r="A2707" t="s">
        <v>2707</v>
      </c>
      <c r="B2707" t="str">
        <f t="shared" si="49"/>
        <v>0.00295%</v>
      </c>
      <c r="C2707" t="s">
        <v>10</v>
      </c>
      <c r="D2707" t="s">
        <v>10</v>
      </c>
      <c r="E2707" t="str">
        <f>"$ 22,800"</f>
        <v>$ 22,800</v>
      </c>
      <c r="F2707">
        <v>195</v>
      </c>
    </row>
    <row r="2708" spans="1:6">
      <c r="A2708" t="s">
        <v>2708</v>
      </c>
      <c r="B2708" t="str">
        <f>"0.00294%"</f>
        <v>0.00294%</v>
      </c>
      <c r="C2708" t="s">
        <v>10</v>
      </c>
      <c r="D2708" t="s">
        <v>10</v>
      </c>
      <c r="E2708" t="str">
        <f>"$ 22,718"</f>
        <v>$ 22,718</v>
      </c>
      <c r="F2708">
        <v>747</v>
      </c>
    </row>
    <row r="2709" spans="1:6">
      <c r="A2709" t="s">
        <v>2709</v>
      </c>
      <c r="B2709" t="str">
        <f>"0.00293%"</f>
        <v>0.00293%</v>
      </c>
      <c r="C2709" t="s">
        <v>10</v>
      </c>
      <c r="D2709" t="s">
        <v>10</v>
      </c>
      <c r="E2709" t="str">
        <f>"$ 22,640"</f>
        <v>$ 22,640</v>
      </c>
      <c r="F2709">
        <v>497</v>
      </c>
    </row>
    <row r="2710" spans="1:6">
      <c r="A2710" t="s">
        <v>2710</v>
      </c>
      <c r="B2710" t="str">
        <f>"0.00293%"</f>
        <v>0.00293%</v>
      </c>
      <c r="C2710" t="s">
        <v>10</v>
      </c>
      <c r="D2710" t="s">
        <v>10</v>
      </c>
      <c r="E2710" t="str">
        <f>"$ 22,617"</f>
        <v>$ 22,617</v>
      </c>
      <c r="F2710">
        <v>465</v>
      </c>
    </row>
    <row r="2711" spans="1:6">
      <c r="A2711" t="s">
        <v>2711</v>
      </c>
      <c r="B2711" t="str">
        <f>"0.00292%"</f>
        <v>0.00292%</v>
      </c>
      <c r="C2711" t="s">
        <v>10</v>
      </c>
      <c r="D2711" t="s">
        <v>10</v>
      </c>
      <c r="E2711" t="str">
        <f>"$ 22,512"</f>
        <v>$ 22,512</v>
      </c>
      <c r="F2711" s="1">
        <v>15886</v>
      </c>
    </row>
    <row r="2712" spans="1:6">
      <c r="A2712" t="s">
        <v>2712</v>
      </c>
      <c r="B2712" t="str">
        <f>"0.00292%"</f>
        <v>0.00292%</v>
      </c>
      <c r="C2712" t="s">
        <v>10</v>
      </c>
      <c r="D2712" t="s">
        <v>10</v>
      </c>
      <c r="E2712" t="str">
        <f>"$ 22,510"</f>
        <v>$ 22,510</v>
      </c>
      <c r="F2712">
        <v>299</v>
      </c>
    </row>
    <row r="2713" spans="1:6">
      <c r="A2713" t="s">
        <v>2713</v>
      </c>
      <c r="B2713" t="str">
        <f>"0.00292%"</f>
        <v>0.00292%</v>
      </c>
      <c r="C2713" t="s">
        <v>10</v>
      </c>
      <c r="D2713" t="s">
        <v>10</v>
      </c>
      <c r="E2713" t="str">
        <f>"$ 22,518"</f>
        <v>$ 22,518</v>
      </c>
      <c r="F2713" s="1">
        <v>1702</v>
      </c>
    </row>
    <row r="2714" spans="1:6">
      <c r="A2714" t="s">
        <v>2714</v>
      </c>
      <c r="B2714" t="str">
        <f t="shared" ref="B2714:B2720" si="50">"0.00291%"</f>
        <v>0.00291%</v>
      </c>
      <c r="C2714" t="s">
        <v>10</v>
      </c>
      <c r="D2714" t="s">
        <v>10</v>
      </c>
      <c r="E2714" t="str">
        <f>"$ 22,447"</f>
        <v>$ 22,447</v>
      </c>
      <c r="F2714">
        <v>640</v>
      </c>
    </row>
    <row r="2715" spans="1:6">
      <c r="A2715" t="s">
        <v>2715</v>
      </c>
      <c r="B2715" t="str">
        <f t="shared" si="50"/>
        <v>0.00291%</v>
      </c>
      <c r="C2715" t="s">
        <v>10</v>
      </c>
      <c r="D2715" t="s">
        <v>10</v>
      </c>
      <c r="E2715" t="str">
        <f>"$ 22,489"</f>
        <v>$ 22,489</v>
      </c>
      <c r="F2715" s="1">
        <v>1122</v>
      </c>
    </row>
    <row r="2716" spans="1:6">
      <c r="A2716" t="s">
        <v>2716</v>
      </c>
      <c r="B2716" t="str">
        <f t="shared" si="50"/>
        <v>0.00291%</v>
      </c>
      <c r="C2716" t="s">
        <v>10</v>
      </c>
      <c r="D2716" t="s">
        <v>10</v>
      </c>
      <c r="E2716" t="str">
        <f>"$ 22,470"</f>
        <v>$ 22,470</v>
      </c>
      <c r="F2716">
        <v>240</v>
      </c>
    </row>
    <row r="2717" spans="1:6">
      <c r="A2717" t="s">
        <v>2717</v>
      </c>
      <c r="B2717" t="str">
        <f t="shared" si="50"/>
        <v>0.00291%</v>
      </c>
      <c r="C2717" t="s">
        <v>10</v>
      </c>
      <c r="D2717" t="s">
        <v>10</v>
      </c>
      <c r="E2717" t="str">
        <f>"$ 22,441"</f>
        <v>$ 22,441</v>
      </c>
      <c r="F2717">
        <v>78</v>
      </c>
    </row>
    <row r="2718" spans="1:6">
      <c r="A2718" t="s">
        <v>2718</v>
      </c>
      <c r="B2718" t="str">
        <f t="shared" si="50"/>
        <v>0.00291%</v>
      </c>
      <c r="C2718" t="s">
        <v>10</v>
      </c>
      <c r="D2718" t="s">
        <v>10</v>
      </c>
      <c r="E2718" t="str">
        <f>"$ 22,473"</f>
        <v>$ 22,473</v>
      </c>
      <c r="F2718">
        <v>660</v>
      </c>
    </row>
    <row r="2719" spans="1:6">
      <c r="A2719" t="s">
        <v>2719</v>
      </c>
      <c r="B2719" t="str">
        <f t="shared" si="50"/>
        <v>0.00291%</v>
      </c>
      <c r="C2719" t="s">
        <v>10</v>
      </c>
      <c r="D2719" t="s">
        <v>10</v>
      </c>
      <c r="E2719" t="str">
        <f>"$ 22,445"</f>
        <v>$ 22,445</v>
      </c>
      <c r="F2719" s="1">
        <v>27001</v>
      </c>
    </row>
    <row r="2720" spans="1:6">
      <c r="A2720" t="s">
        <v>2720</v>
      </c>
      <c r="B2720" t="str">
        <f t="shared" si="50"/>
        <v>0.00291%</v>
      </c>
      <c r="C2720" t="s">
        <v>10</v>
      </c>
      <c r="D2720" t="s">
        <v>10</v>
      </c>
      <c r="E2720" t="str">
        <f>"$ 22,454"</f>
        <v>$ 22,454</v>
      </c>
      <c r="F2720" s="1">
        <v>5608</v>
      </c>
    </row>
    <row r="2721" spans="1:6">
      <c r="A2721" t="s">
        <v>2721</v>
      </c>
      <c r="B2721" t="str">
        <f>"0.00290%"</f>
        <v>0.00290%</v>
      </c>
      <c r="C2721" t="s">
        <v>10</v>
      </c>
      <c r="D2721" t="s">
        <v>10</v>
      </c>
      <c r="E2721" t="str">
        <f>"$ 22,366"</f>
        <v>$ 22,366</v>
      </c>
      <c r="F2721">
        <v>241</v>
      </c>
    </row>
    <row r="2722" spans="1:6">
      <c r="A2722" t="s">
        <v>2722</v>
      </c>
      <c r="B2722" t="str">
        <f>"0.00290%"</f>
        <v>0.00290%</v>
      </c>
      <c r="C2722" t="s">
        <v>10</v>
      </c>
      <c r="D2722" t="s">
        <v>10</v>
      </c>
      <c r="E2722" t="str">
        <f>"$ 22,381"</f>
        <v>$ 22,381</v>
      </c>
      <c r="F2722" s="1">
        <v>1821</v>
      </c>
    </row>
    <row r="2723" spans="1:6">
      <c r="A2723" t="s">
        <v>2723</v>
      </c>
      <c r="B2723" t="str">
        <f>"0.00290%"</f>
        <v>0.00290%</v>
      </c>
      <c r="C2723" t="s">
        <v>10</v>
      </c>
      <c r="D2723" t="s">
        <v>10</v>
      </c>
      <c r="E2723" t="str">
        <f>"$ 22,409"</f>
        <v>$ 22,409</v>
      </c>
      <c r="F2723">
        <v>117</v>
      </c>
    </row>
    <row r="2724" spans="1:6">
      <c r="A2724" t="s">
        <v>2724</v>
      </c>
      <c r="B2724" t="str">
        <f>"0.00290%"</f>
        <v>0.00290%</v>
      </c>
      <c r="C2724" t="s">
        <v>10</v>
      </c>
      <c r="D2724" t="s">
        <v>10</v>
      </c>
      <c r="E2724" t="str">
        <f>"$ 22,384"</f>
        <v>$ 22,384</v>
      </c>
      <c r="F2724" s="1">
        <v>1196</v>
      </c>
    </row>
    <row r="2725" spans="1:6">
      <c r="A2725" t="s">
        <v>2725</v>
      </c>
      <c r="B2725" t="str">
        <f t="shared" ref="B2725:B2735" si="51">"0.00289%"</f>
        <v>0.00289%</v>
      </c>
      <c r="C2725" t="s">
        <v>10</v>
      </c>
      <c r="D2725" t="s">
        <v>10</v>
      </c>
      <c r="E2725" t="str">
        <f>"$ 22,334"</f>
        <v>$ 22,334</v>
      </c>
      <c r="F2725">
        <v>627</v>
      </c>
    </row>
    <row r="2726" spans="1:6">
      <c r="A2726" t="s">
        <v>2726</v>
      </c>
      <c r="B2726" t="str">
        <f t="shared" si="51"/>
        <v>0.00289%</v>
      </c>
      <c r="C2726" t="s">
        <v>10</v>
      </c>
      <c r="D2726" t="s">
        <v>10</v>
      </c>
      <c r="E2726" t="str">
        <f>"$ 22,287"</f>
        <v>$ 22,287</v>
      </c>
      <c r="F2726">
        <v>261</v>
      </c>
    </row>
    <row r="2727" spans="1:6">
      <c r="A2727" t="s">
        <v>2727</v>
      </c>
      <c r="B2727" t="str">
        <f t="shared" si="51"/>
        <v>0.00289%</v>
      </c>
      <c r="C2727" t="s">
        <v>10</v>
      </c>
      <c r="D2727" t="s">
        <v>10</v>
      </c>
      <c r="E2727" t="str">
        <f>"$ 22,344"</f>
        <v>$ 22,344</v>
      </c>
      <c r="F2727" s="1">
        <v>9180</v>
      </c>
    </row>
    <row r="2728" spans="1:6">
      <c r="A2728" t="s">
        <v>2728</v>
      </c>
      <c r="B2728" t="str">
        <f t="shared" si="51"/>
        <v>0.00289%</v>
      </c>
      <c r="C2728" t="s">
        <v>10</v>
      </c>
      <c r="D2728" t="s">
        <v>10</v>
      </c>
      <c r="E2728" t="str">
        <f>"$ 22,281"</f>
        <v>$ 22,281</v>
      </c>
      <c r="F2728">
        <v>247</v>
      </c>
    </row>
    <row r="2729" spans="1:6">
      <c r="A2729" t="s">
        <v>2729</v>
      </c>
      <c r="B2729" t="str">
        <f t="shared" si="51"/>
        <v>0.00289%</v>
      </c>
      <c r="C2729" t="s">
        <v>10</v>
      </c>
      <c r="D2729" t="s">
        <v>10</v>
      </c>
      <c r="E2729" t="str">
        <f>"$ 22,278"</f>
        <v>$ 22,278</v>
      </c>
      <c r="F2729" s="1">
        <v>1038</v>
      </c>
    </row>
    <row r="2730" spans="1:6">
      <c r="A2730" t="s">
        <v>2730</v>
      </c>
      <c r="B2730" t="str">
        <f t="shared" si="51"/>
        <v>0.00289%</v>
      </c>
      <c r="C2730" t="s">
        <v>10</v>
      </c>
      <c r="D2730" t="s">
        <v>10</v>
      </c>
      <c r="E2730" t="str">
        <f>"$ 22,282"</f>
        <v>$ 22,282</v>
      </c>
      <c r="F2730" s="1">
        <v>1320</v>
      </c>
    </row>
    <row r="2731" spans="1:6">
      <c r="A2731" t="s">
        <v>2731</v>
      </c>
      <c r="B2731" t="str">
        <f t="shared" si="51"/>
        <v>0.00289%</v>
      </c>
      <c r="C2731" t="s">
        <v>10</v>
      </c>
      <c r="D2731" t="s">
        <v>10</v>
      </c>
      <c r="E2731" t="str">
        <f>"$ 22,329"</f>
        <v>$ 22,329</v>
      </c>
      <c r="F2731" s="1">
        <v>4667</v>
      </c>
    </row>
    <row r="2732" spans="1:6">
      <c r="A2732" t="s">
        <v>2732</v>
      </c>
      <c r="B2732" t="str">
        <f t="shared" si="51"/>
        <v>0.00289%</v>
      </c>
      <c r="C2732" t="s">
        <v>10</v>
      </c>
      <c r="D2732" t="s">
        <v>10</v>
      </c>
      <c r="E2732" t="str">
        <f>"$ 22,332"</f>
        <v>$ 22,332</v>
      </c>
      <c r="F2732" s="1">
        <v>1708</v>
      </c>
    </row>
    <row r="2733" spans="1:6">
      <c r="A2733" t="s">
        <v>2733</v>
      </c>
      <c r="B2733" t="str">
        <f t="shared" si="51"/>
        <v>0.00289%</v>
      </c>
      <c r="C2733" t="s">
        <v>10</v>
      </c>
      <c r="D2733" t="s">
        <v>10</v>
      </c>
      <c r="E2733" t="str">
        <f>"$ 22,292"</f>
        <v>$ 22,292</v>
      </c>
      <c r="F2733">
        <v>772</v>
      </c>
    </row>
    <row r="2734" spans="1:6">
      <c r="A2734" t="s">
        <v>2734</v>
      </c>
      <c r="B2734" t="str">
        <f t="shared" si="51"/>
        <v>0.00289%</v>
      </c>
      <c r="C2734" t="s">
        <v>10</v>
      </c>
      <c r="D2734" t="s">
        <v>10</v>
      </c>
      <c r="E2734" t="str">
        <f>"$ 22,326"</f>
        <v>$ 22,326</v>
      </c>
      <c r="F2734" s="1">
        <v>1078</v>
      </c>
    </row>
    <row r="2735" spans="1:6">
      <c r="A2735" t="s">
        <v>2735</v>
      </c>
      <c r="B2735" t="str">
        <f t="shared" si="51"/>
        <v>0.00289%</v>
      </c>
      <c r="C2735" t="s">
        <v>10</v>
      </c>
      <c r="D2735" t="s">
        <v>10</v>
      </c>
      <c r="E2735" t="str">
        <f>"$ 22,280"</f>
        <v>$ 22,280</v>
      </c>
      <c r="F2735" s="1">
        <v>11681</v>
      </c>
    </row>
    <row r="2736" spans="1:6">
      <c r="A2736" t="s">
        <v>2736</v>
      </c>
      <c r="B2736" t="str">
        <f>"0.00288%"</f>
        <v>0.00288%</v>
      </c>
      <c r="C2736" t="s">
        <v>10</v>
      </c>
      <c r="D2736" t="s">
        <v>10</v>
      </c>
      <c r="E2736" t="str">
        <f>"$ 22,228"</f>
        <v>$ 22,228</v>
      </c>
      <c r="F2736" s="1">
        <v>12084</v>
      </c>
    </row>
    <row r="2737" spans="1:6">
      <c r="A2737" t="s">
        <v>2737</v>
      </c>
      <c r="B2737" t="str">
        <f>"0.00288%"</f>
        <v>0.00288%</v>
      </c>
      <c r="C2737" t="s">
        <v>10</v>
      </c>
      <c r="D2737" t="s">
        <v>10</v>
      </c>
      <c r="E2737" t="str">
        <f>"$ 22,273"</f>
        <v>$ 22,273</v>
      </c>
      <c r="F2737">
        <v>455</v>
      </c>
    </row>
    <row r="2738" spans="1:6">
      <c r="A2738" t="s">
        <v>2738</v>
      </c>
      <c r="B2738" t="str">
        <f>"0.00288%"</f>
        <v>0.00288%</v>
      </c>
      <c r="C2738" t="s">
        <v>10</v>
      </c>
      <c r="D2738" t="s">
        <v>10</v>
      </c>
      <c r="E2738" t="str">
        <f>"$ 22,273"</f>
        <v>$ 22,273</v>
      </c>
      <c r="F2738">
        <v>475</v>
      </c>
    </row>
    <row r="2739" spans="1:6">
      <c r="A2739" t="s">
        <v>2739</v>
      </c>
      <c r="B2739" t="str">
        <f t="shared" ref="B2739:B2745" si="52">"0.00287%"</f>
        <v>0.00287%</v>
      </c>
      <c r="C2739" t="s">
        <v>10</v>
      </c>
      <c r="D2739" t="s">
        <v>10</v>
      </c>
      <c r="E2739" t="str">
        <f>"$ 22,167"</f>
        <v>$ 22,167</v>
      </c>
      <c r="F2739" s="1">
        <v>4289</v>
      </c>
    </row>
    <row r="2740" spans="1:6">
      <c r="A2740" t="s">
        <v>2740</v>
      </c>
      <c r="B2740" t="str">
        <f t="shared" si="52"/>
        <v>0.00287%</v>
      </c>
      <c r="C2740" t="s">
        <v>10</v>
      </c>
      <c r="D2740" t="s">
        <v>10</v>
      </c>
      <c r="E2740" t="str">
        <f>"$ 22,149"</f>
        <v>$ 22,149</v>
      </c>
      <c r="F2740">
        <v>950</v>
      </c>
    </row>
    <row r="2741" spans="1:6">
      <c r="A2741" t="s">
        <v>2741</v>
      </c>
      <c r="B2741" t="str">
        <f t="shared" si="52"/>
        <v>0.00287%</v>
      </c>
      <c r="C2741" t="s">
        <v>10</v>
      </c>
      <c r="D2741" t="s">
        <v>10</v>
      </c>
      <c r="E2741" t="str">
        <f>"$ 22,182"</f>
        <v>$ 22,182</v>
      </c>
      <c r="F2741">
        <v>313</v>
      </c>
    </row>
    <row r="2742" spans="1:6">
      <c r="A2742" t="s">
        <v>2742</v>
      </c>
      <c r="B2742" t="str">
        <f t="shared" si="52"/>
        <v>0.00287%</v>
      </c>
      <c r="C2742" t="s">
        <v>10</v>
      </c>
      <c r="D2742" t="s">
        <v>10</v>
      </c>
      <c r="E2742" t="str">
        <f>"$ 22,199"</f>
        <v>$ 22,199</v>
      </c>
      <c r="F2742">
        <v>73</v>
      </c>
    </row>
    <row r="2743" spans="1:6">
      <c r="A2743" t="s">
        <v>2743</v>
      </c>
      <c r="B2743" t="str">
        <f t="shared" si="52"/>
        <v>0.00287%</v>
      </c>
      <c r="C2743" t="s">
        <v>10</v>
      </c>
      <c r="D2743" t="s">
        <v>10</v>
      </c>
      <c r="E2743" t="str">
        <f>"$ 22,171"</f>
        <v>$ 22,171</v>
      </c>
      <c r="F2743" s="1">
        <v>9854</v>
      </c>
    </row>
    <row r="2744" spans="1:6">
      <c r="A2744" t="s">
        <v>2744</v>
      </c>
      <c r="B2744" t="str">
        <f t="shared" si="52"/>
        <v>0.00287%</v>
      </c>
      <c r="C2744" t="s">
        <v>10</v>
      </c>
      <c r="D2744" t="s">
        <v>10</v>
      </c>
      <c r="E2744" t="str">
        <f>"$ 22,191"</f>
        <v>$ 22,191</v>
      </c>
      <c r="F2744">
        <v>541</v>
      </c>
    </row>
    <row r="2745" spans="1:6">
      <c r="A2745" t="s">
        <v>2745</v>
      </c>
      <c r="B2745" t="str">
        <f t="shared" si="52"/>
        <v>0.00287%</v>
      </c>
      <c r="C2745" t="s">
        <v>10</v>
      </c>
      <c r="D2745" t="s">
        <v>10</v>
      </c>
      <c r="E2745" t="str">
        <f>"$ 22,129"</f>
        <v>$ 22,129</v>
      </c>
      <c r="F2745">
        <v>478</v>
      </c>
    </row>
    <row r="2746" spans="1:6">
      <c r="A2746" t="s">
        <v>2746</v>
      </c>
      <c r="B2746" t="str">
        <f>"0.00286%"</f>
        <v>0.00286%</v>
      </c>
      <c r="C2746" t="s">
        <v>10</v>
      </c>
      <c r="D2746" t="s">
        <v>10</v>
      </c>
      <c r="E2746" t="str">
        <f>"$ 22,057"</f>
        <v>$ 22,057</v>
      </c>
      <c r="F2746">
        <v>264</v>
      </c>
    </row>
    <row r="2747" spans="1:6">
      <c r="A2747" t="s">
        <v>2747</v>
      </c>
      <c r="B2747" t="str">
        <f>"0.00286%"</f>
        <v>0.00286%</v>
      </c>
      <c r="C2747" t="s">
        <v>10</v>
      </c>
      <c r="D2747" t="s">
        <v>10</v>
      </c>
      <c r="E2747" t="str">
        <f>"$ 22,105"</f>
        <v>$ 22,105</v>
      </c>
      <c r="F2747" s="1">
        <v>12091</v>
      </c>
    </row>
    <row r="2748" spans="1:6">
      <c r="A2748" t="s">
        <v>2748</v>
      </c>
      <c r="B2748" t="str">
        <f t="shared" ref="B2748:B2758" si="53">"0.00285%"</f>
        <v>0.00285%</v>
      </c>
      <c r="C2748" t="s">
        <v>10</v>
      </c>
      <c r="D2748" t="s">
        <v>10</v>
      </c>
      <c r="E2748" t="str">
        <f>"$ 22,030"</f>
        <v>$ 22,030</v>
      </c>
      <c r="F2748">
        <v>565</v>
      </c>
    </row>
    <row r="2749" spans="1:6">
      <c r="A2749" t="s">
        <v>2749</v>
      </c>
      <c r="B2749" t="str">
        <f t="shared" si="53"/>
        <v>0.00285%</v>
      </c>
      <c r="C2749" t="s">
        <v>10</v>
      </c>
      <c r="D2749" t="s">
        <v>10</v>
      </c>
      <c r="E2749" t="str">
        <f>"$ 22,035"</f>
        <v>$ 22,035</v>
      </c>
      <c r="F2749" s="1">
        <v>1437</v>
      </c>
    </row>
    <row r="2750" spans="1:6">
      <c r="A2750" t="s">
        <v>2750</v>
      </c>
      <c r="B2750" t="str">
        <f t="shared" si="53"/>
        <v>0.00285%</v>
      </c>
      <c r="C2750" t="s">
        <v>10</v>
      </c>
      <c r="D2750" t="s">
        <v>10</v>
      </c>
      <c r="E2750" t="str">
        <f>"$ 22,046"</f>
        <v>$ 22,046</v>
      </c>
      <c r="F2750" s="1">
        <v>7684</v>
      </c>
    </row>
    <row r="2751" spans="1:6">
      <c r="A2751" t="s">
        <v>2751</v>
      </c>
      <c r="B2751" t="str">
        <f t="shared" si="53"/>
        <v>0.00285%</v>
      </c>
      <c r="C2751" t="s">
        <v>10</v>
      </c>
      <c r="D2751" t="s">
        <v>10</v>
      </c>
      <c r="E2751" t="str">
        <f>"$ 22,042"</f>
        <v>$ 22,042</v>
      </c>
      <c r="F2751">
        <v>287</v>
      </c>
    </row>
    <row r="2752" spans="1:6">
      <c r="A2752" t="s">
        <v>2752</v>
      </c>
      <c r="B2752" t="str">
        <f t="shared" si="53"/>
        <v>0.00285%</v>
      </c>
      <c r="C2752" t="s">
        <v>10</v>
      </c>
      <c r="D2752" t="s">
        <v>10</v>
      </c>
      <c r="E2752" t="str">
        <f>"$ 21,986"</f>
        <v>$ 21,986</v>
      </c>
      <c r="F2752" s="1">
        <v>8594</v>
      </c>
    </row>
    <row r="2753" spans="1:6">
      <c r="A2753" t="s">
        <v>2753</v>
      </c>
      <c r="B2753" t="str">
        <f t="shared" si="53"/>
        <v>0.00285%</v>
      </c>
      <c r="C2753" t="s">
        <v>10</v>
      </c>
      <c r="D2753" t="s">
        <v>10</v>
      </c>
      <c r="E2753" t="str">
        <f>"$ 22,035"</f>
        <v>$ 22,035</v>
      </c>
      <c r="F2753">
        <v>330</v>
      </c>
    </row>
    <row r="2754" spans="1:6">
      <c r="A2754" t="s">
        <v>2754</v>
      </c>
      <c r="B2754" t="str">
        <f t="shared" si="53"/>
        <v>0.00285%</v>
      </c>
      <c r="C2754" t="s">
        <v>10</v>
      </c>
      <c r="D2754" t="s">
        <v>10</v>
      </c>
      <c r="E2754" t="str">
        <f>"$ 22,010"</f>
        <v>$ 22,010</v>
      </c>
      <c r="F2754">
        <v>196</v>
      </c>
    </row>
    <row r="2755" spans="1:6">
      <c r="A2755" t="s">
        <v>2755</v>
      </c>
      <c r="B2755" t="str">
        <f t="shared" si="53"/>
        <v>0.00285%</v>
      </c>
      <c r="C2755" t="s">
        <v>10</v>
      </c>
      <c r="D2755" t="s">
        <v>10</v>
      </c>
      <c r="E2755" t="str">
        <f>"$ 22,003"</f>
        <v>$ 22,003</v>
      </c>
      <c r="F2755">
        <v>627</v>
      </c>
    </row>
    <row r="2756" spans="1:6">
      <c r="A2756" t="s">
        <v>2756</v>
      </c>
      <c r="B2756" t="str">
        <f t="shared" si="53"/>
        <v>0.00285%</v>
      </c>
      <c r="C2756" t="s">
        <v>10</v>
      </c>
      <c r="D2756" t="s">
        <v>10</v>
      </c>
      <c r="E2756" t="str">
        <f>"$ 21,975"</f>
        <v>$ 21,975</v>
      </c>
      <c r="F2756">
        <v>37</v>
      </c>
    </row>
    <row r="2757" spans="1:6">
      <c r="A2757" t="s">
        <v>2757</v>
      </c>
      <c r="B2757" t="str">
        <f t="shared" si="53"/>
        <v>0.00285%</v>
      </c>
      <c r="C2757" t="s">
        <v>10</v>
      </c>
      <c r="D2757" t="s">
        <v>10</v>
      </c>
      <c r="E2757" t="str">
        <f>"$ 21,975"</f>
        <v>$ 21,975</v>
      </c>
      <c r="F2757">
        <v>695</v>
      </c>
    </row>
    <row r="2758" spans="1:6">
      <c r="A2758" t="s">
        <v>2758</v>
      </c>
      <c r="B2758" t="str">
        <f t="shared" si="53"/>
        <v>0.00285%</v>
      </c>
      <c r="C2758" t="s">
        <v>10</v>
      </c>
      <c r="D2758" t="s">
        <v>10</v>
      </c>
      <c r="E2758" t="str">
        <f>"$ 21,975"</f>
        <v>$ 21,975</v>
      </c>
      <c r="F2758">
        <v>290</v>
      </c>
    </row>
    <row r="2759" spans="1:6">
      <c r="A2759" t="s">
        <v>2759</v>
      </c>
      <c r="B2759" t="str">
        <f t="shared" ref="B2759:B2770" si="54">"0.00284%"</f>
        <v>0.00284%</v>
      </c>
      <c r="C2759" t="s">
        <v>10</v>
      </c>
      <c r="D2759" t="s">
        <v>10</v>
      </c>
      <c r="E2759" t="str">
        <f>"$ 21,920"</f>
        <v>$ 21,920</v>
      </c>
      <c r="F2759" s="1">
        <v>4976</v>
      </c>
    </row>
    <row r="2760" spans="1:6">
      <c r="A2760" t="s">
        <v>2760</v>
      </c>
      <c r="B2760" t="str">
        <f t="shared" si="54"/>
        <v>0.00284%</v>
      </c>
      <c r="C2760" t="s">
        <v>10</v>
      </c>
      <c r="D2760" t="s">
        <v>10</v>
      </c>
      <c r="E2760" t="str">
        <f>"$ 21,934"</f>
        <v>$ 21,934</v>
      </c>
      <c r="F2760" s="1">
        <v>1145</v>
      </c>
    </row>
    <row r="2761" spans="1:6">
      <c r="A2761" t="s">
        <v>2761</v>
      </c>
      <c r="B2761" t="str">
        <f t="shared" si="54"/>
        <v>0.00284%</v>
      </c>
      <c r="C2761" t="s">
        <v>10</v>
      </c>
      <c r="D2761" t="s">
        <v>10</v>
      </c>
      <c r="E2761" t="str">
        <f>"$ 21,962"</f>
        <v>$ 21,962</v>
      </c>
      <c r="F2761" s="1">
        <v>72934</v>
      </c>
    </row>
    <row r="2762" spans="1:6">
      <c r="A2762" t="s">
        <v>2762</v>
      </c>
      <c r="B2762" t="str">
        <f t="shared" si="54"/>
        <v>0.00284%</v>
      </c>
      <c r="C2762" t="s">
        <v>10</v>
      </c>
      <c r="D2762" t="s">
        <v>10</v>
      </c>
      <c r="E2762" t="str">
        <f>"$ 21,920"</f>
        <v>$ 21,920</v>
      </c>
      <c r="F2762">
        <v>596</v>
      </c>
    </row>
    <row r="2763" spans="1:6">
      <c r="A2763" t="s">
        <v>2763</v>
      </c>
      <c r="B2763" t="str">
        <f t="shared" si="54"/>
        <v>0.00284%</v>
      </c>
      <c r="C2763" t="s">
        <v>10</v>
      </c>
      <c r="D2763" t="s">
        <v>10</v>
      </c>
      <c r="E2763" t="str">
        <f>"$ 21,911"</f>
        <v>$ 21,911</v>
      </c>
      <c r="F2763" s="1">
        <v>9363</v>
      </c>
    </row>
    <row r="2764" spans="1:6">
      <c r="A2764" t="s">
        <v>2764</v>
      </c>
      <c r="B2764" t="str">
        <f t="shared" si="54"/>
        <v>0.00284%</v>
      </c>
      <c r="C2764" t="s">
        <v>10</v>
      </c>
      <c r="D2764" t="s">
        <v>10</v>
      </c>
      <c r="E2764" t="str">
        <f>"$ 21,905"</f>
        <v>$ 21,905</v>
      </c>
      <c r="F2764">
        <v>230</v>
      </c>
    </row>
    <row r="2765" spans="1:6">
      <c r="A2765" t="s">
        <v>2765</v>
      </c>
      <c r="B2765" t="str">
        <f t="shared" si="54"/>
        <v>0.00284%</v>
      </c>
      <c r="C2765" t="s">
        <v>10</v>
      </c>
      <c r="D2765" t="s">
        <v>10</v>
      </c>
      <c r="E2765" t="str">
        <f>"$ 21,911"</f>
        <v>$ 21,911</v>
      </c>
      <c r="F2765">
        <v>754</v>
      </c>
    </row>
    <row r="2766" spans="1:6">
      <c r="A2766" t="s">
        <v>2766</v>
      </c>
      <c r="B2766" t="str">
        <f t="shared" si="54"/>
        <v>0.00284%</v>
      </c>
      <c r="C2766" t="s">
        <v>10</v>
      </c>
      <c r="D2766" t="s">
        <v>10</v>
      </c>
      <c r="E2766" t="str">
        <f>"$ 21,896"</f>
        <v>$ 21,896</v>
      </c>
      <c r="F2766" s="1">
        <v>1958</v>
      </c>
    </row>
    <row r="2767" spans="1:6">
      <c r="A2767" t="s">
        <v>2767</v>
      </c>
      <c r="B2767" t="str">
        <f t="shared" si="54"/>
        <v>0.00284%</v>
      </c>
      <c r="C2767" t="s">
        <v>10</v>
      </c>
      <c r="D2767" t="s">
        <v>10</v>
      </c>
      <c r="E2767" t="str">
        <f>"$ 21,924"</f>
        <v>$ 21,924</v>
      </c>
      <c r="F2767">
        <v>191</v>
      </c>
    </row>
    <row r="2768" spans="1:6">
      <c r="A2768" t="s">
        <v>2768</v>
      </c>
      <c r="B2768" t="str">
        <f t="shared" si="54"/>
        <v>0.00284%</v>
      </c>
      <c r="C2768" t="s">
        <v>10</v>
      </c>
      <c r="D2768" t="s">
        <v>10</v>
      </c>
      <c r="E2768" t="str">
        <f>"$ 21,910"</f>
        <v>$ 21,910</v>
      </c>
      <c r="F2768" s="1">
        <v>1331</v>
      </c>
    </row>
    <row r="2769" spans="1:6">
      <c r="A2769" t="s">
        <v>2769</v>
      </c>
      <c r="B2769" t="str">
        <f t="shared" si="54"/>
        <v>0.00284%</v>
      </c>
      <c r="C2769" t="s">
        <v>10</v>
      </c>
      <c r="D2769" t="s">
        <v>10</v>
      </c>
      <c r="E2769" t="str">
        <f>"$ 21,912"</f>
        <v>$ 21,912</v>
      </c>
      <c r="F2769">
        <v>296</v>
      </c>
    </row>
    <row r="2770" spans="1:6">
      <c r="A2770" t="s">
        <v>2770</v>
      </c>
      <c r="B2770" t="str">
        <f t="shared" si="54"/>
        <v>0.00284%</v>
      </c>
      <c r="C2770" t="s">
        <v>10</v>
      </c>
      <c r="D2770" t="s">
        <v>10</v>
      </c>
      <c r="E2770" t="str">
        <f>"$ 21,903"</f>
        <v>$ 21,903</v>
      </c>
      <c r="F2770" s="1">
        <v>1469</v>
      </c>
    </row>
    <row r="2771" spans="1:6">
      <c r="A2771" t="s">
        <v>2771</v>
      </c>
      <c r="B2771" t="str">
        <f>"0.00283%"</f>
        <v>0.00283%</v>
      </c>
      <c r="C2771" t="s">
        <v>10</v>
      </c>
      <c r="D2771" t="s">
        <v>10</v>
      </c>
      <c r="E2771" t="str">
        <f>"$ 21,837"</f>
        <v>$ 21,837</v>
      </c>
      <c r="F2771">
        <v>608</v>
      </c>
    </row>
    <row r="2772" spans="1:6">
      <c r="A2772" t="s">
        <v>2772</v>
      </c>
      <c r="B2772" t="str">
        <f>"0.00283%"</f>
        <v>0.00283%</v>
      </c>
      <c r="C2772" t="s">
        <v>10</v>
      </c>
      <c r="D2772" t="s">
        <v>10</v>
      </c>
      <c r="E2772" t="str">
        <f>"$ 21,853"</f>
        <v>$ 21,853</v>
      </c>
      <c r="F2772">
        <v>191</v>
      </c>
    </row>
    <row r="2773" spans="1:6">
      <c r="A2773" t="s">
        <v>2773</v>
      </c>
      <c r="B2773" t="str">
        <f>"0.00283%"</f>
        <v>0.00283%</v>
      </c>
      <c r="C2773" t="s">
        <v>10</v>
      </c>
      <c r="D2773" t="s">
        <v>10</v>
      </c>
      <c r="E2773" t="str">
        <f>"$ 21,871"</f>
        <v>$ 21,871</v>
      </c>
      <c r="F2773" s="1">
        <v>9736</v>
      </c>
    </row>
    <row r="2774" spans="1:6">
      <c r="A2774" t="s">
        <v>2774</v>
      </c>
      <c r="B2774" t="str">
        <f>"0.00282%"</f>
        <v>0.00282%</v>
      </c>
      <c r="C2774" t="s">
        <v>10</v>
      </c>
      <c r="D2774" t="s">
        <v>10</v>
      </c>
      <c r="E2774" t="str">
        <f>"$ 21,783"</f>
        <v>$ 21,783</v>
      </c>
      <c r="F2774">
        <v>821</v>
      </c>
    </row>
    <row r="2775" spans="1:6">
      <c r="A2775" t="s">
        <v>2775</v>
      </c>
      <c r="B2775" t="str">
        <f>"0.00282%"</f>
        <v>0.00282%</v>
      </c>
      <c r="C2775" t="s">
        <v>10</v>
      </c>
      <c r="D2775" t="s">
        <v>10</v>
      </c>
      <c r="E2775" t="str">
        <f>"$ 21,741"</f>
        <v>$ 21,741</v>
      </c>
      <c r="F2775">
        <v>808</v>
      </c>
    </row>
    <row r="2776" spans="1:6">
      <c r="A2776" t="s">
        <v>2776</v>
      </c>
      <c r="B2776" t="str">
        <f>"0.00282%"</f>
        <v>0.00282%</v>
      </c>
      <c r="C2776" t="s">
        <v>10</v>
      </c>
      <c r="D2776" t="s">
        <v>10</v>
      </c>
      <c r="E2776" t="str">
        <f>"$ 21,738"</f>
        <v>$ 21,738</v>
      </c>
      <c r="F2776">
        <v>489</v>
      </c>
    </row>
    <row r="2777" spans="1:6">
      <c r="A2777" t="s">
        <v>2777</v>
      </c>
      <c r="B2777" t="str">
        <f>"0.00282%"</f>
        <v>0.00282%</v>
      </c>
      <c r="C2777" t="s">
        <v>10</v>
      </c>
      <c r="D2777" t="s">
        <v>10</v>
      </c>
      <c r="E2777" t="str">
        <f>"$ 21,749"</f>
        <v>$ 21,749</v>
      </c>
      <c r="F2777">
        <v>875</v>
      </c>
    </row>
    <row r="2778" spans="1:6">
      <c r="A2778" t="s">
        <v>2778</v>
      </c>
      <c r="B2778" t="str">
        <f>"0.00281%"</f>
        <v>0.00281%</v>
      </c>
      <c r="C2778" t="s">
        <v>10</v>
      </c>
      <c r="D2778" t="s">
        <v>10</v>
      </c>
      <c r="E2778" t="str">
        <f>"$ 21,732"</f>
        <v>$ 21,732</v>
      </c>
      <c r="F2778" s="1">
        <v>9907</v>
      </c>
    </row>
    <row r="2779" spans="1:6">
      <c r="A2779" t="s">
        <v>2779</v>
      </c>
      <c r="B2779" t="str">
        <f>"0.00281%"</f>
        <v>0.00281%</v>
      </c>
      <c r="C2779" t="s">
        <v>10</v>
      </c>
      <c r="D2779" t="s">
        <v>10</v>
      </c>
      <c r="E2779" t="str">
        <f>"$ 21,670"</f>
        <v>$ 21,670</v>
      </c>
      <c r="F2779">
        <v>314</v>
      </c>
    </row>
    <row r="2780" spans="1:6">
      <c r="A2780" t="s">
        <v>2780</v>
      </c>
      <c r="B2780" t="str">
        <f>"0.00281%"</f>
        <v>0.00281%</v>
      </c>
      <c r="C2780" t="s">
        <v>10</v>
      </c>
      <c r="D2780" t="s">
        <v>10</v>
      </c>
      <c r="E2780" t="str">
        <f>"$ 21,719"</f>
        <v>$ 21,719</v>
      </c>
      <c r="F2780" s="1">
        <v>1810</v>
      </c>
    </row>
    <row r="2781" spans="1:6">
      <c r="A2781" t="s">
        <v>2781</v>
      </c>
      <c r="B2781" t="str">
        <f>"0.00281%"</f>
        <v>0.00281%</v>
      </c>
      <c r="C2781" t="s">
        <v>10</v>
      </c>
      <c r="D2781" t="s">
        <v>10</v>
      </c>
      <c r="E2781" t="str">
        <f>"$ 21,730"</f>
        <v>$ 21,730</v>
      </c>
      <c r="F2781">
        <v>438</v>
      </c>
    </row>
    <row r="2782" spans="1:6">
      <c r="A2782" t="s">
        <v>2782</v>
      </c>
      <c r="B2782" t="str">
        <f>"0.00281%"</f>
        <v>0.00281%</v>
      </c>
      <c r="C2782" t="s">
        <v>10</v>
      </c>
      <c r="D2782" t="s">
        <v>10</v>
      </c>
      <c r="E2782" t="str">
        <f>"$ 21,679"</f>
        <v>$ 21,679</v>
      </c>
      <c r="F2782">
        <v>202</v>
      </c>
    </row>
    <row r="2783" spans="1:6">
      <c r="A2783" t="s">
        <v>2783</v>
      </c>
      <c r="B2783" t="str">
        <f t="shared" ref="B2783:B2791" si="55">"0.00280%"</f>
        <v>0.00280%</v>
      </c>
      <c r="C2783" t="s">
        <v>10</v>
      </c>
      <c r="D2783" t="s">
        <v>10</v>
      </c>
      <c r="E2783" t="str">
        <f>"$ 21,616"</f>
        <v>$ 21,616</v>
      </c>
      <c r="F2783" s="1">
        <v>3150</v>
      </c>
    </row>
    <row r="2784" spans="1:6">
      <c r="A2784" t="s">
        <v>2784</v>
      </c>
      <c r="B2784" t="str">
        <f t="shared" si="55"/>
        <v>0.00280%</v>
      </c>
      <c r="C2784" t="s">
        <v>10</v>
      </c>
      <c r="D2784" t="s">
        <v>10</v>
      </c>
      <c r="E2784" t="str">
        <f>"$ 21,628"</f>
        <v>$ 21,628</v>
      </c>
      <c r="F2784" s="1">
        <v>17006</v>
      </c>
    </row>
    <row r="2785" spans="1:6">
      <c r="A2785" t="s">
        <v>2785</v>
      </c>
      <c r="B2785" t="str">
        <f t="shared" si="55"/>
        <v>0.00280%</v>
      </c>
      <c r="C2785" t="s">
        <v>10</v>
      </c>
      <c r="D2785" t="s">
        <v>10</v>
      </c>
      <c r="E2785" t="str">
        <f>"$ 21,656"</f>
        <v>$ 21,656</v>
      </c>
      <c r="F2785">
        <v>128</v>
      </c>
    </row>
    <row r="2786" spans="1:6">
      <c r="A2786" t="s">
        <v>2786</v>
      </c>
      <c r="B2786" t="str">
        <f t="shared" si="55"/>
        <v>0.00280%</v>
      </c>
      <c r="C2786" t="s">
        <v>10</v>
      </c>
      <c r="D2786" t="s">
        <v>10</v>
      </c>
      <c r="E2786" t="str">
        <f>"$ 21,628"</f>
        <v>$ 21,628</v>
      </c>
      <c r="F2786" s="1">
        <v>2254</v>
      </c>
    </row>
    <row r="2787" spans="1:6">
      <c r="A2787" t="s">
        <v>2787</v>
      </c>
      <c r="B2787" t="str">
        <f t="shared" si="55"/>
        <v>0.00280%</v>
      </c>
      <c r="C2787" t="s">
        <v>10</v>
      </c>
      <c r="D2787" t="s">
        <v>10</v>
      </c>
      <c r="E2787" t="str">
        <f>"$ 21,590"</f>
        <v>$ 21,590</v>
      </c>
      <c r="F2787" s="1">
        <v>32751</v>
      </c>
    </row>
    <row r="2788" spans="1:6">
      <c r="A2788" t="s">
        <v>2788</v>
      </c>
      <c r="B2788" t="str">
        <f t="shared" si="55"/>
        <v>0.00280%</v>
      </c>
      <c r="C2788" t="s">
        <v>10</v>
      </c>
      <c r="D2788" t="s">
        <v>10</v>
      </c>
      <c r="E2788" t="str">
        <f>"$ 21,635"</f>
        <v>$ 21,635</v>
      </c>
      <c r="F2788">
        <v>730</v>
      </c>
    </row>
    <row r="2789" spans="1:6">
      <c r="A2789" t="s">
        <v>2789</v>
      </c>
      <c r="B2789" t="str">
        <f t="shared" si="55"/>
        <v>0.00280%</v>
      </c>
      <c r="C2789" t="s">
        <v>10</v>
      </c>
      <c r="D2789" t="s">
        <v>10</v>
      </c>
      <c r="E2789" t="str">
        <f>"$ 21,608"</f>
        <v>$ 21,608</v>
      </c>
      <c r="F2789" s="1">
        <v>1626</v>
      </c>
    </row>
    <row r="2790" spans="1:6">
      <c r="A2790" t="s">
        <v>2790</v>
      </c>
      <c r="B2790" t="str">
        <f t="shared" si="55"/>
        <v>0.00280%</v>
      </c>
      <c r="C2790" t="s">
        <v>10</v>
      </c>
      <c r="D2790" t="s">
        <v>10</v>
      </c>
      <c r="E2790" t="str">
        <f>"$ 21,589"</f>
        <v>$ 21,589</v>
      </c>
      <c r="F2790" s="1">
        <v>27205</v>
      </c>
    </row>
    <row r="2791" spans="1:6">
      <c r="A2791" t="s">
        <v>2791</v>
      </c>
      <c r="B2791" t="str">
        <f t="shared" si="55"/>
        <v>0.00280%</v>
      </c>
      <c r="C2791" t="s">
        <v>10</v>
      </c>
      <c r="D2791" t="s">
        <v>10</v>
      </c>
      <c r="E2791" t="str">
        <f>"$ 21,658"</f>
        <v>$ 21,658</v>
      </c>
      <c r="F2791">
        <v>362</v>
      </c>
    </row>
    <row r="2792" spans="1:6">
      <c r="A2792" t="s">
        <v>2792</v>
      </c>
      <c r="B2792" t="str">
        <f>"0.00279%"</f>
        <v>0.00279%</v>
      </c>
      <c r="C2792" t="s">
        <v>10</v>
      </c>
      <c r="D2792" t="s">
        <v>10</v>
      </c>
      <c r="E2792" t="str">
        <f>"$ 21,506"</f>
        <v>$ 21,506</v>
      </c>
      <c r="F2792" s="1">
        <v>1699</v>
      </c>
    </row>
    <row r="2793" spans="1:6">
      <c r="A2793" t="s">
        <v>2793</v>
      </c>
      <c r="B2793" t="str">
        <f>"0.00279%"</f>
        <v>0.00279%</v>
      </c>
      <c r="C2793" t="s">
        <v>10</v>
      </c>
      <c r="D2793" t="s">
        <v>10</v>
      </c>
      <c r="E2793" t="str">
        <f>"$ 21,526"</f>
        <v>$ 21,526</v>
      </c>
      <c r="F2793" s="1">
        <v>2708</v>
      </c>
    </row>
    <row r="2794" spans="1:6">
      <c r="A2794" t="s">
        <v>2794</v>
      </c>
      <c r="B2794" t="str">
        <f>"0.00279%"</f>
        <v>0.00279%</v>
      </c>
      <c r="C2794" t="s">
        <v>10</v>
      </c>
      <c r="D2794" t="s">
        <v>10</v>
      </c>
      <c r="E2794" t="str">
        <f>"$ 21,562"</f>
        <v>$ 21,562</v>
      </c>
      <c r="F2794">
        <v>682</v>
      </c>
    </row>
    <row r="2795" spans="1:6">
      <c r="A2795" t="s">
        <v>2795</v>
      </c>
      <c r="B2795" t="str">
        <f>"0.00279%"</f>
        <v>0.00279%</v>
      </c>
      <c r="C2795" t="s">
        <v>10</v>
      </c>
      <c r="D2795" t="s">
        <v>10</v>
      </c>
      <c r="E2795" t="str">
        <f>"$ 21,524"</f>
        <v>$ 21,524</v>
      </c>
      <c r="F2795" s="1">
        <v>4274</v>
      </c>
    </row>
    <row r="2796" spans="1:6">
      <c r="A2796" t="s">
        <v>2796</v>
      </c>
      <c r="B2796" t="str">
        <f>"0.00279%"</f>
        <v>0.00279%</v>
      </c>
      <c r="C2796" t="s">
        <v>10</v>
      </c>
      <c r="D2796" t="s">
        <v>10</v>
      </c>
      <c r="E2796" t="str">
        <f>"$ 21,555"</f>
        <v>$ 21,555</v>
      </c>
      <c r="F2796">
        <v>274</v>
      </c>
    </row>
    <row r="2797" spans="1:6">
      <c r="A2797" t="s">
        <v>2797</v>
      </c>
      <c r="B2797" t="str">
        <f t="shared" ref="B2797:B2806" si="56">"0.00278%"</f>
        <v>0.00278%</v>
      </c>
      <c r="C2797" t="s">
        <v>10</v>
      </c>
      <c r="D2797" t="s">
        <v>10</v>
      </c>
      <c r="E2797" t="str">
        <f>"$ 21,484"</f>
        <v>$ 21,484</v>
      </c>
      <c r="F2797">
        <v>426</v>
      </c>
    </row>
    <row r="2798" spans="1:6">
      <c r="A2798" t="s">
        <v>2798</v>
      </c>
      <c r="B2798" t="str">
        <f t="shared" si="56"/>
        <v>0.00278%</v>
      </c>
      <c r="C2798" t="s">
        <v>10</v>
      </c>
      <c r="D2798" t="s">
        <v>10</v>
      </c>
      <c r="E2798" t="str">
        <f>"$ 21,489"</f>
        <v>$ 21,489</v>
      </c>
      <c r="F2798" s="1">
        <v>1436</v>
      </c>
    </row>
    <row r="2799" spans="1:6">
      <c r="A2799" t="s">
        <v>2799</v>
      </c>
      <c r="B2799" t="str">
        <f t="shared" si="56"/>
        <v>0.00278%</v>
      </c>
      <c r="C2799" t="s">
        <v>10</v>
      </c>
      <c r="D2799" t="s">
        <v>10</v>
      </c>
      <c r="E2799" t="str">
        <f>"$ 21,474"</f>
        <v>$ 21,474</v>
      </c>
      <c r="F2799" s="1">
        <v>2856</v>
      </c>
    </row>
    <row r="2800" spans="1:6">
      <c r="A2800" t="s">
        <v>2800</v>
      </c>
      <c r="B2800" t="str">
        <f t="shared" si="56"/>
        <v>0.00278%</v>
      </c>
      <c r="C2800" t="s">
        <v>10</v>
      </c>
      <c r="D2800" t="s">
        <v>10</v>
      </c>
      <c r="E2800" t="str">
        <f>"$ 21,490"</f>
        <v>$ 21,490</v>
      </c>
      <c r="F2800" s="1">
        <v>1389</v>
      </c>
    </row>
    <row r="2801" spans="1:6">
      <c r="A2801" t="s">
        <v>2801</v>
      </c>
      <c r="B2801" t="str">
        <f t="shared" si="56"/>
        <v>0.00278%</v>
      </c>
      <c r="C2801" t="s">
        <v>10</v>
      </c>
      <c r="D2801" t="s">
        <v>10</v>
      </c>
      <c r="E2801" t="str">
        <f>"$ 21,450"</f>
        <v>$ 21,450</v>
      </c>
      <c r="F2801">
        <v>52</v>
      </c>
    </row>
    <row r="2802" spans="1:6">
      <c r="A2802" t="s">
        <v>2802</v>
      </c>
      <c r="B2802" t="str">
        <f t="shared" si="56"/>
        <v>0.00278%</v>
      </c>
      <c r="C2802" t="s">
        <v>10</v>
      </c>
      <c r="D2802" t="s">
        <v>10</v>
      </c>
      <c r="E2802" t="str">
        <f>"$ 21,467"</f>
        <v>$ 21,467</v>
      </c>
      <c r="F2802" s="1">
        <v>1278</v>
      </c>
    </row>
    <row r="2803" spans="1:6">
      <c r="A2803" t="s">
        <v>2803</v>
      </c>
      <c r="B2803" t="str">
        <f t="shared" si="56"/>
        <v>0.00278%</v>
      </c>
      <c r="C2803" t="s">
        <v>10</v>
      </c>
      <c r="D2803" t="s">
        <v>10</v>
      </c>
      <c r="E2803" t="str">
        <f>"$ 21,494"</f>
        <v>$ 21,494</v>
      </c>
      <c r="F2803">
        <v>313</v>
      </c>
    </row>
    <row r="2804" spans="1:6">
      <c r="A2804" t="s">
        <v>2804</v>
      </c>
      <c r="B2804" t="str">
        <f t="shared" si="56"/>
        <v>0.00278%</v>
      </c>
      <c r="C2804" t="s">
        <v>10</v>
      </c>
      <c r="D2804" t="s">
        <v>10</v>
      </c>
      <c r="E2804" t="str">
        <f>"$ 21,438"</f>
        <v>$ 21,438</v>
      </c>
      <c r="F2804">
        <v>393</v>
      </c>
    </row>
    <row r="2805" spans="1:6">
      <c r="A2805" t="s">
        <v>2805</v>
      </c>
      <c r="B2805" t="str">
        <f t="shared" si="56"/>
        <v>0.00278%</v>
      </c>
      <c r="C2805" t="s">
        <v>10</v>
      </c>
      <c r="D2805" t="s">
        <v>10</v>
      </c>
      <c r="E2805" t="str">
        <f>"$ 21,485"</f>
        <v>$ 21,485</v>
      </c>
      <c r="F2805">
        <v>312</v>
      </c>
    </row>
    <row r="2806" spans="1:6">
      <c r="A2806" t="s">
        <v>2806</v>
      </c>
      <c r="B2806" t="str">
        <f t="shared" si="56"/>
        <v>0.00278%</v>
      </c>
      <c r="C2806" t="s">
        <v>10</v>
      </c>
      <c r="D2806" t="s">
        <v>10</v>
      </c>
      <c r="E2806" t="str">
        <f>"$ 21,442"</f>
        <v>$ 21,442</v>
      </c>
      <c r="F2806">
        <v>577</v>
      </c>
    </row>
    <row r="2807" spans="1:6">
      <c r="A2807" t="s">
        <v>2807</v>
      </c>
      <c r="B2807" t="str">
        <f t="shared" ref="B2807:B2813" si="57">"0.00277%"</f>
        <v>0.00277%</v>
      </c>
      <c r="C2807" t="s">
        <v>10</v>
      </c>
      <c r="D2807" t="s">
        <v>10</v>
      </c>
      <c r="E2807" t="str">
        <f>"$ 21,378"</f>
        <v>$ 21,378</v>
      </c>
      <c r="F2807" s="1">
        <v>1433</v>
      </c>
    </row>
    <row r="2808" spans="1:6">
      <c r="A2808" t="s">
        <v>2808</v>
      </c>
      <c r="B2808" t="str">
        <f t="shared" si="57"/>
        <v>0.00277%</v>
      </c>
      <c r="C2808" t="s">
        <v>10</v>
      </c>
      <c r="D2808" t="s">
        <v>10</v>
      </c>
      <c r="E2808" t="str">
        <f>"$ 21,407"</f>
        <v>$ 21,407</v>
      </c>
      <c r="F2808">
        <v>431</v>
      </c>
    </row>
    <row r="2809" spans="1:6">
      <c r="A2809" t="s">
        <v>2809</v>
      </c>
      <c r="B2809" t="str">
        <f t="shared" si="57"/>
        <v>0.00277%</v>
      </c>
      <c r="C2809" t="s">
        <v>10</v>
      </c>
      <c r="D2809" t="s">
        <v>10</v>
      </c>
      <c r="E2809" t="str">
        <f>"$ 21,369"</f>
        <v>$ 21,369</v>
      </c>
      <c r="F2809">
        <v>339</v>
      </c>
    </row>
    <row r="2810" spans="1:6">
      <c r="A2810" t="s">
        <v>2810</v>
      </c>
      <c r="B2810" t="str">
        <f t="shared" si="57"/>
        <v>0.00277%</v>
      </c>
      <c r="C2810" t="s">
        <v>10</v>
      </c>
      <c r="D2810" t="s">
        <v>10</v>
      </c>
      <c r="E2810" t="str">
        <f>"$ 21,353"</f>
        <v>$ 21,353</v>
      </c>
      <c r="F2810">
        <v>466</v>
      </c>
    </row>
    <row r="2811" spans="1:6">
      <c r="A2811" t="s">
        <v>2811</v>
      </c>
      <c r="B2811" t="str">
        <f t="shared" si="57"/>
        <v>0.00277%</v>
      </c>
      <c r="C2811" t="s">
        <v>10</v>
      </c>
      <c r="D2811" t="s">
        <v>10</v>
      </c>
      <c r="E2811" t="str">
        <f>"$ 21,415"</f>
        <v>$ 21,415</v>
      </c>
      <c r="F2811" s="1">
        <v>1905</v>
      </c>
    </row>
    <row r="2812" spans="1:6">
      <c r="A2812" t="s">
        <v>2812</v>
      </c>
      <c r="B2812" t="str">
        <f t="shared" si="57"/>
        <v>0.00277%</v>
      </c>
      <c r="C2812" t="s">
        <v>10</v>
      </c>
      <c r="D2812" t="s">
        <v>10</v>
      </c>
      <c r="E2812" t="str">
        <f>"$ 21,374"</f>
        <v>$ 21,374</v>
      </c>
      <c r="F2812">
        <v>707</v>
      </c>
    </row>
    <row r="2813" spans="1:6">
      <c r="A2813" t="s">
        <v>2813</v>
      </c>
      <c r="B2813" t="str">
        <f t="shared" si="57"/>
        <v>0.00277%</v>
      </c>
      <c r="C2813" t="s">
        <v>10</v>
      </c>
      <c r="D2813" t="s">
        <v>10</v>
      </c>
      <c r="E2813" t="str">
        <f>"$ 21,396"</f>
        <v>$ 21,396</v>
      </c>
      <c r="F2813">
        <v>767</v>
      </c>
    </row>
    <row r="2814" spans="1:6">
      <c r="A2814" t="s">
        <v>2814</v>
      </c>
      <c r="B2814" t="str">
        <f t="shared" ref="B2814:B2820" si="58">"0.00276%"</f>
        <v>0.00276%</v>
      </c>
      <c r="C2814" t="s">
        <v>10</v>
      </c>
      <c r="D2814" t="s">
        <v>10</v>
      </c>
      <c r="E2814" t="str">
        <f>"$ 21,346"</f>
        <v>$ 21,346</v>
      </c>
      <c r="F2814" s="1">
        <v>2990</v>
      </c>
    </row>
    <row r="2815" spans="1:6">
      <c r="A2815" t="s">
        <v>2815</v>
      </c>
      <c r="B2815" t="str">
        <f t="shared" si="58"/>
        <v>0.00276%</v>
      </c>
      <c r="C2815" t="s">
        <v>10</v>
      </c>
      <c r="D2815" t="s">
        <v>10</v>
      </c>
      <c r="E2815" t="str">
        <f>"$ 21,327"</f>
        <v>$ 21,327</v>
      </c>
      <c r="F2815" s="1">
        <v>46619</v>
      </c>
    </row>
    <row r="2816" spans="1:6">
      <c r="A2816" t="s">
        <v>2816</v>
      </c>
      <c r="B2816" t="str">
        <f t="shared" si="58"/>
        <v>0.00276%</v>
      </c>
      <c r="C2816" t="s">
        <v>10</v>
      </c>
      <c r="D2816" t="s">
        <v>10</v>
      </c>
      <c r="E2816" t="str">
        <f>"$ 21,321"</f>
        <v>$ 21,321</v>
      </c>
      <c r="F2816" s="1">
        <v>16381</v>
      </c>
    </row>
    <row r="2817" spans="1:6">
      <c r="A2817" t="s">
        <v>2817</v>
      </c>
      <c r="B2817" t="str">
        <f t="shared" si="58"/>
        <v>0.00276%</v>
      </c>
      <c r="C2817" t="s">
        <v>10</v>
      </c>
      <c r="D2817" t="s">
        <v>10</v>
      </c>
      <c r="E2817" t="str">
        <f>"$ 21,319"</f>
        <v>$ 21,319</v>
      </c>
      <c r="F2817" s="1">
        <v>3711</v>
      </c>
    </row>
    <row r="2818" spans="1:6">
      <c r="A2818" t="s">
        <v>2818</v>
      </c>
      <c r="B2818" t="str">
        <f t="shared" si="58"/>
        <v>0.00276%</v>
      </c>
      <c r="C2818" t="s">
        <v>10</v>
      </c>
      <c r="D2818" t="s">
        <v>10</v>
      </c>
      <c r="E2818" t="str">
        <f>"$ 21,330"</f>
        <v>$ 21,330</v>
      </c>
      <c r="F2818">
        <v>795</v>
      </c>
    </row>
    <row r="2819" spans="1:6">
      <c r="A2819" t="s">
        <v>2819</v>
      </c>
      <c r="B2819" t="str">
        <f t="shared" si="58"/>
        <v>0.00276%</v>
      </c>
      <c r="C2819" t="s">
        <v>10</v>
      </c>
      <c r="D2819" t="s">
        <v>10</v>
      </c>
      <c r="E2819" t="str">
        <f>"$ 21,307"</f>
        <v>$ 21,307</v>
      </c>
      <c r="F2819">
        <v>468</v>
      </c>
    </row>
    <row r="2820" spans="1:6">
      <c r="A2820" t="s">
        <v>2820</v>
      </c>
      <c r="B2820" t="str">
        <f t="shared" si="58"/>
        <v>0.00276%</v>
      </c>
      <c r="C2820" t="s">
        <v>10</v>
      </c>
      <c r="D2820" t="s">
        <v>10</v>
      </c>
      <c r="E2820" t="str">
        <f>"$ 21,349"</f>
        <v>$ 21,349</v>
      </c>
      <c r="F2820">
        <v>417</v>
      </c>
    </row>
    <row r="2821" spans="1:6">
      <c r="A2821" t="s">
        <v>2821</v>
      </c>
      <c r="B2821" t="str">
        <f t="shared" ref="B2821:B2826" si="59">"0.00275%"</f>
        <v>0.00275%</v>
      </c>
      <c r="C2821" t="s">
        <v>10</v>
      </c>
      <c r="D2821" t="s">
        <v>10</v>
      </c>
      <c r="E2821" t="str">
        <f>"$ 21,213"</f>
        <v>$ 21,213</v>
      </c>
      <c r="F2821" s="1">
        <v>1953</v>
      </c>
    </row>
    <row r="2822" spans="1:6">
      <c r="A2822" t="s">
        <v>2822</v>
      </c>
      <c r="B2822" t="str">
        <f t="shared" si="59"/>
        <v>0.00275%</v>
      </c>
      <c r="C2822" t="s">
        <v>10</v>
      </c>
      <c r="D2822" t="s">
        <v>10</v>
      </c>
      <c r="E2822" t="str">
        <f>"$ 21,225"</f>
        <v>$ 21,225</v>
      </c>
      <c r="F2822">
        <v>521</v>
      </c>
    </row>
    <row r="2823" spans="1:6">
      <c r="A2823" t="s">
        <v>2823</v>
      </c>
      <c r="B2823" t="str">
        <f t="shared" si="59"/>
        <v>0.00275%</v>
      </c>
      <c r="C2823" t="s">
        <v>10</v>
      </c>
      <c r="D2823" t="s">
        <v>10</v>
      </c>
      <c r="E2823" t="str">
        <f>"$ 21,270"</f>
        <v>$ 21,270</v>
      </c>
      <c r="F2823" s="1">
        <v>90478</v>
      </c>
    </row>
    <row r="2824" spans="1:6">
      <c r="A2824" t="s">
        <v>2824</v>
      </c>
      <c r="B2824" t="str">
        <f t="shared" si="59"/>
        <v>0.00275%</v>
      </c>
      <c r="C2824" t="s">
        <v>10</v>
      </c>
      <c r="D2824" t="s">
        <v>10</v>
      </c>
      <c r="E2824" t="str">
        <f>"$ 21,231"</f>
        <v>$ 21,231</v>
      </c>
      <c r="F2824" s="1">
        <v>3149</v>
      </c>
    </row>
    <row r="2825" spans="1:6">
      <c r="A2825" t="s">
        <v>2825</v>
      </c>
      <c r="B2825" t="str">
        <f t="shared" si="59"/>
        <v>0.00275%</v>
      </c>
      <c r="C2825" t="s">
        <v>10</v>
      </c>
      <c r="D2825" t="s">
        <v>10</v>
      </c>
      <c r="E2825" t="str">
        <f>"$ 21,200"</f>
        <v>$ 21,200</v>
      </c>
      <c r="F2825">
        <v>223</v>
      </c>
    </row>
    <row r="2826" spans="1:6">
      <c r="A2826" t="s">
        <v>2826</v>
      </c>
      <c r="B2826" t="str">
        <f t="shared" si="59"/>
        <v>0.00275%</v>
      </c>
      <c r="C2826" t="s">
        <v>10</v>
      </c>
      <c r="D2826" t="s">
        <v>10</v>
      </c>
      <c r="E2826" t="str">
        <f>"$ 21,234"</f>
        <v>$ 21,234</v>
      </c>
      <c r="F2826">
        <v>233</v>
      </c>
    </row>
    <row r="2827" spans="1:6">
      <c r="A2827" t="s">
        <v>2827</v>
      </c>
      <c r="B2827" t="str">
        <f t="shared" ref="B2827:B2836" si="60">"0.00274%"</f>
        <v>0.00274%</v>
      </c>
      <c r="C2827" t="s">
        <v>10</v>
      </c>
      <c r="D2827" t="s">
        <v>10</v>
      </c>
      <c r="E2827" t="str">
        <f>"$ 21,143"</f>
        <v>$ 21,143</v>
      </c>
      <c r="F2827" s="1">
        <v>3728</v>
      </c>
    </row>
    <row r="2828" spans="1:6">
      <c r="A2828" t="s">
        <v>2828</v>
      </c>
      <c r="B2828" t="str">
        <f t="shared" si="60"/>
        <v>0.00274%</v>
      </c>
      <c r="C2828" t="s">
        <v>10</v>
      </c>
      <c r="D2828" t="s">
        <v>10</v>
      </c>
      <c r="E2828" t="str">
        <f>"$ 21,172"</f>
        <v>$ 21,172</v>
      </c>
      <c r="F2828">
        <v>318</v>
      </c>
    </row>
    <row r="2829" spans="1:6">
      <c r="A2829" t="s">
        <v>2829</v>
      </c>
      <c r="B2829" t="str">
        <f t="shared" si="60"/>
        <v>0.00274%</v>
      </c>
      <c r="C2829" t="s">
        <v>10</v>
      </c>
      <c r="D2829" t="s">
        <v>10</v>
      </c>
      <c r="E2829" t="str">
        <f>"$ 21,172"</f>
        <v>$ 21,172</v>
      </c>
      <c r="F2829">
        <v>222</v>
      </c>
    </row>
    <row r="2830" spans="1:6">
      <c r="A2830" t="s">
        <v>2830</v>
      </c>
      <c r="B2830" t="str">
        <f t="shared" si="60"/>
        <v>0.00274%</v>
      </c>
      <c r="C2830" t="s">
        <v>10</v>
      </c>
      <c r="D2830" t="s">
        <v>10</v>
      </c>
      <c r="E2830" t="str">
        <f>"$ 21,128"</f>
        <v>$ 21,128</v>
      </c>
      <c r="F2830">
        <v>577</v>
      </c>
    </row>
    <row r="2831" spans="1:6">
      <c r="A2831" t="s">
        <v>2831</v>
      </c>
      <c r="B2831" t="str">
        <f t="shared" si="60"/>
        <v>0.00274%</v>
      </c>
      <c r="C2831" t="s">
        <v>10</v>
      </c>
      <c r="D2831" t="s">
        <v>10</v>
      </c>
      <c r="E2831" t="str">
        <f>"$ 21,137"</f>
        <v>$ 21,137</v>
      </c>
      <c r="F2831">
        <v>795</v>
      </c>
    </row>
    <row r="2832" spans="1:6">
      <c r="A2832" t="s">
        <v>2832</v>
      </c>
      <c r="B2832" t="str">
        <f t="shared" si="60"/>
        <v>0.00274%</v>
      </c>
      <c r="C2832" t="s">
        <v>10</v>
      </c>
      <c r="D2832" t="s">
        <v>10</v>
      </c>
      <c r="E2832" t="str">
        <f>"$ 21,138"</f>
        <v>$ 21,138</v>
      </c>
      <c r="F2832">
        <v>737</v>
      </c>
    </row>
    <row r="2833" spans="1:6">
      <c r="A2833" t="s">
        <v>2833</v>
      </c>
      <c r="B2833" t="str">
        <f t="shared" si="60"/>
        <v>0.00274%</v>
      </c>
      <c r="C2833" t="s">
        <v>10</v>
      </c>
      <c r="D2833" t="s">
        <v>10</v>
      </c>
      <c r="E2833" t="str">
        <f>"$ 21,155"</f>
        <v>$ 21,155</v>
      </c>
      <c r="F2833">
        <v>340</v>
      </c>
    </row>
    <row r="2834" spans="1:6">
      <c r="A2834" t="s">
        <v>2834</v>
      </c>
      <c r="B2834" t="str">
        <f t="shared" si="60"/>
        <v>0.00274%</v>
      </c>
      <c r="C2834" t="s">
        <v>10</v>
      </c>
      <c r="D2834" t="s">
        <v>10</v>
      </c>
      <c r="E2834" t="str">
        <f>"$ 21,134"</f>
        <v>$ 21,134</v>
      </c>
      <c r="F2834" s="1">
        <v>15344</v>
      </c>
    </row>
    <row r="2835" spans="1:6">
      <c r="A2835" t="s">
        <v>2835</v>
      </c>
      <c r="B2835" t="str">
        <f t="shared" si="60"/>
        <v>0.00274%</v>
      </c>
      <c r="C2835" t="s">
        <v>10</v>
      </c>
      <c r="D2835" t="s">
        <v>10</v>
      </c>
      <c r="E2835" t="str">
        <f>"$ 21,129"</f>
        <v>$ 21,129</v>
      </c>
      <c r="F2835">
        <v>987</v>
      </c>
    </row>
    <row r="2836" spans="1:6">
      <c r="A2836" t="s">
        <v>2836</v>
      </c>
      <c r="B2836" t="str">
        <f t="shared" si="60"/>
        <v>0.00274%</v>
      </c>
      <c r="C2836" t="s">
        <v>10</v>
      </c>
      <c r="D2836" t="s">
        <v>10</v>
      </c>
      <c r="E2836" t="str">
        <f>"$ 21,194"</f>
        <v>$ 21,194</v>
      </c>
      <c r="F2836">
        <v>361</v>
      </c>
    </row>
    <row r="2837" spans="1:6">
      <c r="A2837" t="s">
        <v>2837</v>
      </c>
      <c r="B2837" t="str">
        <f t="shared" ref="B2837:B2845" si="61">"0.00273%"</f>
        <v>0.00273%</v>
      </c>
      <c r="C2837" t="s">
        <v>10</v>
      </c>
      <c r="D2837" t="s">
        <v>10</v>
      </c>
      <c r="E2837" t="str">
        <f>"$ 21,055"</f>
        <v>$ 21,055</v>
      </c>
      <c r="F2837">
        <v>204</v>
      </c>
    </row>
    <row r="2838" spans="1:6">
      <c r="A2838" t="s">
        <v>2838</v>
      </c>
      <c r="B2838" t="str">
        <f t="shared" si="61"/>
        <v>0.00273%</v>
      </c>
      <c r="C2838" t="s">
        <v>10</v>
      </c>
      <c r="D2838" t="s">
        <v>10</v>
      </c>
      <c r="E2838" t="str">
        <f>"$ 21,110"</f>
        <v>$ 21,110</v>
      </c>
      <c r="F2838">
        <v>415</v>
      </c>
    </row>
    <row r="2839" spans="1:6">
      <c r="A2839" t="s">
        <v>2839</v>
      </c>
      <c r="B2839" t="str">
        <f t="shared" si="61"/>
        <v>0.00273%</v>
      </c>
      <c r="C2839" t="s">
        <v>10</v>
      </c>
      <c r="D2839" t="s">
        <v>10</v>
      </c>
      <c r="E2839" t="str">
        <f>"$ 21,114"</f>
        <v>$ 21,114</v>
      </c>
      <c r="F2839">
        <v>826</v>
      </c>
    </row>
    <row r="2840" spans="1:6">
      <c r="A2840" t="s">
        <v>2840</v>
      </c>
      <c r="B2840" t="str">
        <f t="shared" si="61"/>
        <v>0.00273%</v>
      </c>
      <c r="C2840" t="s">
        <v>10</v>
      </c>
      <c r="D2840" t="s">
        <v>10</v>
      </c>
      <c r="E2840" t="str">
        <f>"$ 21,046"</f>
        <v>$ 21,046</v>
      </c>
      <c r="F2840">
        <v>42</v>
      </c>
    </row>
    <row r="2841" spans="1:6">
      <c r="A2841" t="s">
        <v>2841</v>
      </c>
      <c r="B2841" t="str">
        <f t="shared" si="61"/>
        <v>0.00273%</v>
      </c>
      <c r="C2841" t="s">
        <v>10</v>
      </c>
      <c r="D2841" t="s">
        <v>10</v>
      </c>
      <c r="E2841" t="str">
        <f>"$ 21,118"</f>
        <v>$ 21,118</v>
      </c>
      <c r="F2841">
        <v>478</v>
      </c>
    </row>
    <row r="2842" spans="1:6">
      <c r="A2842" t="s">
        <v>2842</v>
      </c>
      <c r="B2842" t="str">
        <f t="shared" si="61"/>
        <v>0.00273%</v>
      </c>
      <c r="C2842" t="s">
        <v>10</v>
      </c>
      <c r="D2842" t="s">
        <v>10</v>
      </c>
      <c r="E2842" t="str">
        <f>"$ 21,045"</f>
        <v>$ 21,045</v>
      </c>
      <c r="F2842" s="1">
        <v>1157</v>
      </c>
    </row>
    <row r="2843" spans="1:6">
      <c r="A2843" t="s">
        <v>2843</v>
      </c>
      <c r="B2843" t="str">
        <f t="shared" si="61"/>
        <v>0.00273%</v>
      </c>
      <c r="C2843" t="s">
        <v>10</v>
      </c>
      <c r="D2843" t="s">
        <v>10</v>
      </c>
      <c r="E2843" t="str">
        <f>"$ 21,058"</f>
        <v>$ 21,058</v>
      </c>
      <c r="F2843">
        <v>220</v>
      </c>
    </row>
    <row r="2844" spans="1:6">
      <c r="A2844" t="s">
        <v>2844</v>
      </c>
      <c r="B2844" t="str">
        <f t="shared" si="61"/>
        <v>0.00273%</v>
      </c>
      <c r="C2844" t="s">
        <v>10</v>
      </c>
      <c r="D2844" t="s">
        <v>10</v>
      </c>
      <c r="E2844" t="str">
        <f>"$ 21,095"</f>
        <v>$ 21,095</v>
      </c>
      <c r="F2844" s="1">
        <v>8355</v>
      </c>
    </row>
    <row r="2845" spans="1:6">
      <c r="A2845" t="s">
        <v>2845</v>
      </c>
      <c r="B2845" t="str">
        <f t="shared" si="61"/>
        <v>0.00273%</v>
      </c>
      <c r="C2845" t="s">
        <v>10</v>
      </c>
      <c r="D2845" t="s">
        <v>10</v>
      </c>
      <c r="E2845" t="str">
        <f>"$ 21,085"</f>
        <v>$ 21,085</v>
      </c>
      <c r="F2845">
        <v>420</v>
      </c>
    </row>
    <row r="2846" spans="1:6">
      <c r="A2846" t="s">
        <v>2846</v>
      </c>
      <c r="B2846" t="str">
        <f t="shared" ref="B2846:B2851" si="62">"0.00272%"</f>
        <v>0.00272%</v>
      </c>
      <c r="C2846" t="s">
        <v>10</v>
      </c>
      <c r="D2846" t="s">
        <v>10</v>
      </c>
      <c r="E2846" t="str">
        <f>"$ 20,972"</f>
        <v>$ 20,972</v>
      </c>
      <c r="F2846" s="1">
        <v>3892</v>
      </c>
    </row>
    <row r="2847" spans="1:6">
      <c r="A2847" t="s">
        <v>2847</v>
      </c>
      <c r="B2847" t="str">
        <f t="shared" si="62"/>
        <v>0.00272%</v>
      </c>
      <c r="C2847" t="s">
        <v>10</v>
      </c>
      <c r="D2847" t="s">
        <v>10</v>
      </c>
      <c r="E2847" t="str">
        <f>"$ 21,012"</f>
        <v>$ 21,012</v>
      </c>
      <c r="F2847">
        <v>269</v>
      </c>
    </row>
    <row r="2848" spans="1:6">
      <c r="A2848" t="s">
        <v>2848</v>
      </c>
      <c r="B2848" t="str">
        <f t="shared" si="62"/>
        <v>0.00272%</v>
      </c>
      <c r="C2848" t="s">
        <v>10</v>
      </c>
      <c r="D2848" t="s">
        <v>10</v>
      </c>
      <c r="E2848" t="str">
        <f>"$ 21,003"</f>
        <v>$ 21,003</v>
      </c>
      <c r="F2848" s="1">
        <v>25898</v>
      </c>
    </row>
    <row r="2849" spans="1:6">
      <c r="A2849" t="s">
        <v>2849</v>
      </c>
      <c r="B2849" t="str">
        <f t="shared" si="62"/>
        <v>0.00272%</v>
      </c>
      <c r="C2849" t="s">
        <v>10</v>
      </c>
      <c r="D2849" t="s">
        <v>10</v>
      </c>
      <c r="E2849" t="str">
        <f>"$ 21,030"</f>
        <v>$ 21,030</v>
      </c>
      <c r="F2849">
        <v>534</v>
      </c>
    </row>
    <row r="2850" spans="1:6">
      <c r="A2850" t="s">
        <v>2850</v>
      </c>
      <c r="B2850" t="str">
        <f t="shared" si="62"/>
        <v>0.00272%</v>
      </c>
      <c r="C2850" t="s">
        <v>10</v>
      </c>
      <c r="D2850" t="s">
        <v>10</v>
      </c>
      <c r="E2850" t="str">
        <f>"$ 20,967"</f>
        <v>$ 20,967</v>
      </c>
      <c r="F2850">
        <v>530</v>
      </c>
    </row>
    <row r="2851" spans="1:6">
      <c r="A2851" t="s">
        <v>2851</v>
      </c>
      <c r="B2851" t="str">
        <f t="shared" si="62"/>
        <v>0.00272%</v>
      </c>
      <c r="C2851" t="s">
        <v>10</v>
      </c>
      <c r="D2851" t="s">
        <v>10</v>
      </c>
      <c r="E2851" t="str">
        <f>"$ 21,007"</f>
        <v>$ 21,007</v>
      </c>
      <c r="F2851">
        <v>346</v>
      </c>
    </row>
    <row r="2852" spans="1:6">
      <c r="A2852" t="s">
        <v>2852</v>
      </c>
      <c r="B2852" t="str">
        <f t="shared" ref="B2852:B2858" si="63">"0.00271%"</f>
        <v>0.00271%</v>
      </c>
      <c r="C2852" t="s">
        <v>10</v>
      </c>
      <c r="D2852" t="s">
        <v>10</v>
      </c>
      <c r="E2852" t="str">
        <f>"$ 20,888"</f>
        <v>$ 20,888</v>
      </c>
      <c r="F2852" s="1">
        <v>10357</v>
      </c>
    </row>
    <row r="2853" spans="1:6">
      <c r="A2853" t="s">
        <v>2853</v>
      </c>
      <c r="B2853" t="str">
        <f t="shared" si="63"/>
        <v>0.00271%</v>
      </c>
      <c r="C2853" t="s">
        <v>10</v>
      </c>
      <c r="D2853" t="s">
        <v>10</v>
      </c>
      <c r="E2853" t="str">
        <f>"$ 20,961"</f>
        <v>$ 20,961</v>
      </c>
      <c r="F2853" s="1">
        <v>5279</v>
      </c>
    </row>
    <row r="2854" spans="1:6">
      <c r="A2854" t="s">
        <v>2854</v>
      </c>
      <c r="B2854" t="str">
        <f t="shared" si="63"/>
        <v>0.00271%</v>
      </c>
      <c r="C2854" t="s">
        <v>10</v>
      </c>
      <c r="D2854" t="s">
        <v>10</v>
      </c>
      <c r="E2854" t="str">
        <f>"$ 20,934"</f>
        <v>$ 20,934</v>
      </c>
      <c r="F2854" s="1">
        <v>6441</v>
      </c>
    </row>
    <row r="2855" spans="1:6">
      <c r="A2855" t="s">
        <v>2855</v>
      </c>
      <c r="B2855" t="str">
        <f t="shared" si="63"/>
        <v>0.00271%</v>
      </c>
      <c r="C2855" t="s">
        <v>10</v>
      </c>
      <c r="D2855" t="s">
        <v>10</v>
      </c>
      <c r="E2855" t="str">
        <f>"$ 20,906"</f>
        <v>$ 20,906</v>
      </c>
      <c r="F2855">
        <v>745</v>
      </c>
    </row>
    <row r="2856" spans="1:6">
      <c r="A2856" t="s">
        <v>2856</v>
      </c>
      <c r="B2856" t="str">
        <f t="shared" si="63"/>
        <v>0.00271%</v>
      </c>
      <c r="C2856" t="s">
        <v>10</v>
      </c>
      <c r="D2856" t="s">
        <v>10</v>
      </c>
      <c r="E2856" t="str">
        <f>"$ 20,934"</f>
        <v>$ 20,934</v>
      </c>
      <c r="F2856" s="1">
        <v>1237</v>
      </c>
    </row>
    <row r="2857" spans="1:6">
      <c r="A2857" t="s">
        <v>2857</v>
      </c>
      <c r="B2857" t="str">
        <f t="shared" si="63"/>
        <v>0.00271%</v>
      </c>
      <c r="C2857" t="s">
        <v>10</v>
      </c>
      <c r="D2857" t="s">
        <v>10</v>
      </c>
      <c r="E2857" t="str">
        <f>"$ 20,903"</f>
        <v>$ 20,903</v>
      </c>
      <c r="F2857">
        <v>255</v>
      </c>
    </row>
    <row r="2858" spans="1:6">
      <c r="A2858" t="s">
        <v>2858</v>
      </c>
      <c r="B2858" t="str">
        <f t="shared" si="63"/>
        <v>0.00271%</v>
      </c>
      <c r="C2858" t="s">
        <v>10</v>
      </c>
      <c r="D2858" t="s">
        <v>10</v>
      </c>
      <c r="E2858" t="str">
        <f>"$ 20,905"</f>
        <v>$ 20,905</v>
      </c>
      <c r="F2858" s="1">
        <v>24139</v>
      </c>
    </row>
    <row r="2859" spans="1:6">
      <c r="A2859" t="s">
        <v>2859</v>
      </c>
      <c r="B2859" t="str">
        <f t="shared" ref="B2859:B2867" si="64">"0.00270%"</f>
        <v>0.00270%</v>
      </c>
      <c r="C2859" t="s">
        <v>10</v>
      </c>
      <c r="D2859" t="s">
        <v>10</v>
      </c>
      <c r="E2859" t="str">
        <f>"$ 20,861"</f>
        <v>$ 20,861</v>
      </c>
      <c r="F2859" s="1">
        <v>10235</v>
      </c>
    </row>
    <row r="2860" spans="1:6">
      <c r="A2860" t="s">
        <v>2860</v>
      </c>
      <c r="B2860" t="str">
        <f t="shared" si="64"/>
        <v>0.00270%</v>
      </c>
      <c r="C2860" t="s">
        <v>10</v>
      </c>
      <c r="D2860" t="s">
        <v>10</v>
      </c>
      <c r="E2860" t="str">
        <f>"$ 20,812"</f>
        <v>$ 20,812</v>
      </c>
      <c r="F2860">
        <v>459</v>
      </c>
    </row>
    <row r="2861" spans="1:6">
      <c r="A2861" t="s">
        <v>2861</v>
      </c>
      <c r="B2861" t="str">
        <f t="shared" si="64"/>
        <v>0.00270%</v>
      </c>
      <c r="C2861" t="s">
        <v>10</v>
      </c>
      <c r="D2861" t="s">
        <v>10</v>
      </c>
      <c r="E2861" t="str">
        <f>"$ 20,853"</f>
        <v>$ 20,853</v>
      </c>
      <c r="F2861" s="1">
        <v>8583</v>
      </c>
    </row>
    <row r="2862" spans="1:6">
      <c r="A2862" t="s">
        <v>2862</v>
      </c>
      <c r="B2862" t="str">
        <f t="shared" si="64"/>
        <v>0.00270%</v>
      </c>
      <c r="C2862" t="s">
        <v>10</v>
      </c>
      <c r="D2862" t="s">
        <v>10</v>
      </c>
      <c r="E2862" t="str">
        <f>"$ 20,821"</f>
        <v>$ 20,821</v>
      </c>
      <c r="F2862" s="1">
        <v>1913</v>
      </c>
    </row>
    <row r="2863" spans="1:6">
      <c r="A2863" t="s">
        <v>2863</v>
      </c>
      <c r="B2863" t="str">
        <f t="shared" si="64"/>
        <v>0.00270%</v>
      </c>
      <c r="C2863" t="s">
        <v>10</v>
      </c>
      <c r="D2863" t="s">
        <v>10</v>
      </c>
      <c r="E2863" t="str">
        <f>"$ 20,875"</f>
        <v>$ 20,875</v>
      </c>
      <c r="F2863">
        <v>293</v>
      </c>
    </row>
    <row r="2864" spans="1:6">
      <c r="A2864" t="s">
        <v>2864</v>
      </c>
      <c r="B2864" t="str">
        <f t="shared" si="64"/>
        <v>0.00270%</v>
      </c>
      <c r="C2864" t="s">
        <v>10</v>
      </c>
      <c r="D2864" t="s">
        <v>10</v>
      </c>
      <c r="E2864" t="str">
        <f>"$ 20,882"</f>
        <v>$ 20,882</v>
      </c>
      <c r="F2864">
        <v>309</v>
      </c>
    </row>
    <row r="2865" spans="1:6">
      <c r="A2865" t="s">
        <v>2865</v>
      </c>
      <c r="B2865" t="str">
        <f t="shared" si="64"/>
        <v>0.00270%</v>
      </c>
      <c r="C2865" t="s">
        <v>10</v>
      </c>
      <c r="D2865" t="s">
        <v>10</v>
      </c>
      <c r="E2865" t="str">
        <f>"$ 20,829"</f>
        <v>$ 20,829</v>
      </c>
      <c r="F2865">
        <v>103</v>
      </c>
    </row>
    <row r="2866" spans="1:6">
      <c r="A2866" t="s">
        <v>2866</v>
      </c>
      <c r="B2866" t="str">
        <f t="shared" si="64"/>
        <v>0.00270%</v>
      </c>
      <c r="C2866" t="s">
        <v>10</v>
      </c>
      <c r="D2866" t="s">
        <v>10</v>
      </c>
      <c r="E2866" t="str">
        <f>"$ 20,869"</f>
        <v>$ 20,869</v>
      </c>
      <c r="F2866" s="1">
        <v>12690</v>
      </c>
    </row>
    <row r="2867" spans="1:6">
      <c r="A2867" t="s">
        <v>2867</v>
      </c>
      <c r="B2867" t="str">
        <f t="shared" si="64"/>
        <v>0.00270%</v>
      </c>
      <c r="C2867" t="s">
        <v>10</v>
      </c>
      <c r="D2867" t="s">
        <v>10</v>
      </c>
      <c r="E2867" t="str">
        <f>"$ 20,826"</f>
        <v>$ 20,826</v>
      </c>
      <c r="F2867" s="1">
        <v>2310</v>
      </c>
    </row>
    <row r="2868" spans="1:6">
      <c r="A2868" t="s">
        <v>2868</v>
      </c>
      <c r="B2868" t="str">
        <f t="shared" ref="B2868:B2878" si="65">"0.00269%"</f>
        <v>0.00269%</v>
      </c>
      <c r="C2868" t="s">
        <v>10</v>
      </c>
      <c r="D2868" t="s">
        <v>10</v>
      </c>
      <c r="E2868" t="str">
        <f>"$ 20,808"</f>
        <v>$ 20,808</v>
      </c>
      <c r="F2868" s="1">
        <v>4504</v>
      </c>
    </row>
    <row r="2869" spans="1:6">
      <c r="A2869" t="s">
        <v>2869</v>
      </c>
      <c r="B2869" t="str">
        <f t="shared" si="65"/>
        <v>0.00269%</v>
      </c>
      <c r="C2869" t="s">
        <v>10</v>
      </c>
      <c r="D2869" t="s">
        <v>10</v>
      </c>
      <c r="E2869" t="str">
        <f>"$ 20,810"</f>
        <v>$ 20,810</v>
      </c>
      <c r="F2869">
        <v>610</v>
      </c>
    </row>
    <row r="2870" spans="1:6">
      <c r="A2870" t="s">
        <v>2870</v>
      </c>
      <c r="B2870" t="str">
        <f t="shared" si="65"/>
        <v>0.00269%</v>
      </c>
      <c r="C2870" t="s">
        <v>10</v>
      </c>
      <c r="D2870" t="s">
        <v>10</v>
      </c>
      <c r="E2870" t="str">
        <f>"$ 20,755"</f>
        <v>$ 20,755</v>
      </c>
      <c r="F2870" s="1">
        <v>19025</v>
      </c>
    </row>
    <row r="2871" spans="1:6">
      <c r="A2871" t="s">
        <v>2871</v>
      </c>
      <c r="B2871" t="str">
        <f t="shared" si="65"/>
        <v>0.00269%</v>
      </c>
      <c r="C2871" t="s">
        <v>10</v>
      </c>
      <c r="D2871" t="s">
        <v>10</v>
      </c>
      <c r="E2871" t="str">
        <f>"$ 20,748"</f>
        <v>$ 20,748</v>
      </c>
      <c r="F2871">
        <v>554</v>
      </c>
    </row>
    <row r="2872" spans="1:6">
      <c r="A2872" t="s">
        <v>2872</v>
      </c>
      <c r="B2872" t="str">
        <f t="shared" si="65"/>
        <v>0.00269%</v>
      </c>
      <c r="C2872" t="s">
        <v>10</v>
      </c>
      <c r="D2872" t="s">
        <v>10</v>
      </c>
      <c r="E2872" t="str">
        <f>"$ 20,769"</f>
        <v>$ 20,769</v>
      </c>
      <c r="F2872">
        <v>263</v>
      </c>
    </row>
    <row r="2873" spans="1:6">
      <c r="A2873" t="s">
        <v>2873</v>
      </c>
      <c r="B2873" t="str">
        <f t="shared" si="65"/>
        <v>0.00269%</v>
      </c>
      <c r="C2873" t="s">
        <v>10</v>
      </c>
      <c r="D2873" t="s">
        <v>10</v>
      </c>
      <c r="E2873" t="str">
        <f>"$ 20,746"</f>
        <v>$ 20,746</v>
      </c>
      <c r="F2873">
        <v>715</v>
      </c>
    </row>
    <row r="2874" spans="1:6">
      <c r="A2874" t="s">
        <v>2874</v>
      </c>
      <c r="B2874" t="str">
        <f t="shared" si="65"/>
        <v>0.00269%</v>
      </c>
      <c r="C2874" t="s">
        <v>10</v>
      </c>
      <c r="D2874" t="s">
        <v>10</v>
      </c>
      <c r="E2874" t="str">
        <f>"$ 20,772"</f>
        <v>$ 20,772</v>
      </c>
      <c r="F2874">
        <v>384</v>
      </c>
    </row>
    <row r="2875" spans="1:6">
      <c r="A2875" t="s">
        <v>2875</v>
      </c>
      <c r="B2875" t="str">
        <f t="shared" si="65"/>
        <v>0.00269%</v>
      </c>
      <c r="C2875" t="s">
        <v>10</v>
      </c>
      <c r="D2875" t="s">
        <v>10</v>
      </c>
      <c r="E2875" t="str">
        <f>"$ 20,764"</f>
        <v>$ 20,764</v>
      </c>
      <c r="F2875">
        <v>199</v>
      </c>
    </row>
    <row r="2876" spans="1:6">
      <c r="A2876" t="s">
        <v>2876</v>
      </c>
      <c r="B2876" t="str">
        <f t="shared" si="65"/>
        <v>0.00269%</v>
      </c>
      <c r="C2876" t="s">
        <v>10</v>
      </c>
      <c r="D2876" t="s">
        <v>10</v>
      </c>
      <c r="E2876" t="str">
        <f>"$ 20,770"</f>
        <v>$ 20,770</v>
      </c>
      <c r="F2876" s="1">
        <v>4892</v>
      </c>
    </row>
    <row r="2877" spans="1:6">
      <c r="A2877" t="s">
        <v>2877</v>
      </c>
      <c r="B2877" t="str">
        <f t="shared" si="65"/>
        <v>0.00269%</v>
      </c>
      <c r="C2877" t="s">
        <v>10</v>
      </c>
      <c r="D2877" t="s">
        <v>10</v>
      </c>
      <c r="E2877" t="str">
        <f>"$ 20,786"</f>
        <v>$ 20,786</v>
      </c>
      <c r="F2877">
        <v>717</v>
      </c>
    </row>
    <row r="2878" spans="1:6">
      <c r="A2878" t="s">
        <v>2878</v>
      </c>
      <c r="B2878" t="str">
        <f t="shared" si="65"/>
        <v>0.00269%</v>
      </c>
      <c r="C2878" t="s">
        <v>10</v>
      </c>
      <c r="D2878" t="s">
        <v>10</v>
      </c>
      <c r="E2878" t="str">
        <f>"$ 20,734"</f>
        <v>$ 20,734</v>
      </c>
      <c r="F2878" s="1">
        <v>48232</v>
      </c>
    </row>
    <row r="2879" spans="1:6">
      <c r="A2879" t="s">
        <v>2879</v>
      </c>
      <c r="B2879" t="str">
        <f>"0.00268%"</f>
        <v>0.00268%</v>
      </c>
      <c r="C2879" t="s">
        <v>10</v>
      </c>
      <c r="D2879" t="s">
        <v>10</v>
      </c>
      <c r="E2879" t="str">
        <f>"$ 20,670"</f>
        <v>$ 20,670</v>
      </c>
      <c r="F2879" s="1">
        <v>1177</v>
      </c>
    </row>
    <row r="2880" spans="1:6">
      <c r="A2880" t="s">
        <v>2880</v>
      </c>
      <c r="B2880" t="str">
        <f>"0.00268%"</f>
        <v>0.00268%</v>
      </c>
      <c r="C2880" t="s">
        <v>10</v>
      </c>
      <c r="D2880" t="s">
        <v>10</v>
      </c>
      <c r="E2880" t="str">
        <f>"$ 20,709"</f>
        <v>$ 20,709</v>
      </c>
      <c r="F2880" s="1">
        <v>41761</v>
      </c>
    </row>
    <row r="2881" spans="1:6">
      <c r="A2881" t="s">
        <v>2881</v>
      </c>
      <c r="B2881" t="str">
        <f>"0.00268%"</f>
        <v>0.00268%</v>
      </c>
      <c r="C2881" t="s">
        <v>10</v>
      </c>
      <c r="D2881" t="s">
        <v>10</v>
      </c>
      <c r="E2881" t="str">
        <f>"$ 20,672"</f>
        <v>$ 20,672</v>
      </c>
      <c r="F2881" s="1">
        <v>3892</v>
      </c>
    </row>
    <row r="2882" spans="1:6">
      <c r="A2882" t="s">
        <v>2882</v>
      </c>
      <c r="B2882" t="str">
        <f>"0.00268%"</f>
        <v>0.00268%</v>
      </c>
      <c r="C2882" t="s">
        <v>10</v>
      </c>
      <c r="D2882" t="s">
        <v>10</v>
      </c>
      <c r="E2882" t="str">
        <f>"$ 20,714"</f>
        <v>$ 20,714</v>
      </c>
      <c r="F2882" s="1">
        <v>1368</v>
      </c>
    </row>
    <row r="2883" spans="1:6">
      <c r="A2883" t="s">
        <v>2883</v>
      </c>
      <c r="B2883" t="str">
        <f t="shared" ref="B2883:B2889" si="66">"0.00267%"</f>
        <v>0.00267%</v>
      </c>
      <c r="C2883" t="s">
        <v>10</v>
      </c>
      <c r="D2883" t="s">
        <v>10</v>
      </c>
      <c r="E2883" t="str">
        <f>"$ 20,628"</f>
        <v>$ 20,628</v>
      </c>
      <c r="F2883">
        <v>511</v>
      </c>
    </row>
    <row r="2884" spans="1:6">
      <c r="A2884" t="s">
        <v>2884</v>
      </c>
      <c r="B2884" t="str">
        <f t="shared" si="66"/>
        <v>0.00267%</v>
      </c>
      <c r="C2884" t="s">
        <v>10</v>
      </c>
      <c r="D2884" t="s">
        <v>10</v>
      </c>
      <c r="E2884" t="str">
        <f>"$ 20,598"</f>
        <v>$ 20,598</v>
      </c>
      <c r="F2884">
        <v>314</v>
      </c>
    </row>
    <row r="2885" spans="1:6">
      <c r="A2885" t="s">
        <v>2885</v>
      </c>
      <c r="B2885" t="str">
        <f t="shared" si="66"/>
        <v>0.00267%</v>
      </c>
      <c r="C2885" t="s">
        <v>10</v>
      </c>
      <c r="D2885" t="s">
        <v>10</v>
      </c>
      <c r="E2885" t="str">
        <f>"$ 20,652"</f>
        <v>$ 20,652</v>
      </c>
      <c r="F2885" s="1">
        <v>4685</v>
      </c>
    </row>
    <row r="2886" spans="1:6">
      <c r="A2886" t="s">
        <v>2886</v>
      </c>
      <c r="B2886" t="str">
        <f t="shared" si="66"/>
        <v>0.00267%</v>
      </c>
      <c r="C2886" t="s">
        <v>10</v>
      </c>
      <c r="D2886" t="s">
        <v>10</v>
      </c>
      <c r="E2886" t="str">
        <f>"$ 20,606"</f>
        <v>$ 20,606</v>
      </c>
      <c r="F2886">
        <v>643</v>
      </c>
    </row>
    <row r="2887" spans="1:6">
      <c r="A2887" t="s">
        <v>2887</v>
      </c>
      <c r="B2887" t="str">
        <f t="shared" si="66"/>
        <v>0.00267%</v>
      </c>
      <c r="C2887" t="s">
        <v>10</v>
      </c>
      <c r="D2887" t="s">
        <v>10</v>
      </c>
      <c r="E2887" t="str">
        <f>"$ 20,635"</f>
        <v>$ 20,635</v>
      </c>
      <c r="F2887">
        <v>214</v>
      </c>
    </row>
    <row r="2888" spans="1:6">
      <c r="A2888" t="s">
        <v>2888</v>
      </c>
      <c r="B2888" t="str">
        <f t="shared" si="66"/>
        <v>0.00267%</v>
      </c>
      <c r="C2888" t="s">
        <v>10</v>
      </c>
      <c r="D2888" t="s">
        <v>10</v>
      </c>
      <c r="E2888" t="str">
        <f>"$ 20,587"</f>
        <v>$ 20,587</v>
      </c>
      <c r="F2888" s="1">
        <v>2133</v>
      </c>
    </row>
    <row r="2889" spans="1:6">
      <c r="A2889" t="s">
        <v>2889</v>
      </c>
      <c r="B2889" t="str">
        <f t="shared" si="66"/>
        <v>0.00267%</v>
      </c>
      <c r="C2889" t="s">
        <v>10</v>
      </c>
      <c r="D2889" t="s">
        <v>10</v>
      </c>
      <c r="E2889" t="str">
        <f>"$ 20,600"</f>
        <v>$ 20,600</v>
      </c>
      <c r="F2889">
        <v>627</v>
      </c>
    </row>
    <row r="2890" spans="1:6">
      <c r="A2890" t="s">
        <v>2890</v>
      </c>
      <c r="B2890" t="str">
        <f>"0.00266%"</f>
        <v>0.00266%</v>
      </c>
      <c r="C2890" t="s">
        <v>10</v>
      </c>
      <c r="D2890" t="s">
        <v>10</v>
      </c>
      <c r="E2890" t="str">
        <f>"$ 20,537"</f>
        <v>$ 20,537</v>
      </c>
      <c r="F2890" s="1">
        <v>3210</v>
      </c>
    </row>
    <row r="2891" spans="1:6">
      <c r="A2891" t="s">
        <v>2891</v>
      </c>
      <c r="B2891" t="str">
        <f>"0.00266%"</f>
        <v>0.00266%</v>
      </c>
      <c r="C2891" t="s">
        <v>10</v>
      </c>
      <c r="D2891" t="s">
        <v>10</v>
      </c>
      <c r="E2891" t="str">
        <f>"$ 20,535"</f>
        <v>$ 20,535</v>
      </c>
      <c r="F2891">
        <v>363</v>
      </c>
    </row>
    <row r="2892" spans="1:6">
      <c r="A2892" t="s">
        <v>2892</v>
      </c>
      <c r="B2892" t="str">
        <f>"0.00266%"</f>
        <v>0.00266%</v>
      </c>
      <c r="C2892" t="s">
        <v>10</v>
      </c>
      <c r="D2892" t="s">
        <v>10</v>
      </c>
      <c r="E2892" t="str">
        <f>"$ 20,523"</f>
        <v>$ 20,523</v>
      </c>
      <c r="F2892">
        <v>97</v>
      </c>
    </row>
    <row r="2893" spans="1:6">
      <c r="A2893" t="s">
        <v>2893</v>
      </c>
      <c r="B2893" t="str">
        <f>"0.00266%"</f>
        <v>0.00266%</v>
      </c>
      <c r="C2893" t="s">
        <v>10</v>
      </c>
      <c r="D2893" t="s">
        <v>10</v>
      </c>
      <c r="E2893" t="str">
        <f>"$ 20,514"</f>
        <v>$ 20,514</v>
      </c>
      <c r="F2893">
        <v>222</v>
      </c>
    </row>
    <row r="2894" spans="1:6">
      <c r="A2894" t="s">
        <v>2894</v>
      </c>
      <c r="B2894" t="str">
        <f t="shared" ref="B2894:B2900" si="67">"0.00265%"</f>
        <v>0.00265%</v>
      </c>
      <c r="C2894" t="s">
        <v>10</v>
      </c>
      <c r="D2894" t="s">
        <v>10</v>
      </c>
      <c r="E2894" t="str">
        <f>"$ 20,441"</f>
        <v>$ 20,441</v>
      </c>
      <c r="F2894">
        <v>336</v>
      </c>
    </row>
    <row r="2895" spans="1:6">
      <c r="A2895" t="s">
        <v>2895</v>
      </c>
      <c r="B2895" t="str">
        <f t="shared" si="67"/>
        <v>0.00265%</v>
      </c>
      <c r="C2895" t="s">
        <v>10</v>
      </c>
      <c r="D2895" t="s">
        <v>10</v>
      </c>
      <c r="E2895" t="str">
        <f>"$ 20,439"</f>
        <v>$ 20,439</v>
      </c>
      <c r="F2895" s="1">
        <v>4228</v>
      </c>
    </row>
    <row r="2896" spans="1:6">
      <c r="A2896" t="s">
        <v>2896</v>
      </c>
      <c r="B2896" t="str">
        <f t="shared" si="67"/>
        <v>0.00265%</v>
      </c>
      <c r="C2896" t="s">
        <v>10</v>
      </c>
      <c r="D2896" t="s">
        <v>10</v>
      </c>
      <c r="E2896" t="str">
        <f>"$ 20,434"</f>
        <v>$ 20,434</v>
      </c>
      <c r="F2896" s="1">
        <v>4811</v>
      </c>
    </row>
    <row r="2897" spans="1:6">
      <c r="A2897" t="s">
        <v>2897</v>
      </c>
      <c r="B2897" t="str">
        <f t="shared" si="67"/>
        <v>0.00265%</v>
      </c>
      <c r="C2897" t="s">
        <v>10</v>
      </c>
      <c r="D2897" t="s">
        <v>10</v>
      </c>
      <c r="E2897" t="str">
        <f>"$ 20,457"</f>
        <v>$ 20,457</v>
      </c>
      <c r="F2897">
        <v>635</v>
      </c>
    </row>
    <row r="2898" spans="1:6">
      <c r="A2898" t="s">
        <v>2898</v>
      </c>
      <c r="B2898" t="str">
        <f t="shared" si="67"/>
        <v>0.00265%</v>
      </c>
      <c r="C2898" t="s">
        <v>10</v>
      </c>
      <c r="D2898" t="s">
        <v>10</v>
      </c>
      <c r="E2898" t="str">
        <f>"$ 20,441"</f>
        <v>$ 20,441</v>
      </c>
      <c r="F2898">
        <v>742</v>
      </c>
    </row>
    <row r="2899" spans="1:6">
      <c r="A2899" t="s">
        <v>2899</v>
      </c>
      <c r="B2899" t="str">
        <f t="shared" si="67"/>
        <v>0.00265%</v>
      </c>
      <c r="C2899" t="s">
        <v>10</v>
      </c>
      <c r="D2899" t="s">
        <v>10</v>
      </c>
      <c r="E2899" t="str">
        <f>"$ 20,471"</f>
        <v>$ 20,471</v>
      </c>
      <c r="F2899">
        <v>355</v>
      </c>
    </row>
    <row r="2900" spans="1:6">
      <c r="A2900" t="s">
        <v>2900</v>
      </c>
      <c r="B2900" t="str">
        <f t="shared" si="67"/>
        <v>0.00265%</v>
      </c>
      <c r="C2900" t="s">
        <v>10</v>
      </c>
      <c r="D2900" t="s">
        <v>10</v>
      </c>
      <c r="E2900" t="str">
        <f>"$ 20,475"</f>
        <v>$ 20,475</v>
      </c>
      <c r="F2900">
        <v>816</v>
      </c>
    </row>
    <row r="2901" spans="1:6">
      <c r="A2901" t="s">
        <v>2901</v>
      </c>
      <c r="B2901" t="str">
        <f>"0.00264%"</f>
        <v>0.00264%</v>
      </c>
      <c r="C2901" t="s">
        <v>10</v>
      </c>
      <c r="D2901" t="s">
        <v>10</v>
      </c>
      <c r="E2901" t="str">
        <f>"$ 20,406"</f>
        <v>$ 20,406</v>
      </c>
      <c r="F2901">
        <v>349</v>
      </c>
    </row>
    <row r="2902" spans="1:6">
      <c r="A2902" t="s">
        <v>2902</v>
      </c>
      <c r="B2902" t="str">
        <f>"0.00264%"</f>
        <v>0.00264%</v>
      </c>
      <c r="C2902" t="s">
        <v>10</v>
      </c>
      <c r="D2902" t="s">
        <v>10</v>
      </c>
      <c r="E2902" t="str">
        <f>"$ 20,417"</f>
        <v>$ 20,417</v>
      </c>
      <c r="F2902">
        <v>660</v>
      </c>
    </row>
    <row r="2903" spans="1:6">
      <c r="A2903" t="s">
        <v>2903</v>
      </c>
      <c r="B2903" t="str">
        <f>"0.00264%"</f>
        <v>0.00264%</v>
      </c>
      <c r="C2903" t="s">
        <v>10</v>
      </c>
      <c r="D2903" t="s">
        <v>10</v>
      </c>
      <c r="E2903" t="str">
        <f>"$ 20,356"</f>
        <v>$ 20,356</v>
      </c>
      <c r="F2903">
        <v>292</v>
      </c>
    </row>
    <row r="2904" spans="1:6">
      <c r="A2904" t="s">
        <v>2904</v>
      </c>
      <c r="B2904" t="str">
        <f>"0.00264%"</f>
        <v>0.00264%</v>
      </c>
      <c r="C2904" t="s">
        <v>10</v>
      </c>
      <c r="D2904" t="s">
        <v>10</v>
      </c>
      <c r="E2904" t="str">
        <f>"$ 20,420"</f>
        <v>$ 20,420</v>
      </c>
      <c r="F2904" s="1">
        <v>1204</v>
      </c>
    </row>
    <row r="2905" spans="1:6">
      <c r="A2905" t="s">
        <v>2905</v>
      </c>
      <c r="B2905" t="str">
        <f>"0.00264%"</f>
        <v>0.00264%</v>
      </c>
      <c r="C2905" t="s">
        <v>10</v>
      </c>
      <c r="D2905" t="s">
        <v>10</v>
      </c>
      <c r="E2905" t="str">
        <f>"$ 20,404"</f>
        <v>$ 20,404</v>
      </c>
      <c r="F2905">
        <v>134</v>
      </c>
    </row>
    <row r="2906" spans="1:6">
      <c r="A2906" t="s">
        <v>2906</v>
      </c>
      <c r="B2906" t="str">
        <f>"0.00263%"</f>
        <v>0.00263%</v>
      </c>
      <c r="C2906" t="s">
        <v>10</v>
      </c>
      <c r="D2906" t="s">
        <v>10</v>
      </c>
      <c r="E2906" t="str">
        <f>"$ 20,308"</f>
        <v>$ 20,308</v>
      </c>
      <c r="F2906" s="1">
        <v>2485</v>
      </c>
    </row>
    <row r="2907" spans="1:6">
      <c r="A2907" t="s">
        <v>2907</v>
      </c>
      <c r="B2907" t="str">
        <f>"0.00263%"</f>
        <v>0.00263%</v>
      </c>
      <c r="C2907" t="s">
        <v>10</v>
      </c>
      <c r="D2907" t="s">
        <v>10</v>
      </c>
      <c r="E2907" t="str">
        <f>"$ 20,319"</f>
        <v>$ 20,319</v>
      </c>
      <c r="F2907" s="1">
        <v>2484</v>
      </c>
    </row>
    <row r="2908" spans="1:6">
      <c r="A2908" t="s">
        <v>2908</v>
      </c>
      <c r="B2908" t="str">
        <f>"0.00263%"</f>
        <v>0.00263%</v>
      </c>
      <c r="C2908" t="s">
        <v>10</v>
      </c>
      <c r="D2908" t="s">
        <v>10</v>
      </c>
      <c r="E2908" t="str">
        <f>"$ 20,325"</f>
        <v>$ 20,325</v>
      </c>
      <c r="F2908" s="1">
        <v>7645</v>
      </c>
    </row>
    <row r="2909" spans="1:6">
      <c r="A2909" t="s">
        <v>2909</v>
      </c>
      <c r="B2909" t="str">
        <f>"0.00263%"</f>
        <v>0.00263%</v>
      </c>
      <c r="C2909" t="s">
        <v>10</v>
      </c>
      <c r="D2909" t="s">
        <v>10</v>
      </c>
      <c r="E2909" t="str">
        <f>"$ 20,278"</f>
        <v>$ 20,278</v>
      </c>
      <c r="F2909" s="1">
        <v>2149</v>
      </c>
    </row>
    <row r="2910" spans="1:6">
      <c r="A2910" t="s">
        <v>2910</v>
      </c>
      <c r="B2910" t="str">
        <f>"0.00262%"</f>
        <v>0.00262%</v>
      </c>
      <c r="C2910" t="s">
        <v>10</v>
      </c>
      <c r="D2910" t="s">
        <v>10</v>
      </c>
      <c r="E2910" t="str">
        <f>"$ 20,248"</f>
        <v>$ 20,248</v>
      </c>
      <c r="F2910">
        <v>940</v>
      </c>
    </row>
    <row r="2911" spans="1:6">
      <c r="A2911" t="s">
        <v>2911</v>
      </c>
      <c r="B2911" t="str">
        <f>"0.00262%"</f>
        <v>0.00262%</v>
      </c>
      <c r="C2911" t="s">
        <v>10</v>
      </c>
      <c r="D2911" t="s">
        <v>10</v>
      </c>
      <c r="E2911" t="str">
        <f>"$ 20,244"</f>
        <v>$ 20,244</v>
      </c>
      <c r="F2911" s="1">
        <v>7555</v>
      </c>
    </row>
    <row r="2912" spans="1:6">
      <c r="A2912" t="s">
        <v>2912</v>
      </c>
      <c r="B2912" t="str">
        <f>"0.00262%"</f>
        <v>0.00262%</v>
      </c>
      <c r="C2912" t="s">
        <v>10</v>
      </c>
      <c r="D2912" t="s">
        <v>10</v>
      </c>
      <c r="E2912" t="str">
        <f>"$ 20,235"</f>
        <v>$ 20,235</v>
      </c>
      <c r="F2912" s="1">
        <v>1303</v>
      </c>
    </row>
    <row r="2913" spans="1:6">
      <c r="A2913" t="s">
        <v>2913</v>
      </c>
      <c r="B2913" t="str">
        <f t="shared" ref="B2913:B2919" si="68">"0.00261%"</f>
        <v>0.00261%</v>
      </c>
      <c r="C2913" t="s">
        <v>10</v>
      </c>
      <c r="D2913" t="s">
        <v>10</v>
      </c>
      <c r="E2913" t="str">
        <f>"$ 20,148"</f>
        <v>$ 20,148</v>
      </c>
      <c r="F2913">
        <v>377</v>
      </c>
    </row>
    <row r="2914" spans="1:6">
      <c r="A2914" t="s">
        <v>2914</v>
      </c>
      <c r="B2914" t="str">
        <f t="shared" si="68"/>
        <v>0.00261%</v>
      </c>
      <c r="C2914" t="s">
        <v>10</v>
      </c>
      <c r="D2914" t="s">
        <v>10</v>
      </c>
      <c r="E2914" t="str">
        <f>"$ 20,192"</f>
        <v>$ 20,192</v>
      </c>
      <c r="F2914">
        <v>402</v>
      </c>
    </row>
    <row r="2915" spans="1:6">
      <c r="A2915" t="s">
        <v>2915</v>
      </c>
      <c r="B2915" t="str">
        <f t="shared" si="68"/>
        <v>0.00261%</v>
      </c>
      <c r="C2915" t="s">
        <v>10</v>
      </c>
      <c r="D2915" t="s">
        <v>10</v>
      </c>
      <c r="E2915" t="str">
        <f>"$ 20,138"</f>
        <v>$ 20,138</v>
      </c>
      <c r="F2915">
        <v>313</v>
      </c>
    </row>
    <row r="2916" spans="1:6">
      <c r="A2916" t="s">
        <v>2916</v>
      </c>
      <c r="B2916" t="str">
        <f t="shared" si="68"/>
        <v>0.00261%</v>
      </c>
      <c r="C2916" t="s">
        <v>10</v>
      </c>
      <c r="D2916" t="s">
        <v>10</v>
      </c>
      <c r="E2916" t="str">
        <f>"$ 20,156"</f>
        <v>$ 20,156</v>
      </c>
      <c r="F2916">
        <v>265</v>
      </c>
    </row>
    <row r="2917" spans="1:6">
      <c r="A2917" t="s">
        <v>2917</v>
      </c>
      <c r="B2917" t="str">
        <f t="shared" si="68"/>
        <v>0.00261%</v>
      </c>
      <c r="C2917" t="s">
        <v>10</v>
      </c>
      <c r="D2917" t="s">
        <v>10</v>
      </c>
      <c r="E2917" t="str">
        <f>"$ 20,178"</f>
        <v>$ 20,178</v>
      </c>
      <c r="F2917" s="1">
        <v>10764</v>
      </c>
    </row>
    <row r="2918" spans="1:6">
      <c r="A2918" t="s">
        <v>2918</v>
      </c>
      <c r="B2918" t="str">
        <f t="shared" si="68"/>
        <v>0.00261%</v>
      </c>
      <c r="C2918" t="s">
        <v>10</v>
      </c>
      <c r="D2918" t="s">
        <v>10</v>
      </c>
      <c r="E2918" t="str">
        <f>"$ 20,155"</f>
        <v>$ 20,155</v>
      </c>
      <c r="F2918">
        <v>585</v>
      </c>
    </row>
    <row r="2919" spans="1:6">
      <c r="A2919" t="s">
        <v>2919</v>
      </c>
      <c r="B2919" t="str">
        <f t="shared" si="68"/>
        <v>0.00261%</v>
      </c>
      <c r="C2919" t="s">
        <v>10</v>
      </c>
      <c r="D2919" t="s">
        <v>10</v>
      </c>
      <c r="E2919" t="str">
        <f>"$ 20,167"</f>
        <v>$ 20,167</v>
      </c>
      <c r="F2919">
        <v>88</v>
      </c>
    </row>
    <row r="2920" spans="1:6">
      <c r="A2920" t="s">
        <v>2920</v>
      </c>
      <c r="B2920" t="str">
        <f t="shared" ref="B2920:B2927" si="69">"0.00260%"</f>
        <v>0.00260%</v>
      </c>
      <c r="C2920" t="s">
        <v>10</v>
      </c>
      <c r="D2920" t="s">
        <v>10</v>
      </c>
      <c r="E2920" t="str">
        <f>"$ 20,103"</f>
        <v>$ 20,103</v>
      </c>
      <c r="F2920">
        <v>511</v>
      </c>
    </row>
    <row r="2921" spans="1:6">
      <c r="A2921" t="s">
        <v>2921</v>
      </c>
      <c r="B2921" t="str">
        <f t="shared" si="69"/>
        <v>0.00260%</v>
      </c>
      <c r="C2921" t="s">
        <v>10</v>
      </c>
      <c r="D2921" t="s">
        <v>10</v>
      </c>
      <c r="E2921" t="str">
        <f>"$ 20,109"</f>
        <v>$ 20,109</v>
      </c>
      <c r="F2921">
        <v>679</v>
      </c>
    </row>
    <row r="2922" spans="1:6">
      <c r="A2922" t="s">
        <v>2922</v>
      </c>
      <c r="B2922" t="str">
        <f t="shared" si="69"/>
        <v>0.00260%</v>
      </c>
      <c r="C2922" t="s">
        <v>10</v>
      </c>
      <c r="D2922" t="s">
        <v>10</v>
      </c>
      <c r="E2922" t="str">
        <f>"$ 20,056"</f>
        <v>$ 20,056</v>
      </c>
      <c r="F2922">
        <v>578</v>
      </c>
    </row>
    <row r="2923" spans="1:6">
      <c r="A2923" t="s">
        <v>2923</v>
      </c>
      <c r="B2923" t="str">
        <f t="shared" si="69"/>
        <v>0.00260%</v>
      </c>
      <c r="C2923" t="s">
        <v>10</v>
      </c>
      <c r="D2923" t="s">
        <v>10</v>
      </c>
      <c r="E2923" t="str">
        <f>"$ 20,061"</f>
        <v>$ 20,061</v>
      </c>
      <c r="F2923">
        <v>335</v>
      </c>
    </row>
    <row r="2924" spans="1:6">
      <c r="A2924" t="s">
        <v>2924</v>
      </c>
      <c r="B2924" t="str">
        <f t="shared" si="69"/>
        <v>0.00260%</v>
      </c>
      <c r="C2924" t="s">
        <v>10</v>
      </c>
      <c r="D2924" t="s">
        <v>10</v>
      </c>
      <c r="E2924" t="str">
        <f>"$ 20,096"</f>
        <v>$ 20,096</v>
      </c>
      <c r="F2924">
        <v>610</v>
      </c>
    </row>
    <row r="2925" spans="1:6">
      <c r="A2925" t="s">
        <v>2925</v>
      </c>
      <c r="B2925" t="str">
        <f t="shared" si="69"/>
        <v>0.00260%</v>
      </c>
      <c r="C2925" t="s">
        <v>10</v>
      </c>
      <c r="D2925" t="s">
        <v>10</v>
      </c>
      <c r="E2925" t="str">
        <f>"$ 20,107"</f>
        <v>$ 20,107</v>
      </c>
      <c r="F2925">
        <v>257</v>
      </c>
    </row>
    <row r="2926" spans="1:6">
      <c r="A2926" t="s">
        <v>2926</v>
      </c>
      <c r="B2926" t="str">
        <f t="shared" si="69"/>
        <v>0.00260%</v>
      </c>
      <c r="C2926" t="s">
        <v>10</v>
      </c>
      <c r="D2926" t="s">
        <v>10</v>
      </c>
      <c r="E2926" t="str">
        <f>"$ 20,079"</f>
        <v>$ 20,079</v>
      </c>
      <c r="F2926" s="1">
        <v>5827</v>
      </c>
    </row>
    <row r="2927" spans="1:6">
      <c r="A2927" t="s">
        <v>2927</v>
      </c>
      <c r="B2927" t="str">
        <f t="shared" si="69"/>
        <v>0.00260%</v>
      </c>
      <c r="C2927" t="s">
        <v>10</v>
      </c>
      <c r="D2927" t="s">
        <v>10</v>
      </c>
      <c r="E2927" t="str">
        <f>"$ 20,070"</f>
        <v>$ 20,070</v>
      </c>
      <c r="F2927">
        <v>627</v>
      </c>
    </row>
    <row r="2928" spans="1:6">
      <c r="A2928" t="s">
        <v>2928</v>
      </c>
      <c r="B2928" t="str">
        <f>"0.00259%"</f>
        <v>0.00259%</v>
      </c>
      <c r="C2928" t="s">
        <v>10</v>
      </c>
      <c r="D2928" t="s">
        <v>10</v>
      </c>
      <c r="E2928" t="str">
        <f>"$ 19,999"</f>
        <v>$ 19,999</v>
      </c>
      <c r="F2928" s="1">
        <v>5110</v>
      </c>
    </row>
    <row r="2929" spans="1:6">
      <c r="A2929" t="s">
        <v>2929</v>
      </c>
      <c r="B2929" t="str">
        <f>"0.00259%"</f>
        <v>0.00259%</v>
      </c>
      <c r="C2929" t="s">
        <v>10</v>
      </c>
      <c r="D2929" t="s">
        <v>10</v>
      </c>
      <c r="E2929" t="str">
        <f>"$ 19,990"</f>
        <v>$ 19,990</v>
      </c>
      <c r="F2929" s="1">
        <v>1326</v>
      </c>
    </row>
    <row r="2930" spans="1:6">
      <c r="A2930" t="s">
        <v>2930</v>
      </c>
      <c r="B2930" t="str">
        <f>"0.00259%"</f>
        <v>0.00259%</v>
      </c>
      <c r="C2930" t="s">
        <v>10</v>
      </c>
      <c r="D2930" t="s">
        <v>10</v>
      </c>
      <c r="E2930" t="str">
        <f>"$ 19,984"</f>
        <v>$ 19,984</v>
      </c>
      <c r="F2930">
        <v>146</v>
      </c>
    </row>
    <row r="2931" spans="1:6">
      <c r="A2931" t="s">
        <v>2931</v>
      </c>
      <c r="B2931" t="str">
        <f t="shared" ref="B2931:B2940" si="70">"0.00258%"</f>
        <v>0.00258%</v>
      </c>
      <c r="C2931" t="s">
        <v>10</v>
      </c>
      <c r="D2931" t="s">
        <v>10</v>
      </c>
      <c r="E2931" t="str">
        <f>"$ 19,895"</f>
        <v>$ 19,895</v>
      </c>
      <c r="F2931">
        <v>718</v>
      </c>
    </row>
    <row r="2932" spans="1:6">
      <c r="A2932" t="s">
        <v>2932</v>
      </c>
      <c r="B2932" t="str">
        <f t="shared" si="70"/>
        <v>0.00258%</v>
      </c>
      <c r="C2932" t="s">
        <v>10</v>
      </c>
      <c r="D2932" t="s">
        <v>10</v>
      </c>
      <c r="E2932" t="str">
        <f>"$ 19,889"</f>
        <v>$ 19,889</v>
      </c>
      <c r="F2932">
        <v>173</v>
      </c>
    </row>
    <row r="2933" spans="1:6">
      <c r="A2933" t="s">
        <v>2933</v>
      </c>
      <c r="B2933" t="str">
        <f t="shared" si="70"/>
        <v>0.00258%</v>
      </c>
      <c r="C2933" t="s">
        <v>10</v>
      </c>
      <c r="D2933" t="s">
        <v>10</v>
      </c>
      <c r="E2933" t="str">
        <f>"$ 19,955"</f>
        <v>$ 19,955</v>
      </c>
      <c r="F2933">
        <v>528</v>
      </c>
    </row>
    <row r="2934" spans="1:6">
      <c r="A2934" t="s">
        <v>2934</v>
      </c>
      <c r="B2934" t="str">
        <f t="shared" si="70"/>
        <v>0.00258%</v>
      </c>
      <c r="C2934" t="s">
        <v>10</v>
      </c>
      <c r="D2934" t="s">
        <v>10</v>
      </c>
      <c r="E2934" t="str">
        <f>"$ 19,907"</f>
        <v>$ 19,907</v>
      </c>
      <c r="F2934">
        <v>643</v>
      </c>
    </row>
    <row r="2935" spans="1:6">
      <c r="A2935" t="s">
        <v>2935</v>
      </c>
      <c r="B2935" t="str">
        <f t="shared" si="70"/>
        <v>0.00258%</v>
      </c>
      <c r="C2935" t="s">
        <v>10</v>
      </c>
      <c r="D2935" t="s">
        <v>10</v>
      </c>
      <c r="E2935" t="str">
        <f>"$ 19,922"</f>
        <v>$ 19,922</v>
      </c>
      <c r="F2935">
        <v>95</v>
      </c>
    </row>
    <row r="2936" spans="1:6">
      <c r="A2936" t="s">
        <v>2936</v>
      </c>
      <c r="B2936" t="str">
        <f t="shared" si="70"/>
        <v>0.00258%</v>
      </c>
      <c r="C2936" t="s">
        <v>10</v>
      </c>
      <c r="D2936" t="s">
        <v>10</v>
      </c>
      <c r="E2936" t="str">
        <f>"$ 19,938"</f>
        <v>$ 19,938</v>
      </c>
      <c r="F2936">
        <v>643</v>
      </c>
    </row>
    <row r="2937" spans="1:6">
      <c r="A2937" t="s">
        <v>2937</v>
      </c>
      <c r="B2937" t="str">
        <f t="shared" si="70"/>
        <v>0.00258%</v>
      </c>
      <c r="C2937" t="s">
        <v>10</v>
      </c>
      <c r="D2937" t="s">
        <v>10</v>
      </c>
      <c r="E2937" t="str">
        <f>"$ 19,902"</f>
        <v>$ 19,902</v>
      </c>
      <c r="F2937" s="1">
        <v>8145</v>
      </c>
    </row>
    <row r="2938" spans="1:6">
      <c r="A2938" t="s">
        <v>2938</v>
      </c>
      <c r="B2938" t="str">
        <f t="shared" si="70"/>
        <v>0.00258%</v>
      </c>
      <c r="C2938" t="s">
        <v>10</v>
      </c>
      <c r="D2938" t="s">
        <v>10</v>
      </c>
      <c r="E2938" t="str">
        <f>"$ 19,904"</f>
        <v>$ 19,904</v>
      </c>
      <c r="F2938">
        <v>488</v>
      </c>
    </row>
    <row r="2939" spans="1:6">
      <c r="A2939" t="s">
        <v>2939</v>
      </c>
      <c r="B2939" t="str">
        <f t="shared" si="70"/>
        <v>0.00258%</v>
      </c>
      <c r="C2939" t="s">
        <v>10</v>
      </c>
      <c r="D2939" t="s">
        <v>10</v>
      </c>
      <c r="E2939" t="str">
        <f>"$ 19,935"</f>
        <v>$ 19,935</v>
      </c>
      <c r="F2939">
        <v>148</v>
      </c>
    </row>
    <row r="2940" spans="1:6">
      <c r="A2940" t="s">
        <v>2940</v>
      </c>
      <c r="B2940" t="str">
        <f t="shared" si="70"/>
        <v>0.00258%</v>
      </c>
      <c r="C2940" t="s">
        <v>10</v>
      </c>
      <c r="D2940" t="s">
        <v>10</v>
      </c>
      <c r="E2940" t="str">
        <f>"$ 19,925"</f>
        <v>$ 19,925</v>
      </c>
      <c r="F2940" s="1">
        <v>7839</v>
      </c>
    </row>
    <row r="2941" spans="1:6">
      <c r="A2941" t="s">
        <v>2941</v>
      </c>
      <c r="B2941" t="str">
        <f t="shared" ref="B2941:B2953" si="71">"0.00257%"</f>
        <v>0.00257%</v>
      </c>
      <c r="C2941" t="s">
        <v>10</v>
      </c>
      <c r="D2941" t="s">
        <v>10</v>
      </c>
      <c r="E2941" t="str">
        <f>"$ 19,832"</f>
        <v>$ 19,832</v>
      </c>
      <c r="F2941" s="1">
        <v>3521</v>
      </c>
    </row>
    <row r="2942" spans="1:6">
      <c r="A2942" t="s">
        <v>2942</v>
      </c>
      <c r="B2942" t="str">
        <f t="shared" si="71"/>
        <v>0.00257%</v>
      </c>
      <c r="C2942" t="s">
        <v>10</v>
      </c>
      <c r="D2942" t="s">
        <v>10</v>
      </c>
      <c r="E2942" t="str">
        <f>"$ 19,816"</f>
        <v>$ 19,816</v>
      </c>
      <c r="F2942">
        <v>914</v>
      </c>
    </row>
    <row r="2943" spans="1:6">
      <c r="A2943" t="s">
        <v>2943</v>
      </c>
      <c r="B2943" t="str">
        <f t="shared" si="71"/>
        <v>0.00257%</v>
      </c>
      <c r="C2943" t="s">
        <v>10</v>
      </c>
      <c r="D2943" t="s">
        <v>10</v>
      </c>
      <c r="E2943" t="str">
        <f>"$ 19,833"</f>
        <v>$ 19,833</v>
      </c>
      <c r="F2943">
        <v>437</v>
      </c>
    </row>
    <row r="2944" spans="1:6">
      <c r="A2944" t="s">
        <v>2944</v>
      </c>
      <c r="B2944" t="str">
        <f t="shared" si="71"/>
        <v>0.00257%</v>
      </c>
      <c r="C2944" t="s">
        <v>10</v>
      </c>
      <c r="D2944" t="s">
        <v>10</v>
      </c>
      <c r="E2944" t="str">
        <f>"$ 19,840"</f>
        <v>$ 19,840</v>
      </c>
      <c r="F2944" s="1">
        <v>2915</v>
      </c>
    </row>
    <row r="2945" spans="1:6">
      <c r="A2945" t="s">
        <v>2945</v>
      </c>
      <c r="B2945" t="str">
        <f t="shared" si="71"/>
        <v>0.00257%</v>
      </c>
      <c r="C2945" t="s">
        <v>10</v>
      </c>
      <c r="D2945" t="s">
        <v>10</v>
      </c>
      <c r="E2945" t="str">
        <f>"$ 19,826"</f>
        <v>$ 19,826</v>
      </c>
      <c r="F2945" s="1">
        <v>7317</v>
      </c>
    </row>
    <row r="2946" spans="1:6">
      <c r="A2946" t="s">
        <v>2946</v>
      </c>
      <c r="B2946" t="str">
        <f t="shared" si="71"/>
        <v>0.00257%</v>
      </c>
      <c r="C2946" t="s">
        <v>10</v>
      </c>
      <c r="D2946" t="s">
        <v>10</v>
      </c>
      <c r="E2946" t="str">
        <f>"$ 19,841"</f>
        <v>$ 19,841</v>
      </c>
      <c r="F2946" s="1">
        <v>1154</v>
      </c>
    </row>
    <row r="2947" spans="1:6">
      <c r="A2947" t="s">
        <v>2947</v>
      </c>
      <c r="B2947" t="str">
        <f t="shared" si="71"/>
        <v>0.00257%</v>
      </c>
      <c r="C2947" t="s">
        <v>10</v>
      </c>
      <c r="D2947" t="s">
        <v>10</v>
      </c>
      <c r="E2947" t="str">
        <f>"$ 19,815"</f>
        <v>$ 19,815</v>
      </c>
      <c r="F2947">
        <v>245</v>
      </c>
    </row>
    <row r="2948" spans="1:6">
      <c r="A2948" t="s">
        <v>2948</v>
      </c>
      <c r="B2948" t="str">
        <f t="shared" si="71"/>
        <v>0.00257%</v>
      </c>
      <c r="C2948" t="s">
        <v>10</v>
      </c>
      <c r="D2948" t="s">
        <v>10</v>
      </c>
      <c r="E2948" t="str">
        <f>"$ 19,824"</f>
        <v>$ 19,824</v>
      </c>
      <c r="F2948" s="1">
        <v>1522</v>
      </c>
    </row>
    <row r="2949" spans="1:6">
      <c r="A2949" t="s">
        <v>2949</v>
      </c>
      <c r="B2949" t="str">
        <f t="shared" si="71"/>
        <v>0.00257%</v>
      </c>
      <c r="C2949" t="s">
        <v>10</v>
      </c>
      <c r="D2949" t="s">
        <v>10</v>
      </c>
      <c r="E2949" t="str">
        <f>"$ 19,834"</f>
        <v>$ 19,834</v>
      </c>
      <c r="F2949" s="1">
        <v>1862</v>
      </c>
    </row>
    <row r="2950" spans="1:6">
      <c r="A2950" t="s">
        <v>2950</v>
      </c>
      <c r="B2950" t="str">
        <f t="shared" si="71"/>
        <v>0.00257%</v>
      </c>
      <c r="C2950" t="s">
        <v>10</v>
      </c>
      <c r="D2950" t="s">
        <v>10</v>
      </c>
      <c r="E2950" t="str">
        <f>"$ 19,865"</f>
        <v>$ 19,865</v>
      </c>
      <c r="F2950">
        <v>433</v>
      </c>
    </row>
    <row r="2951" spans="1:6">
      <c r="A2951" t="s">
        <v>2951</v>
      </c>
      <c r="B2951" t="str">
        <f t="shared" si="71"/>
        <v>0.00257%</v>
      </c>
      <c r="C2951" t="s">
        <v>10</v>
      </c>
      <c r="D2951" t="s">
        <v>10</v>
      </c>
      <c r="E2951" t="str">
        <f>"$ 19,817"</f>
        <v>$ 19,817</v>
      </c>
      <c r="F2951" s="1">
        <v>1328</v>
      </c>
    </row>
    <row r="2952" spans="1:6">
      <c r="A2952" t="s">
        <v>2952</v>
      </c>
      <c r="B2952" t="str">
        <f t="shared" si="71"/>
        <v>0.00257%</v>
      </c>
      <c r="C2952" t="s">
        <v>10</v>
      </c>
      <c r="D2952" t="s">
        <v>10</v>
      </c>
      <c r="E2952" t="str">
        <f>"$ 19,811"</f>
        <v>$ 19,811</v>
      </c>
      <c r="F2952" s="1">
        <v>2216</v>
      </c>
    </row>
    <row r="2953" spans="1:6">
      <c r="A2953" t="s">
        <v>2953</v>
      </c>
      <c r="B2953" t="str">
        <f t="shared" si="71"/>
        <v>0.00257%</v>
      </c>
      <c r="C2953" t="s">
        <v>10</v>
      </c>
      <c r="D2953" t="s">
        <v>10</v>
      </c>
      <c r="E2953" t="str">
        <f>"$ 19,884"</f>
        <v>$ 19,884</v>
      </c>
      <c r="F2953" s="1">
        <v>6840</v>
      </c>
    </row>
    <row r="2954" spans="1:6">
      <c r="A2954" t="s">
        <v>2954</v>
      </c>
      <c r="B2954" t="str">
        <f t="shared" ref="B2954:B2959" si="72">"0.00256%"</f>
        <v>0.00256%</v>
      </c>
      <c r="C2954" t="s">
        <v>10</v>
      </c>
      <c r="D2954" t="s">
        <v>10</v>
      </c>
      <c r="E2954" t="str">
        <f>"$ 19,749"</f>
        <v>$ 19,749</v>
      </c>
      <c r="F2954">
        <v>632</v>
      </c>
    </row>
    <row r="2955" spans="1:6">
      <c r="A2955" t="s">
        <v>2955</v>
      </c>
      <c r="B2955" t="str">
        <f t="shared" si="72"/>
        <v>0.00256%</v>
      </c>
      <c r="C2955" t="s">
        <v>10</v>
      </c>
      <c r="D2955" t="s">
        <v>10</v>
      </c>
      <c r="E2955" t="str">
        <f>"$ 19,778"</f>
        <v>$ 19,778</v>
      </c>
      <c r="F2955">
        <v>144</v>
      </c>
    </row>
    <row r="2956" spans="1:6">
      <c r="A2956" t="s">
        <v>2956</v>
      </c>
      <c r="B2956" t="str">
        <f t="shared" si="72"/>
        <v>0.00256%</v>
      </c>
      <c r="C2956" t="s">
        <v>10</v>
      </c>
      <c r="D2956" t="s">
        <v>10</v>
      </c>
      <c r="E2956" t="str">
        <f>"$ 19,760"</f>
        <v>$ 19,760</v>
      </c>
      <c r="F2956" s="1">
        <v>1591</v>
      </c>
    </row>
    <row r="2957" spans="1:6">
      <c r="A2957" t="s">
        <v>2957</v>
      </c>
      <c r="B2957" t="str">
        <f t="shared" si="72"/>
        <v>0.00256%</v>
      </c>
      <c r="C2957" t="s">
        <v>10</v>
      </c>
      <c r="D2957" t="s">
        <v>10</v>
      </c>
      <c r="E2957" t="str">
        <f>"$ 19,758"</f>
        <v>$ 19,758</v>
      </c>
      <c r="F2957" s="1">
        <v>23038</v>
      </c>
    </row>
    <row r="2958" spans="1:6">
      <c r="A2958" t="s">
        <v>2958</v>
      </c>
      <c r="B2958" t="str">
        <f t="shared" si="72"/>
        <v>0.00256%</v>
      </c>
      <c r="C2958" t="s">
        <v>10</v>
      </c>
      <c r="D2958" t="s">
        <v>10</v>
      </c>
      <c r="E2958" t="str">
        <f>"$ 19,741"</f>
        <v>$ 19,741</v>
      </c>
      <c r="F2958">
        <v>217</v>
      </c>
    </row>
    <row r="2959" spans="1:6">
      <c r="A2959" t="s">
        <v>2959</v>
      </c>
      <c r="B2959" t="str">
        <f t="shared" si="72"/>
        <v>0.00256%</v>
      </c>
      <c r="C2959" t="s">
        <v>10</v>
      </c>
      <c r="D2959" t="s">
        <v>10</v>
      </c>
      <c r="E2959" t="str">
        <f>"$ 19,735"</f>
        <v>$ 19,735</v>
      </c>
      <c r="F2959" s="1">
        <v>33783</v>
      </c>
    </row>
    <row r="2960" spans="1:6">
      <c r="A2960" t="s">
        <v>2960</v>
      </c>
      <c r="B2960" t="str">
        <f>"0.00255%"</f>
        <v>0.00255%</v>
      </c>
      <c r="C2960" t="s">
        <v>10</v>
      </c>
      <c r="D2960" t="s">
        <v>10</v>
      </c>
      <c r="E2960" t="str">
        <f>"$ 19,699"</f>
        <v>$ 19,699</v>
      </c>
      <c r="F2960">
        <v>412</v>
      </c>
    </row>
    <row r="2961" spans="1:6">
      <c r="A2961" t="s">
        <v>2961</v>
      </c>
      <c r="B2961" t="str">
        <f>"0.00255%"</f>
        <v>0.00255%</v>
      </c>
      <c r="C2961" t="s">
        <v>10</v>
      </c>
      <c r="D2961" t="s">
        <v>10</v>
      </c>
      <c r="E2961" t="str">
        <f>"$ 19,667"</f>
        <v>$ 19,667</v>
      </c>
      <c r="F2961" s="1">
        <v>1221</v>
      </c>
    </row>
    <row r="2962" spans="1:6">
      <c r="A2962" t="s">
        <v>2962</v>
      </c>
      <c r="B2962" t="str">
        <f>"0.00255%"</f>
        <v>0.00255%</v>
      </c>
      <c r="C2962" t="s">
        <v>10</v>
      </c>
      <c r="D2962" t="s">
        <v>10</v>
      </c>
      <c r="E2962" t="str">
        <f>"$ 19,696"</f>
        <v>$ 19,696</v>
      </c>
      <c r="F2962">
        <v>682</v>
      </c>
    </row>
    <row r="2963" spans="1:6">
      <c r="A2963" t="s">
        <v>2963</v>
      </c>
      <c r="B2963" t="str">
        <f>"0.00255%"</f>
        <v>0.00255%</v>
      </c>
      <c r="C2963" t="s">
        <v>10</v>
      </c>
      <c r="D2963" t="s">
        <v>10</v>
      </c>
      <c r="E2963" t="str">
        <f>"$ 19,712"</f>
        <v>$ 19,712</v>
      </c>
      <c r="F2963">
        <v>266</v>
      </c>
    </row>
    <row r="2964" spans="1:6">
      <c r="A2964" t="s">
        <v>2964</v>
      </c>
      <c r="B2964" t="str">
        <f t="shared" ref="B2964:B2969" si="73">"0.00254%"</f>
        <v>0.00254%</v>
      </c>
      <c r="C2964" t="s">
        <v>10</v>
      </c>
      <c r="D2964" t="s">
        <v>10</v>
      </c>
      <c r="E2964" t="str">
        <f>"$ 19,586"</f>
        <v>$ 19,586</v>
      </c>
      <c r="F2964">
        <v>459</v>
      </c>
    </row>
    <row r="2965" spans="1:6">
      <c r="A2965" t="s">
        <v>2965</v>
      </c>
      <c r="B2965" t="str">
        <f t="shared" si="73"/>
        <v>0.00254%</v>
      </c>
      <c r="C2965" t="s">
        <v>10</v>
      </c>
      <c r="D2965" t="s">
        <v>10</v>
      </c>
      <c r="E2965" t="str">
        <f>"$ 19,630"</f>
        <v>$ 19,630</v>
      </c>
      <c r="F2965" s="1">
        <v>18576</v>
      </c>
    </row>
    <row r="2966" spans="1:6">
      <c r="A2966" t="s">
        <v>2966</v>
      </c>
      <c r="B2966" t="str">
        <f t="shared" si="73"/>
        <v>0.00254%</v>
      </c>
      <c r="C2966" t="s">
        <v>10</v>
      </c>
      <c r="D2966" t="s">
        <v>10</v>
      </c>
      <c r="E2966" t="str">
        <f>"$ 19,583"</f>
        <v>$ 19,583</v>
      </c>
      <c r="F2966">
        <v>176</v>
      </c>
    </row>
    <row r="2967" spans="1:6">
      <c r="A2967" t="s">
        <v>2967</v>
      </c>
      <c r="B2967" t="str">
        <f t="shared" si="73"/>
        <v>0.00254%</v>
      </c>
      <c r="C2967" t="s">
        <v>10</v>
      </c>
      <c r="D2967" t="s">
        <v>10</v>
      </c>
      <c r="E2967" t="str">
        <f>"$ 19,643"</f>
        <v>$ 19,643</v>
      </c>
      <c r="F2967">
        <v>490</v>
      </c>
    </row>
    <row r="2968" spans="1:6">
      <c r="A2968" t="s">
        <v>2968</v>
      </c>
      <c r="B2968" t="str">
        <f t="shared" si="73"/>
        <v>0.00254%</v>
      </c>
      <c r="C2968" t="s">
        <v>10</v>
      </c>
      <c r="D2968" t="s">
        <v>10</v>
      </c>
      <c r="E2968" t="str">
        <f>"$ 19,604"</f>
        <v>$ 19,604</v>
      </c>
      <c r="F2968">
        <v>232</v>
      </c>
    </row>
    <row r="2969" spans="1:6">
      <c r="A2969" t="s">
        <v>2969</v>
      </c>
      <c r="B2969" t="str">
        <f t="shared" si="73"/>
        <v>0.00254%</v>
      </c>
      <c r="C2969" t="s">
        <v>10</v>
      </c>
      <c r="D2969" t="s">
        <v>10</v>
      </c>
      <c r="E2969" t="str">
        <f>"$ 19,576"</f>
        <v>$ 19,576</v>
      </c>
      <c r="F2969">
        <v>452</v>
      </c>
    </row>
    <row r="2970" spans="1:6">
      <c r="A2970" t="s">
        <v>2970</v>
      </c>
      <c r="B2970" t="str">
        <f t="shared" ref="B2970:B2978" si="74">"0.00253%"</f>
        <v>0.00253%</v>
      </c>
      <c r="C2970" t="s">
        <v>10</v>
      </c>
      <c r="D2970" t="s">
        <v>10</v>
      </c>
      <c r="E2970" t="str">
        <f>"$ 19,539"</f>
        <v>$ 19,539</v>
      </c>
      <c r="F2970" s="1">
        <v>6501</v>
      </c>
    </row>
    <row r="2971" spans="1:6">
      <c r="A2971" t="s">
        <v>2971</v>
      </c>
      <c r="B2971" t="str">
        <f t="shared" si="74"/>
        <v>0.00253%</v>
      </c>
      <c r="C2971" t="s">
        <v>10</v>
      </c>
      <c r="D2971" t="s">
        <v>10</v>
      </c>
      <c r="E2971" t="str">
        <f>"$ 19,567"</f>
        <v>$ 19,567</v>
      </c>
      <c r="F2971">
        <v>244</v>
      </c>
    </row>
    <row r="2972" spans="1:6">
      <c r="A2972" t="s">
        <v>2972</v>
      </c>
      <c r="B2972" t="str">
        <f t="shared" si="74"/>
        <v>0.00253%</v>
      </c>
      <c r="C2972" t="s">
        <v>10</v>
      </c>
      <c r="D2972" t="s">
        <v>10</v>
      </c>
      <c r="E2972" t="str">
        <f>"$ 19,546"</f>
        <v>$ 19,546</v>
      </c>
      <c r="F2972">
        <v>194</v>
      </c>
    </row>
    <row r="2973" spans="1:6">
      <c r="A2973" t="s">
        <v>2973</v>
      </c>
      <c r="B2973" t="str">
        <f t="shared" si="74"/>
        <v>0.00253%</v>
      </c>
      <c r="C2973" t="s">
        <v>10</v>
      </c>
      <c r="D2973" t="s">
        <v>10</v>
      </c>
      <c r="E2973" t="str">
        <f>"$ 19,535"</f>
        <v>$ 19,535</v>
      </c>
      <c r="F2973">
        <v>87</v>
      </c>
    </row>
    <row r="2974" spans="1:6">
      <c r="A2974" t="s">
        <v>2974</v>
      </c>
      <c r="B2974" t="str">
        <f t="shared" si="74"/>
        <v>0.00253%</v>
      </c>
      <c r="C2974" t="s">
        <v>10</v>
      </c>
      <c r="D2974" t="s">
        <v>10</v>
      </c>
      <c r="E2974" t="str">
        <f>"$ 19,525"</f>
        <v>$ 19,525</v>
      </c>
      <c r="F2974">
        <v>462</v>
      </c>
    </row>
    <row r="2975" spans="1:6">
      <c r="A2975" t="s">
        <v>2975</v>
      </c>
      <c r="B2975" t="str">
        <f t="shared" si="74"/>
        <v>0.00253%</v>
      </c>
      <c r="C2975" t="s">
        <v>10</v>
      </c>
      <c r="D2975" t="s">
        <v>10</v>
      </c>
      <c r="E2975" t="str">
        <f>"$ 19,502"</f>
        <v>$ 19,502</v>
      </c>
      <c r="F2975">
        <v>345</v>
      </c>
    </row>
    <row r="2976" spans="1:6">
      <c r="A2976" t="s">
        <v>2976</v>
      </c>
      <c r="B2976" t="str">
        <f t="shared" si="74"/>
        <v>0.00253%</v>
      </c>
      <c r="C2976" t="s">
        <v>10</v>
      </c>
      <c r="D2976" t="s">
        <v>10</v>
      </c>
      <c r="E2976" t="str">
        <f>"$ 19,559"</f>
        <v>$ 19,559</v>
      </c>
      <c r="F2976" s="1">
        <v>3067</v>
      </c>
    </row>
    <row r="2977" spans="1:6">
      <c r="A2977" t="s">
        <v>2977</v>
      </c>
      <c r="B2977" t="str">
        <f t="shared" si="74"/>
        <v>0.00253%</v>
      </c>
      <c r="C2977" t="s">
        <v>10</v>
      </c>
      <c r="D2977" t="s">
        <v>10</v>
      </c>
      <c r="E2977" t="str">
        <f>"$ 19,531"</f>
        <v>$ 19,531</v>
      </c>
      <c r="F2977">
        <v>516</v>
      </c>
    </row>
    <row r="2978" spans="1:6">
      <c r="A2978" t="s">
        <v>2978</v>
      </c>
      <c r="B2978" t="str">
        <f t="shared" si="74"/>
        <v>0.00253%</v>
      </c>
      <c r="C2978" t="s">
        <v>10</v>
      </c>
      <c r="D2978" t="s">
        <v>10</v>
      </c>
      <c r="E2978" t="str">
        <f>"$ 19,570"</f>
        <v>$ 19,570</v>
      </c>
      <c r="F2978">
        <v>841</v>
      </c>
    </row>
    <row r="2979" spans="1:6">
      <c r="A2979" t="s">
        <v>2979</v>
      </c>
      <c r="B2979" t="str">
        <f t="shared" ref="B2979:B2986" si="75">"0.00252%"</f>
        <v>0.00252%</v>
      </c>
      <c r="C2979" t="s">
        <v>10</v>
      </c>
      <c r="D2979" t="s">
        <v>10</v>
      </c>
      <c r="E2979" t="str">
        <f>"$ 19,433"</f>
        <v>$ 19,433</v>
      </c>
      <c r="F2979">
        <v>51</v>
      </c>
    </row>
    <row r="2980" spans="1:6">
      <c r="A2980" t="s">
        <v>2980</v>
      </c>
      <c r="B2980" t="str">
        <f t="shared" si="75"/>
        <v>0.00252%</v>
      </c>
      <c r="C2980" t="s">
        <v>10</v>
      </c>
      <c r="D2980" t="s">
        <v>10</v>
      </c>
      <c r="E2980" t="str">
        <f>"$ 19,465"</f>
        <v>$ 19,465</v>
      </c>
      <c r="F2980">
        <v>991</v>
      </c>
    </row>
    <row r="2981" spans="1:6">
      <c r="A2981" t="s">
        <v>2981</v>
      </c>
      <c r="B2981" t="str">
        <f t="shared" si="75"/>
        <v>0.00252%</v>
      </c>
      <c r="C2981" t="s">
        <v>10</v>
      </c>
      <c r="D2981" t="s">
        <v>10</v>
      </c>
      <c r="E2981" t="str">
        <f>"$ 19,472"</f>
        <v>$ 19,472</v>
      </c>
      <c r="F2981">
        <v>125</v>
      </c>
    </row>
    <row r="2982" spans="1:6">
      <c r="A2982" t="s">
        <v>2982</v>
      </c>
      <c r="B2982" t="str">
        <f t="shared" si="75"/>
        <v>0.00252%</v>
      </c>
      <c r="C2982" t="s">
        <v>10</v>
      </c>
      <c r="D2982" t="s">
        <v>10</v>
      </c>
      <c r="E2982" t="str">
        <f>"$ 19,488"</f>
        <v>$ 19,488</v>
      </c>
      <c r="F2982">
        <v>349</v>
      </c>
    </row>
    <row r="2983" spans="1:6">
      <c r="A2983" t="s">
        <v>2983</v>
      </c>
      <c r="B2983" t="str">
        <f t="shared" si="75"/>
        <v>0.00252%</v>
      </c>
      <c r="C2983" t="s">
        <v>10</v>
      </c>
      <c r="D2983" t="s">
        <v>10</v>
      </c>
      <c r="E2983" t="str">
        <f>"$ 19,478"</f>
        <v>$ 19,478</v>
      </c>
      <c r="F2983" s="1">
        <v>8637</v>
      </c>
    </row>
    <row r="2984" spans="1:6">
      <c r="A2984" t="s">
        <v>2984</v>
      </c>
      <c r="B2984" t="str">
        <f t="shared" si="75"/>
        <v>0.00252%</v>
      </c>
      <c r="C2984" t="s">
        <v>10</v>
      </c>
      <c r="D2984" t="s">
        <v>10</v>
      </c>
      <c r="E2984" t="str">
        <f>"$ 19,452"</f>
        <v>$ 19,452</v>
      </c>
      <c r="F2984">
        <v>126</v>
      </c>
    </row>
    <row r="2985" spans="1:6">
      <c r="A2985" t="s">
        <v>2985</v>
      </c>
      <c r="B2985" t="str">
        <f t="shared" si="75"/>
        <v>0.00252%</v>
      </c>
      <c r="C2985" t="s">
        <v>10</v>
      </c>
      <c r="D2985" t="s">
        <v>10</v>
      </c>
      <c r="E2985" t="str">
        <f>"$ 19,451"</f>
        <v>$ 19,451</v>
      </c>
      <c r="F2985">
        <v>514</v>
      </c>
    </row>
    <row r="2986" spans="1:6">
      <c r="A2986" t="s">
        <v>2986</v>
      </c>
      <c r="B2986" t="str">
        <f t="shared" si="75"/>
        <v>0.00252%</v>
      </c>
      <c r="C2986" t="s">
        <v>10</v>
      </c>
      <c r="D2986" t="s">
        <v>10</v>
      </c>
      <c r="E2986" t="str">
        <f>"$ 19,470"</f>
        <v>$ 19,470</v>
      </c>
      <c r="F2986" s="1">
        <v>54494</v>
      </c>
    </row>
    <row r="2987" spans="1:6">
      <c r="A2987" t="s">
        <v>2987</v>
      </c>
      <c r="B2987" t="str">
        <f>"0.00251%"</f>
        <v>0.00251%</v>
      </c>
      <c r="C2987" t="s">
        <v>10</v>
      </c>
      <c r="D2987" t="s">
        <v>10</v>
      </c>
      <c r="E2987" t="str">
        <f>"$ 19,368"</f>
        <v>$ 19,368</v>
      </c>
      <c r="F2987">
        <v>479</v>
      </c>
    </row>
    <row r="2988" spans="1:6">
      <c r="A2988" t="s">
        <v>2988</v>
      </c>
      <c r="B2988" t="str">
        <f>"0.00251%"</f>
        <v>0.00251%</v>
      </c>
      <c r="C2988" t="s">
        <v>10</v>
      </c>
      <c r="D2988" t="s">
        <v>10</v>
      </c>
      <c r="E2988" t="str">
        <f>"$ 19,400"</f>
        <v>$ 19,400</v>
      </c>
      <c r="F2988">
        <v>165</v>
      </c>
    </row>
    <row r="2989" spans="1:6">
      <c r="A2989" t="s">
        <v>2989</v>
      </c>
      <c r="B2989" t="str">
        <f>"0.00251%"</f>
        <v>0.00251%</v>
      </c>
      <c r="C2989" t="s">
        <v>10</v>
      </c>
      <c r="D2989" t="s">
        <v>10</v>
      </c>
      <c r="E2989" t="str">
        <f>"$ 19,373"</f>
        <v>$ 19,373</v>
      </c>
      <c r="F2989">
        <v>214</v>
      </c>
    </row>
    <row r="2990" spans="1:6">
      <c r="A2990" t="s">
        <v>2990</v>
      </c>
      <c r="B2990" t="str">
        <f>"0.00251%"</f>
        <v>0.00251%</v>
      </c>
      <c r="C2990" t="s">
        <v>10</v>
      </c>
      <c r="D2990" t="s">
        <v>10</v>
      </c>
      <c r="E2990" t="str">
        <f>"$ 19,390"</f>
        <v>$ 19,390</v>
      </c>
      <c r="F2990">
        <v>866</v>
      </c>
    </row>
    <row r="2991" spans="1:6">
      <c r="A2991" t="s">
        <v>2991</v>
      </c>
      <c r="B2991" t="str">
        <f t="shared" ref="B2991:B2998" si="76">"0.00250%"</f>
        <v>0.00250%</v>
      </c>
      <c r="C2991" t="s">
        <v>10</v>
      </c>
      <c r="D2991" t="s">
        <v>10</v>
      </c>
      <c r="E2991" t="str">
        <f>"$ 19,266"</f>
        <v>$ 19,266</v>
      </c>
      <c r="F2991">
        <v>730</v>
      </c>
    </row>
    <row r="2992" spans="1:6">
      <c r="A2992" t="s">
        <v>2992</v>
      </c>
      <c r="B2992" t="str">
        <f t="shared" si="76"/>
        <v>0.00250%</v>
      </c>
      <c r="C2992" t="s">
        <v>10</v>
      </c>
      <c r="D2992" t="s">
        <v>10</v>
      </c>
      <c r="E2992" t="str">
        <f>"$ 19,341"</f>
        <v>$ 19,341</v>
      </c>
      <c r="F2992" s="1">
        <v>1790</v>
      </c>
    </row>
    <row r="2993" spans="1:6">
      <c r="A2993" t="s">
        <v>2993</v>
      </c>
      <c r="B2993" t="str">
        <f t="shared" si="76"/>
        <v>0.00250%</v>
      </c>
      <c r="C2993" t="s">
        <v>10</v>
      </c>
      <c r="D2993" t="s">
        <v>10</v>
      </c>
      <c r="E2993" t="str">
        <f>"$ 19,282"</f>
        <v>$ 19,282</v>
      </c>
      <c r="F2993">
        <v>371</v>
      </c>
    </row>
    <row r="2994" spans="1:6">
      <c r="A2994" t="s">
        <v>2994</v>
      </c>
      <c r="B2994" t="str">
        <f t="shared" si="76"/>
        <v>0.00250%</v>
      </c>
      <c r="C2994" t="s">
        <v>10</v>
      </c>
      <c r="D2994" t="s">
        <v>10</v>
      </c>
      <c r="E2994" t="str">
        <f>"$ 19,332"</f>
        <v>$ 19,332</v>
      </c>
      <c r="F2994">
        <v>200</v>
      </c>
    </row>
    <row r="2995" spans="1:6">
      <c r="A2995" t="s">
        <v>2995</v>
      </c>
      <c r="B2995" t="str">
        <f t="shared" si="76"/>
        <v>0.00250%</v>
      </c>
      <c r="C2995" t="s">
        <v>10</v>
      </c>
      <c r="D2995" t="s">
        <v>10</v>
      </c>
      <c r="E2995" t="str">
        <f>"$ 19,290"</f>
        <v>$ 19,290</v>
      </c>
      <c r="F2995">
        <v>408</v>
      </c>
    </row>
    <row r="2996" spans="1:6">
      <c r="A2996" t="s">
        <v>2996</v>
      </c>
      <c r="B2996" t="str">
        <f t="shared" si="76"/>
        <v>0.00250%</v>
      </c>
      <c r="C2996" t="s">
        <v>10</v>
      </c>
      <c r="D2996" t="s">
        <v>10</v>
      </c>
      <c r="E2996" t="str">
        <f>"$ 19,342"</f>
        <v>$ 19,342</v>
      </c>
      <c r="F2996">
        <v>452</v>
      </c>
    </row>
    <row r="2997" spans="1:6">
      <c r="A2997" t="s">
        <v>2997</v>
      </c>
      <c r="B2997" t="str">
        <f t="shared" si="76"/>
        <v>0.00250%</v>
      </c>
      <c r="C2997" t="s">
        <v>10</v>
      </c>
      <c r="D2997" t="s">
        <v>10</v>
      </c>
      <c r="E2997" t="str">
        <f>"$ 19,298"</f>
        <v>$ 19,298</v>
      </c>
      <c r="F2997">
        <v>312</v>
      </c>
    </row>
    <row r="2998" spans="1:6">
      <c r="A2998" t="s">
        <v>2998</v>
      </c>
      <c r="B2998" t="str">
        <f t="shared" si="76"/>
        <v>0.00250%</v>
      </c>
      <c r="C2998" t="s">
        <v>10</v>
      </c>
      <c r="D2998" t="s">
        <v>10</v>
      </c>
      <c r="E2998" t="str">
        <f>"$ 19,298"</f>
        <v>$ 19,298</v>
      </c>
      <c r="F2998" s="1">
        <v>1956</v>
      </c>
    </row>
    <row r="2999" spans="1:6">
      <c r="A2999" t="s">
        <v>2999</v>
      </c>
      <c r="B2999" t="str">
        <f t="shared" ref="B2999:B3004" si="77">"0.00249%"</f>
        <v>0.00249%</v>
      </c>
      <c r="C2999" t="s">
        <v>10</v>
      </c>
      <c r="D2999" t="s">
        <v>10</v>
      </c>
      <c r="E2999" t="str">
        <f>"$ 19,213"</f>
        <v>$ 19,213</v>
      </c>
      <c r="F2999">
        <v>285</v>
      </c>
    </row>
    <row r="3000" spans="1:6">
      <c r="A3000" t="s">
        <v>3000</v>
      </c>
      <c r="B3000" t="str">
        <f t="shared" si="77"/>
        <v>0.00249%</v>
      </c>
      <c r="C3000" t="s">
        <v>10</v>
      </c>
      <c r="D3000" t="s">
        <v>10</v>
      </c>
      <c r="E3000" t="str">
        <f>"$ 19,192"</f>
        <v>$ 19,192</v>
      </c>
      <c r="F3000">
        <v>654</v>
      </c>
    </row>
    <row r="3001" spans="1:6">
      <c r="A3001" t="s">
        <v>3001</v>
      </c>
      <c r="B3001" t="str">
        <f t="shared" si="77"/>
        <v>0.00249%</v>
      </c>
      <c r="C3001" t="s">
        <v>10</v>
      </c>
      <c r="D3001" t="s">
        <v>10</v>
      </c>
      <c r="E3001" t="str">
        <f>"$ 19,237"</f>
        <v>$ 19,237</v>
      </c>
      <c r="F3001">
        <v>676</v>
      </c>
    </row>
    <row r="3002" spans="1:6">
      <c r="A3002" t="s">
        <v>3002</v>
      </c>
      <c r="B3002" t="str">
        <f t="shared" si="77"/>
        <v>0.00249%</v>
      </c>
      <c r="C3002" t="s">
        <v>10</v>
      </c>
      <c r="D3002" t="s">
        <v>10</v>
      </c>
      <c r="E3002" t="str">
        <f>"$ 19,219"</f>
        <v>$ 19,219</v>
      </c>
      <c r="F3002">
        <v>219</v>
      </c>
    </row>
    <row r="3003" spans="1:6">
      <c r="A3003" t="s">
        <v>3003</v>
      </c>
      <c r="B3003" t="str">
        <f t="shared" si="77"/>
        <v>0.00249%</v>
      </c>
      <c r="C3003" t="s">
        <v>10</v>
      </c>
      <c r="D3003" t="s">
        <v>10</v>
      </c>
      <c r="E3003" t="str">
        <f>"$ 19,228"</f>
        <v>$ 19,228</v>
      </c>
      <c r="F3003">
        <v>672</v>
      </c>
    </row>
    <row r="3004" spans="1:6">
      <c r="A3004" t="s">
        <v>3004</v>
      </c>
      <c r="B3004" t="str">
        <f t="shared" si="77"/>
        <v>0.00249%</v>
      </c>
      <c r="C3004" t="s">
        <v>10</v>
      </c>
      <c r="D3004" t="s">
        <v>10</v>
      </c>
      <c r="E3004" t="str">
        <f>"$ 19,239"</f>
        <v>$ 19,239</v>
      </c>
      <c r="F3004" s="1">
        <v>21916</v>
      </c>
    </row>
    <row r="3005" spans="1:6">
      <c r="A3005" t="s">
        <v>3005</v>
      </c>
      <c r="B3005" t="str">
        <f t="shared" ref="B3005:B3010" si="78">"0.00248%"</f>
        <v>0.00248%</v>
      </c>
      <c r="C3005" t="s">
        <v>10</v>
      </c>
      <c r="D3005" t="s">
        <v>10</v>
      </c>
      <c r="E3005" t="str">
        <f>"$ 19,156"</f>
        <v>$ 19,156</v>
      </c>
      <c r="F3005">
        <v>858</v>
      </c>
    </row>
    <row r="3006" spans="1:6">
      <c r="A3006" t="s">
        <v>3006</v>
      </c>
      <c r="B3006" t="str">
        <f t="shared" si="78"/>
        <v>0.00248%</v>
      </c>
      <c r="C3006" t="s">
        <v>10</v>
      </c>
      <c r="D3006" t="s">
        <v>10</v>
      </c>
      <c r="E3006" t="str">
        <f>"$ 19,148"</f>
        <v>$ 19,148</v>
      </c>
      <c r="F3006">
        <v>104</v>
      </c>
    </row>
    <row r="3007" spans="1:6">
      <c r="A3007" t="s">
        <v>3007</v>
      </c>
      <c r="B3007" t="str">
        <f t="shared" si="78"/>
        <v>0.00248%</v>
      </c>
      <c r="C3007" t="s">
        <v>10</v>
      </c>
      <c r="D3007" t="s">
        <v>10</v>
      </c>
      <c r="E3007" t="str">
        <f>"$ 19,152"</f>
        <v>$ 19,152</v>
      </c>
      <c r="F3007">
        <v>497</v>
      </c>
    </row>
    <row r="3008" spans="1:6">
      <c r="A3008" t="s">
        <v>3008</v>
      </c>
      <c r="B3008" t="str">
        <f t="shared" si="78"/>
        <v>0.00248%</v>
      </c>
      <c r="C3008" t="s">
        <v>10</v>
      </c>
      <c r="D3008" t="s">
        <v>10</v>
      </c>
      <c r="E3008" t="str">
        <f>"$ 19,188"</f>
        <v>$ 19,188</v>
      </c>
      <c r="F3008" s="1">
        <v>2662</v>
      </c>
    </row>
    <row r="3009" spans="1:6">
      <c r="A3009" t="s">
        <v>3009</v>
      </c>
      <c r="B3009" t="str">
        <f t="shared" si="78"/>
        <v>0.00248%</v>
      </c>
      <c r="C3009" t="s">
        <v>10</v>
      </c>
      <c r="D3009" t="s">
        <v>10</v>
      </c>
      <c r="E3009" t="str">
        <f>"$ 19,122"</f>
        <v>$ 19,122</v>
      </c>
      <c r="F3009">
        <v>569</v>
      </c>
    </row>
    <row r="3010" spans="1:6">
      <c r="A3010" t="s">
        <v>3010</v>
      </c>
      <c r="B3010" t="str">
        <f t="shared" si="78"/>
        <v>0.00248%</v>
      </c>
      <c r="C3010" t="s">
        <v>10</v>
      </c>
      <c r="D3010" t="s">
        <v>10</v>
      </c>
      <c r="E3010" t="str">
        <f>"$ 19,157"</f>
        <v>$ 19,157</v>
      </c>
      <c r="F3010">
        <v>590</v>
      </c>
    </row>
    <row r="3011" spans="1:6">
      <c r="A3011" t="s">
        <v>3011</v>
      </c>
      <c r="B3011" t="str">
        <f t="shared" ref="B3011:B3018" si="79">"0.00247%"</f>
        <v>0.00247%</v>
      </c>
      <c r="C3011" t="s">
        <v>10</v>
      </c>
      <c r="D3011" t="s">
        <v>10</v>
      </c>
      <c r="E3011" t="str">
        <f>"$ 19,053"</f>
        <v>$ 19,053</v>
      </c>
      <c r="F3011" s="1">
        <v>12036</v>
      </c>
    </row>
    <row r="3012" spans="1:6">
      <c r="A3012" t="s">
        <v>3012</v>
      </c>
      <c r="B3012" t="str">
        <f t="shared" si="79"/>
        <v>0.00247%</v>
      </c>
      <c r="C3012" t="s">
        <v>10</v>
      </c>
      <c r="D3012" t="s">
        <v>10</v>
      </c>
      <c r="E3012" t="str">
        <f>"$ 19,064"</f>
        <v>$ 19,064</v>
      </c>
      <c r="F3012" s="1">
        <v>1155</v>
      </c>
    </row>
    <row r="3013" spans="1:6">
      <c r="A3013" t="s">
        <v>3013</v>
      </c>
      <c r="B3013" t="str">
        <f t="shared" si="79"/>
        <v>0.00247%</v>
      </c>
      <c r="C3013" t="s">
        <v>10</v>
      </c>
      <c r="D3013" t="s">
        <v>10</v>
      </c>
      <c r="E3013" t="str">
        <f>"$ 19,057"</f>
        <v>$ 19,057</v>
      </c>
      <c r="F3013">
        <v>676</v>
      </c>
    </row>
    <row r="3014" spans="1:6">
      <c r="A3014" t="s">
        <v>3014</v>
      </c>
      <c r="B3014" t="str">
        <f t="shared" si="79"/>
        <v>0.00247%</v>
      </c>
      <c r="C3014" t="s">
        <v>10</v>
      </c>
      <c r="D3014" t="s">
        <v>10</v>
      </c>
      <c r="E3014" t="str">
        <f>"$ 19,039"</f>
        <v>$ 19,039</v>
      </c>
      <c r="F3014">
        <v>433</v>
      </c>
    </row>
    <row r="3015" spans="1:6">
      <c r="A3015" t="s">
        <v>3015</v>
      </c>
      <c r="B3015" t="str">
        <f t="shared" si="79"/>
        <v>0.00247%</v>
      </c>
      <c r="C3015" t="s">
        <v>10</v>
      </c>
      <c r="D3015" t="s">
        <v>10</v>
      </c>
      <c r="E3015" t="str">
        <f>"$ 19,105"</f>
        <v>$ 19,105</v>
      </c>
      <c r="F3015">
        <v>617</v>
      </c>
    </row>
    <row r="3016" spans="1:6">
      <c r="A3016" t="s">
        <v>3016</v>
      </c>
      <c r="B3016" t="str">
        <f t="shared" si="79"/>
        <v>0.00247%</v>
      </c>
      <c r="C3016" t="s">
        <v>10</v>
      </c>
      <c r="D3016" t="s">
        <v>10</v>
      </c>
      <c r="E3016" t="str">
        <f>"$ 19,041"</f>
        <v>$ 19,041</v>
      </c>
      <c r="F3016">
        <v>343</v>
      </c>
    </row>
    <row r="3017" spans="1:6">
      <c r="A3017" t="s">
        <v>3017</v>
      </c>
      <c r="B3017" t="str">
        <f t="shared" si="79"/>
        <v>0.00247%</v>
      </c>
      <c r="C3017" t="s">
        <v>10</v>
      </c>
      <c r="D3017" t="s">
        <v>10</v>
      </c>
      <c r="E3017" t="str">
        <f>"$ 19,093"</f>
        <v>$ 19,093</v>
      </c>
      <c r="F3017">
        <v>906</v>
      </c>
    </row>
    <row r="3018" spans="1:6">
      <c r="A3018" t="s">
        <v>3018</v>
      </c>
      <c r="B3018" t="str">
        <f t="shared" si="79"/>
        <v>0.00247%</v>
      </c>
      <c r="C3018" t="s">
        <v>10</v>
      </c>
      <c r="D3018" t="s">
        <v>10</v>
      </c>
      <c r="E3018" t="str">
        <f>"$ 19,098"</f>
        <v>$ 19,098</v>
      </c>
      <c r="F3018">
        <v>434</v>
      </c>
    </row>
    <row r="3019" spans="1:6">
      <c r="A3019" t="s">
        <v>3019</v>
      </c>
      <c r="B3019" t="str">
        <f t="shared" ref="B3019:B3025" si="80">"0.00246%"</f>
        <v>0.00246%</v>
      </c>
      <c r="C3019" t="s">
        <v>10</v>
      </c>
      <c r="D3019" t="s">
        <v>10</v>
      </c>
      <c r="E3019" t="str">
        <f>"$ 18,993"</f>
        <v>$ 18,993</v>
      </c>
      <c r="F3019" s="1">
        <v>1040</v>
      </c>
    </row>
    <row r="3020" spans="1:6">
      <c r="A3020" t="s">
        <v>3020</v>
      </c>
      <c r="B3020" t="str">
        <f t="shared" si="80"/>
        <v>0.00246%</v>
      </c>
      <c r="C3020" t="s">
        <v>10</v>
      </c>
      <c r="D3020" t="s">
        <v>10</v>
      </c>
      <c r="E3020" t="str">
        <f>"$ 18,977"</f>
        <v>$ 18,977</v>
      </c>
      <c r="F3020">
        <v>290</v>
      </c>
    </row>
    <row r="3021" spans="1:6">
      <c r="A3021" t="s">
        <v>3021</v>
      </c>
      <c r="B3021" t="str">
        <f t="shared" si="80"/>
        <v>0.00246%</v>
      </c>
      <c r="C3021" t="s">
        <v>10</v>
      </c>
      <c r="D3021" t="s">
        <v>10</v>
      </c>
      <c r="E3021" t="str">
        <f>"$ 18,987"</f>
        <v>$ 18,987</v>
      </c>
      <c r="F3021" s="1">
        <v>8484</v>
      </c>
    </row>
    <row r="3022" spans="1:6">
      <c r="A3022" t="s">
        <v>3022</v>
      </c>
      <c r="B3022" t="str">
        <f t="shared" si="80"/>
        <v>0.00246%</v>
      </c>
      <c r="C3022" t="s">
        <v>10</v>
      </c>
      <c r="D3022" t="s">
        <v>10</v>
      </c>
      <c r="E3022" t="str">
        <f>"$ 18,981"</f>
        <v>$ 18,981</v>
      </c>
      <c r="F3022" s="1">
        <v>10605</v>
      </c>
    </row>
    <row r="3023" spans="1:6">
      <c r="A3023" t="s">
        <v>3023</v>
      </c>
      <c r="B3023" t="str">
        <f t="shared" si="80"/>
        <v>0.00246%</v>
      </c>
      <c r="C3023" t="s">
        <v>10</v>
      </c>
      <c r="D3023" t="s">
        <v>10</v>
      </c>
      <c r="E3023" t="str">
        <f>"$ 19,023"</f>
        <v>$ 19,023</v>
      </c>
      <c r="F3023">
        <v>310</v>
      </c>
    </row>
    <row r="3024" spans="1:6">
      <c r="A3024" t="s">
        <v>3024</v>
      </c>
      <c r="B3024" t="str">
        <f t="shared" si="80"/>
        <v>0.00246%</v>
      </c>
      <c r="C3024" t="s">
        <v>10</v>
      </c>
      <c r="D3024" t="s">
        <v>10</v>
      </c>
      <c r="E3024" t="str">
        <f>"$ 19,013"</f>
        <v>$ 19,013</v>
      </c>
      <c r="F3024">
        <v>395</v>
      </c>
    </row>
    <row r="3025" spans="1:6">
      <c r="A3025" t="s">
        <v>3025</v>
      </c>
      <c r="B3025" t="str">
        <f t="shared" si="80"/>
        <v>0.00246%</v>
      </c>
      <c r="C3025" t="s">
        <v>10</v>
      </c>
      <c r="D3025" t="s">
        <v>10</v>
      </c>
      <c r="E3025" t="str">
        <f>"$ 18,970"</f>
        <v>$ 18,970</v>
      </c>
      <c r="F3025" s="1">
        <v>10067</v>
      </c>
    </row>
    <row r="3026" spans="1:6">
      <c r="A3026" t="s">
        <v>3026</v>
      </c>
      <c r="B3026" t="str">
        <f t="shared" ref="B3026:B3031" si="81">"0.00245%"</f>
        <v>0.00245%</v>
      </c>
      <c r="C3026" t="s">
        <v>10</v>
      </c>
      <c r="D3026" t="s">
        <v>10</v>
      </c>
      <c r="E3026" t="str">
        <f>"$ 18,922"</f>
        <v>$ 18,922</v>
      </c>
      <c r="F3026">
        <v>19</v>
      </c>
    </row>
    <row r="3027" spans="1:6">
      <c r="A3027" t="s">
        <v>3027</v>
      </c>
      <c r="B3027" t="str">
        <f t="shared" si="81"/>
        <v>0.00245%</v>
      </c>
      <c r="C3027" t="s">
        <v>10</v>
      </c>
      <c r="D3027" t="s">
        <v>10</v>
      </c>
      <c r="E3027" t="str">
        <f>"$ 18,934"</f>
        <v>$ 18,934</v>
      </c>
      <c r="F3027">
        <v>756</v>
      </c>
    </row>
    <row r="3028" spans="1:6">
      <c r="A3028" t="s">
        <v>3028</v>
      </c>
      <c r="B3028" t="str">
        <f t="shared" si="81"/>
        <v>0.00245%</v>
      </c>
      <c r="C3028" t="s">
        <v>10</v>
      </c>
      <c r="D3028" t="s">
        <v>10</v>
      </c>
      <c r="E3028" t="str">
        <f>"$ 18,944"</f>
        <v>$ 18,944</v>
      </c>
      <c r="F3028">
        <v>259</v>
      </c>
    </row>
    <row r="3029" spans="1:6">
      <c r="A3029" t="s">
        <v>3029</v>
      </c>
      <c r="B3029" t="str">
        <f t="shared" si="81"/>
        <v>0.00245%</v>
      </c>
      <c r="C3029" t="s">
        <v>10</v>
      </c>
      <c r="D3029" t="s">
        <v>10</v>
      </c>
      <c r="E3029" t="str">
        <f>"$ 18,890"</f>
        <v>$ 18,890</v>
      </c>
      <c r="F3029">
        <v>310</v>
      </c>
    </row>
    <row r="3030" spans="1:6">
      <c r="A3030" t="s">
        <v>3030</v>
      </c>
      <c r="B3030" t="str">
        <f t="shared" si="81"/>
        <v>0.00245%</v>
      </c>
      <c r="C3030" t="s">
        <v>10</v>
      </c>
      <c r="D3030" t="s">
        <v>10</v>
      </c>
      <c r="E3030" t="str">
        <f>"$ 18,930"</f>
        <v>$ 18,930</v>
      </c>
      <c r="F3030">
        <v>212</v>
      </c>
    </row>
    <row r="3031" spans="1:6">
      <c r="A3031" t="s">
        <v>3031</v>
      </c>
      <c r="B3031" t="str">
        <f t="shared" si="81"/>
        <v>0.00245%</v>
      </c>
      <c r="C3031" t="s">
        <v>10</v>
      </c>
      <c r="D3031" t="s">
        <v>10</v>
      </c>
      <c r="E3031" t="str">
        <f>"$ 18,927"</f>
        <v>$ 18,927</v>
      </c>
      <c r="F3031" s="1">
        <v>17584</v>
      </c>
    </row>
    <row r="3032" spans="1:6">
      <c r="A3032" t="s">
        <v>3032</v>
      </c>
      <c r="B3032" t="str">
        <f>"0.00244%"</f>
        <v>0.00244%</v>
      </c>
      <c r="C3032" t="s">
        <v>10</v>
      </c>
      <c r="D3032" t="s">
        <v>10</v>
      </c>
      <c r="E3032" t="str">
        <f>"$ 18,804"</f>
        <v>$ 18,804</v>
      </c>
      <c r="F3032" s="1">
        <v>9787</v>
      </c>
    </row>
    <row r="3033" spans="1:6">
      <c r="A3033" t="s">
        <v>3033</v>
      </c>
      <c r="B3033" t="str">
        <f>"0.00244%"</f>
        <v>0.00244%</v>
      </c>
      <c r="C3033" t="s">
        <v>10</v>
      </c>
      <c r="D3033" t="s">
        <v>10</v>
      </c>
      <c r="E3033" t="str">
        <f>"$ 18,812"</f>
        <v>$ 18,812</v>
      </c>
      <c r="F3033" s="1">
        <v>1293</v>
      </c>
    </row>
    <row r="3034" spans="1:6">
      <c r="A3034" t="s">
        <v>3034</v>
      </c>
      <c r="B3034" t="str">
        <f>"0.00244%"</f>
        <v>0.00244%</v>
      </c>
      <c r="C3034" t="s">
        <v>10</v>
      </c>
      <c r="D3034" t="s">
        <v>10</v>
      </c>
      <c r="E3034" t="str">
        <f>"$ 18,807"</f>
        <v>$ 18,807</v>
      </c>
      <c r="F3034" s="1">
        <v>3072</v>
      </c>
    </row>
    <row r="3035" spans="1:6">
      <c r="A3035" t="s">
        <v>3035</v>
      </c>
      <c r="B3035" t="str">
        <f t="shared" ref="B3035:B3041" si="82">"0.00243%"</f>
        <v>0.00243%</v>
      </c>
      <c r="C3035" t="s">
        <v>10</v>
      </c>
      <c r="D3035" t="s">
        <v>10</v>
      </c>
      <c r="E3035" t="str">
        <f>"$ 18,741"</f>
        <v>$ 18,741</v>
      </c>
      <c r="F3035">
        <v>223</v>
      </c>
    </row>
    <row r="3036" spans="1:6">
      <c r="A3036" t="s">
        <v>3036</v>
      </c>
      <c r="B3036" t="str">
        <f t="shared" si="82"/>
        <v>0.00243%</v>
      </c>
      <c r="C3036" t="s">
        <v>10</v>
      </c>
      <c r="D3036" t="s">
        <v>10</v>
      </c>
      <c r="E3036" t="str">
        <f>"$ 18,778"</f>
        <v>$ 18,778</v>
      </c>
      <c r="F3036">
        <v>421</v>
      </c>
    </row>
    <row r="3037" spans="1:6">
      <c r="A3037" t="s">
        <v>3037</v>
      </c>
      <c r="B3037" t="str">
        <f t="shared" si="82"/>
        <v>0.00243%</v>
      </c>
      <c r="C3037" t="s">
        <v>10</v>
      </c>
      <c r="D3037" t="s">
        <v>10</v>
      </c>
      <c r="E3037" t="str">
        <f>"$ 18,753"</f>
        <v>$ 18,753</v>
      </c>
      <c r="F3037" s="1">
        <v>12206</v>
      </c>
    </row>
    <row r="3038" spans="1:6">
      <c r="A3038" t="s">
        <v>3038</v>
      </c>
      <c r="B3038" t="str">
        <f t="shared" si="82"/>
        <v>0.00243%</v>
      </c>
      <c r="C3038" t="s">
        <v>10</v>
      </c>
      <c r="D3038" t="s">
        <v>10</v>
      </c>
      <c r="E3038" t="str">
        <f>"$ 18,765"</f>
        <v>$ 18,765</v>
      </c>
      <c r="F3038">
        <v>271</v>
      </c>
    </row>
    <row r="3039" spans="1:6">
      <c r="A3039" t="s">
        <v>3039</v>
      </c>
      <c r="B3039" t="str">
        <f t="shared" si="82"/>
        <v>0.00243%</v>
      </c>
      <c r="C3039" t="s">
        <v>10</v>
      </c>
      <c r="D3039" t="s">
        <v>10</v>
      </c>
      <c r="E3039" t="str">
        <f>"$ 18,764"</f>
        <v>$ 18,764</v>
      </c>
      <c r="F3039" s="1">
        <v>1781</v>
      </c>
    </row>
    <row r="3040" spans="1:6">
      <c r="A3040" t="s">
        <v>3040</v>
      </c>
      <c r="B3040" t="str">
        <f t="shared" si="82"/>
        <v>0.00243%</v>
      </c>
      <c r="C3040" t="s">
        <v>10</v>
      </c>
      <c r="D3040" t="s">
        <v>10</v>
      </c>
      <c r="E3040" t="str">
        <f>"$ 18,780"</f>
        <v>$ 18,780</v>
      </c>
      <c r="F3040">
        <v>341</v>
      </c>
    </row>
    <row r="3041" spans="1:6">
      <c r="A3041" t="s">
        <v>3041</v>
      </c>
      <c r="B3041" t="str">
        <f t="shared" si="82"/>
        <v>0.00243%</v>
      </c>
      <c r="C3041" t="s">
        <v>10</v>
      </c>
      <c r="D3041" t="s">
        <v>10</v>
      </c>
      <c r="E3041" t="str">
        <f>"$ 18,749"</f>
        <v>$ 18,749</v>
      </c>
      <c r="F3041" s="1">
        <v>2394</v>
      </c>
    </row>
    <row r="3042" spans="1:6">
      <c r="A3042" t="s">
        <v>3042</v>
      </c>
      <c r="B3042" t="str">
        <f t="shared" ref="B3042:B3048" si="83">"0.00242%"</f>
        <v>0.00242%</v>
      </c>
      <c r="C3042" t="s">
        <v>10</v>
      </c>
      <c r="D3042" t="s">
        <v>10</v>
      </c>
      <c r="E3042" t="str">
        <f>"$ 18,688"</f>
        <v>$ 18,688</v>
      </c>
      <c r="F3042">
        <v>231</v>
      </c>
    </row>
    <row r="3043" spans="1:6">
      <c r="A3043" t="s">
        <v>3043</v>
      </c>
      <c r="B3043" t="str">
        <f t="shared" si="83"/>
        <v>0.00242%</v>
      </c>
      <c r="C3043" t="s">
        <v>10</v>
      </c>
      <c r="D3043" t="s">
        <v>10</v>
      </c>
      <c r="E3043" t="str">
        <f>"$ 18,709"</f>
        <v>$ 18,709</v>
      </c>
      <c r="F3043">
        <v>470</v>
      </c>
    </row>
    <row r="3044" spans="1:6">
      <c r="A3044" t="s">
        <v>3044</v>
      </c>
      <c r="B3044" t="str">
        <f t="shared" si="83"/>
        <v>0.00242%</v>
      </c>
      <c r="C3044" t="s">
        <v>10</v>
      </c>
      <c r="D3044" t="s">
        <v>10</v>
      </c>
      <c r="E3044" t="str">
        <f>"$ 18,709"</f>
        <v>$ 18,709</v>
      </c>
      <c r="F3044">
        <v>584</v>
      </c>
    </row>
    <row r="3045" spans="1:6">
      <c r="A3045" t="s">
        <v>3045</v>
      </c>
      <c r="B3045" t="str">
        <f t="shared" si="83"/>
        <v>0.00242%</v>
      </c>
      <c r="C3045" t="s">
        <v>10</v>
      </c>
      <c r="D3045" t="s">
        <v>10</v>
      </c>
      <c r="E3045" t="str">
        <f>"$ 18,706"</f>
        <v>$ 18,706</v>
      </c>
      <c r="F3045" s="1">
        <v>12790</v>
      </c>
    </row>
    <row r="3046" spans="1:6">
      <c r="A3046" t="s">
        <v>3046</v>
      </c>
      <c r="B3046" t="str">
        <f t="shared" si="83"/>
        <v>0.00242%</v>
      </c>
      <c r="C3046" t="s">
        <v>10</v>
      </c>
      <c r="D3046" t="s">
        <v>10</v>
      </c>
      <c r="E3046" t="str">
        <f>"$ 18,709"</f>
        <v>$ 18,709</v>
      </c>
      <c r="F3046" s="1">
        <v>12563</v>
      </c>
    </row>
    <row r="3047" spans="1:6">
      <c r="A3047" t="s">
        <v>3047</v>
      </c>
      <c r="B3047" t="str">
        <f t="shared" si="83"/>
        <v>0.00242%</v>
      </c>
      <c r="C3047" t="s">
        <v>10</v>
      </c>
      <c r="D3047" t="s">
        <v>10</v>
      </c>
      <c r="E3047" t="str">
        <f>"$ 18,657"</f>
        <v>$ 18,657</v>
      </c>
      <c r="F3047">
        <v>256</v>
      </c>
    </row>
    <row r="3048" spans="1:6">
      <c r="A3048" t="s">
        <v>3048</v>
      </c>
      <c r="B3048" t="str">
        <f t="shared" si="83"/>
        <v>0.00242%</v>
      </c>
      <c r="C3048" t="s">
        <v>10</v>
      </c>
      <c r="D3048" t="s">
        <v>10</v>
      </c>
      <c r="E3048" t="str">
        <f>"$ 18,699"</f>
        <v>$ 18,699</v>
      </c>
      <c r="F3048">
        <v>242</v>
      </c>
    </row>
    <row r="3049" spans="1:6">
      <c r="A3049" t="s">
        <v>3049</v>
      </c>
      <c r="B3049" t="str">
        <f t="shared" ref="B3049:B3058" si="84">"0.00241%"</f>
        <v>0.00241%</v>
      </c>
      <c r="C3049" t="s">
        <v>10</v>
      </c>
      <c r="D3049" t="s">
        <v>10</v>
      </c>
      <c r="E3049" t="str">
        <f>"$ 18,591"</f>
        <v>$ 18,591</v>
      </c>
      <c r="F3049">
        <v>525</v>
      </c>
    </row>
    <row r="3050" spans="1:6">
      <c r="A3050" t="s">
        <v>3050</v>
      </c>
      <c r="B3050" t="str">
        <f t="shared" si="84"/>
        <v>0.00241%</v>
      </c>
      <c r="C3050" t="s">
        <v>10</v>
      </c>
      <c r="D3050" t="s">
        <v>10</v>
      </c>
      <c r="E3050" t="str">
        <f>"$ 18,587"</f>
        <v>$ 18,587</v>
      </c>
      <c r="F3050">
        <v>229</v>
      </c>
    </row>
    <row r="3051" spans="1:6">
      <c r="A3051" t="s">
        <v>3051</v>
      </c>
      <c r="B3051" t="str">
        <f t="shared" si="84"/>
        <v>0.00241%</v>
      </c>
      <c r="C3051" t="s">
        <v>10</v>
      </c>
      <c r="D3051" t="s">
        <v>10</v>
      </c>
      <c r="E3051" t="str">
        <f>"$ 18,629"</f>
        <v>$ 18,629</v>
      </c>
      <c r="F3051">
        <v>201</v>
      </c>
    </row>
    <row r="3052" spans="1:6">
      <c r="A3052" t="s">
        <v>3052</v>
      </c>
      <c r="B3052" t="str">
        <f t="shared" si="84"/>
        <v>0.00241%</v>
      </c>
      <c r="C3052" t="s">
        <v>10</v>
      </c>
      <c r="D3052" t="s">
        <v>10</v>
      </c>
      <c r="E3052" t="str">
        <f>"$ 18,628"</f>
        <v>$ 18,628</v>
      </c>
      <c r="F3052" s="1">
        <v>12026</v>
      </c>
    </row>
    <row r="3053" spans="1:6">
      <c r="A3053" t="s">
        <v>3053</v>
      </c>
      <c r="B3053" t="str">
        <f t="shared" si="84"/>
        <v>0.00241%</v>
      </c>
      <c r="C3053" t="s">
        <v>10</v>
      </c>
      <c r="D3053" t="s">
        <v>10</v>
      </c>
      <c r="E3053" t="str">
        <f>"$ 18,635"</f>
        <v>$ 18,635</v>
      </c>
      <c r="F3053">
        <v>718</v>
      </c>
    </row>
    <row r="3054" spans="1:6">
      <c r="A3054" t="s">
        <v>3054</v>
      </c>
      <c r="B3054" t="str">
        <f t="shared" si="84"/>
        <v>0.00241%</v>
      </c>
      <c r="C3054" t="s">
        <v>10</v>
      </c>
      <c r="D3054" t="s">
        <v>10</v>
      </c>
      <c r="E3054" t="str">
        <f>"$ 18,600"</f>
        <v>$ 18,600</v>
      </c>
      <c r="F3054" s="1">
        <v>2225</v>
      </c>
    </row>
    <row r="3055" spans="1:6">
      <c r="A3055" t="s">
        <v>3055</v>
      </c>
      <c r="B3055" t="str">
        <f t="shared" si="84"/>
        <v>0.00241%</v>
      </c>
      <c r="C3055" t="s">
        <v>10</v>
      </c>
      <c r="D3055" t="s">
        <v>10</v>
      </c>
      <c r="E3055" t="str">
        <f>"$ 18,615"</f>
        <v>$ 18,615</v>
      </c>
      <c r="F3055" s="1">
        <v>1373</v>
      </c>
    </row>
    <row r="3056" spans="1:6">
      <c r="A3056" t="s">
        <v>3056</v>
      </c>
      <c r="B3056" t="str">
        <f t="shared" si="84"/>
        <v>0.00241%</v>
      </c>
      <c r="C3056" t="s">
        <v>10</v>
      </c>
      <c r="D3056" t="s">
        <v>10</v>
      </c>
      <c r="E3056" t="str">
        <f>"$ 18,632"</f>
        <v>$ 18,632</v>
      </c>
      <c r="F3056">
        <v>322</v>
      </c>
    </row>
    <row r="3057" spans="1:6">
      <c r="A3057" t="s">
        <v>3057</v>
      </c>
      <c r="B3057" t="str">
        <f t="shared" si="84"/>
        <v>0.00241%</v>
      </c>
      <c r="C3057" t="s">
        <v>10</v>
      </c>
      <c r="D3057" t="s">
        <v>10</v>
      </c>
      <c r="E3057" t="str">
        <f>"$ 18,639"</f>
        <v>$ 18,639</v>
      </c>
      <c r="F3057">
        <v>648</v>
      </c>
    </row>
    <row r="3058" spans="1:6">
      <c r="A3058" t="s">
        <v>3058</v>
      </c>
      <c r="B3058" t="str">
        <f t="shared" si="84"/>
        <v>0.00241%</v>
      </c>
      <c r="C3058" t="s">
        <v>10</v>
      </c>
      <c r="D3058" t="s">
        <v>10</v>
      </c>
      <c r="E3058" t="str">
        <f>"$ 18,594"</f>
        <v>$ 18,594</v>
      </c>
      <c r="F3058">
        <v>176</v>
      </c>
    </row>
    <row r="3059" spans="1:6">
      <c r="A3059" t="s">
        <v>3059</v>
      </c>
      <c r="B3059" t="str">
        <f t="shared" ref="B3059:B3068" si="85">"0.00240%"</f>
        <v>0.00240%</v>
      </c>
      <c r="C3059" t="s">
        <v>10</v>
      </c>
      <c r="D3059" t="s">
        <v>10</v>
      </c>
      <c r="E3059" t="str">
        <f>"$ 18,543"</f>
        <v>$ 18,543</v>
      </c>
      <c r="F3059" s="1">
        <v>5091</v>
      </c>
    </row>
    <row r="3060" spans="1:6">
      <c r="A3060" t="s">
        <v>3060</v>
      </c>
      <c r="B3060" t="str">
        <f t="shared" si="85"/>
        <v>0.00240%</v>
      </c>
      <c r="C3060" t="s">
        <v>10</v>
      </c>
      <c r="D3060" t="s">
        <v>10</v>
      </c>
      <c r="E3060" t="str">
        <f>"$ 18,565"</f>
        <v>$ 18,565</v>
      </c>
      <c r="F3060">
        <v>801</v>
      </c>
    </row>
    <row r="3061" spans="1:6">
      <c r="A3061" t="s">
        <v>3061</v>
      </c>
      <c r="B3061" t="str">
        <f t="shared" si="85"/>
        <v>0.00240%</v>
      </c>
      <c r="C3061" t="s">
        <v>10</v>
      </c>
      <c r="D3061" t="s">
        <v>10</v>
      </c>
      <c r="E3061" t="str">
        <f>"$ 18,495"</f>
        <v>$ 18,495</v>
      </c>
      <c r="F3061" s="1">
        <v>2673</v>
      </c>
    </row>
    <row r="3062" spans="1:6">
      <c r="A3062" t="s">
        <v>3062</v>
      </c>
      <c r="B3062" t="str">
        <f t="shared" si="85"/>
        <v>0.00240%</v>
      </c>
      <c r="C3062" t="s">
        <v>10</v>
      </c>
      <c r="D3062" t="s">
        <v>10</v>
      </c>
      <c r="E3062" t="str">
        <f>"$ 18,526"</f>
        <v>$ 18,526</v>
      </c>
      <c r="F3062" s="1">
        <v>1038</v>
      </c>
    </row>
    <row r="3063" spans="1:6">
      <c r="A3063" t="s">
        <v>3063</v>
      </c>
      <c r="B3063" t="str">
        <f t="shared" si="85"/>
        <v>0.00240%</v>
      </c>
      <c r="C3063" t="s">
        <v>10</v>
      </c>
      <c r="D3063" t="s">
        <v>10</v>
      </c>
      <c r="E3063" t="str">
        <f>"$ 18,528"</f>
        <v>$ 18,528</v>
      </c>
      <c r="F3063" s="1">
        <v>1125</v>
      </c>
    </row>
    <row r="3064" spans="1:6">
      <c r="A3064" t="s">
        <v>3064</v>
      </c>
      <c r="B3064" t="str">
        <f t="shared" si="85"/>
        <v>0.00240%</v>
      </c>
      <c r="C3064" t="s">
        <v>10</v>
      </c>
      <c r="D3064" t="s">
        <v>10</v>
      </c>
      <c r="E3064" t="str">
        <f>"$ 18,571"</f>
        <v>$ 18,571</v>
      </c>
      <c r="F3064">
        <v>495</v>
      </c>
    </row>
    <row r="3065" spans="1:6">
      <c r="A3065" t="s">
        <v>3065</v>
      </c>
      <c r="B3065" t="str">
        <f t="shared" si="85"/>
        <v>0.00240%</v>
      </c>
      <c r="C3065" t="s">
        <v>10</v>
      </c>
      <c r="D3065" t="s">
        <v>10</v>
      </c>
      <c r="E3065" t="str">
        <f>"$ 18,506"</f>
        <v>$ 18,506</v>
      </c>
      <c r="F3065" s="1">
        <v>4188</v>
      </c>
    </row>
    <row r="3066" spans="1:6">
      <c r="A3066" t="s">
        <v>3066</v>
      </c>
      <c r="B3066" t="str">
        <f t="shared" si="85"/>
        <v>0.00240%</v>
      </c>
      <c r="C3066" t="s">
        <v>10</v>
      </c>
      <c r="D3066" t="s">
        <v>10</v>
      </c>
      <c r="E3066" t="str">
        <f>"$ 18,540"</f>
        <v>$ 18,540</v>
      </c>
      <c r="F3066" s="1">
        <v>2722</v>
      </c>
    </row>
    <row r="3067" spans="1:6">
      <c r="A3067" t="s">
        <v>3067</v>
      </c>
      <c r="B3067" t="str">
        <f t="shared" si="85"/>
        <v>0.00240%</v>
      </c>
      <c r="C3067" t="s">
        <v>10</v>
      </c>
      <c r="D3067" t="s">
        <v>10</v>
      </c>
      <c r="E3067" t="str">
        <f>"$ 18,541"</f>
        <v>$ 18,541</v>
      </c>
      <c r="F3067">
        <v>235</v>
      </c>
    </row>
    <row r="3068" spans="1:6">
      <c r="A3068" t="s">
        <v>3068</v>
      </c>
      <c r="B3068" t="str">
        <f t="shared" si="85"/>
        <v>0.00240%</v>
      </c>
      <c r="C3068" t="s">
        <v>10</v>
      </c>
      <c r="D3068" t="s">
        <v>10</v>
      </c>
      <c r="E3068" t="str">
        <f>"$ 18,568"</f>
        <v>$ 18,568</v>
      </c>
      <c r="F3068">
        <v>490</v>
      </c>
    </row>
    <row r="3069" spans="1:6">
      <c r="A3069" t="s">
        <v>3069</v>
      </c>
      <c r="B3069" t="str">
        <f t="shared" ref="B3069:B3075" si="86">"0.00239%"</f>
        <v>0.00239%</v>
      </c>
      <c r="C3069" t="s">
        <v>10</v>
      </c>
      <c r="D3069" t="s">
        <v>10</v>
      </c>
      <c r="E3069" t="str">
        <f>"$ 18,477"</f>
        <v>$ 18,477</v>
      </c>
      <c r="F3069" s="1">
        <v>5941</v>
      </c>
    </row>
    <row r="3070" spans="1:6">
      <c r="A3070" t="s">
        <v>3070</v>
      </c>
      <c r="B3070" t="str">
        <f t="shared" si="86"/>
        <v>0.00239%</v>
      </c>
      <c r="C3070" t="s">
        <v>10</v>
      </c>
      <c r="D3070" t="s">
        <v>10</v>
      </c>
      <c r="E3070" t="str">
        <f>"$ 18,488"</f>
        <v>$ 18,488</v>
      </c>
      <c r="F3070">
        <v>788</v>
      </c>
    </row>
    <row r="3071" spans="1:6">
      <c r="A3071" t="s">
        <v>3071</v>
      </c>
      <c r="B3071" t="str">
        <f t="shared" si="86"/>
        <v>0.00239%</v>
      </c>
      <c r="C3071" t="s">
        <v>10</v>
      </c>
      <c r="D3071" t="s">
        <v>10</v>
      </c>
      <c r="E3071" t="str">
        <f>"$ 18,432"</f>
        <v>$ 18,432</v>
      </c>
      <c r="F3071">
        <v>406</v>
      </c>
    </row>
    <row r="3072" spans="1:6">
      <c r="A3072" t="s">
        <v>3072</v>
      </c>
      <c r="B3072" t="str">
        <f t="shared" si="86"/>
        <v>0.00239%</v>
      </c>
      <c r="C3072" t="s">
        <v>10</v>
      </c>
      <c r="D3072" t="s">
        <v>10</v>
      </c>
      <c r="E3072" t="str">
        <f>"$ 18,469"</f>
        <v>$ 18,469</v>
      </c>
      <c r="F3072">
        <v>437</v>
      </c>
    </row>
    <row r="3073" spans="1:6">
      <c r="A3073" t="s">
        <v>3073</v>
      </c>
      <c r="B3073" t="str">
        <f t="shared" si="86"/>
        <v>0.00239%</v>
      </c>
      <c r="C3073" t="s">
        <v>10</v>
      </c>
      <c r="D3073" t="s">
        <v>10</v>
      </c>
      <c r="E3073" t="str">
        <f>"$ 18,422"</f>
        <v>$ 18,422</v>
      </c>
      <c r="F3073" s="1">
        <v>1274</v>
      </c>
    </row>
    <row r="3074" spans="1:6">
      <c r="A3074" t="s">
        <v>3074</v>
      </c>
      <c r="B3074" t="str">
        <f t="shared" si="86"/>
        <v>0.00239%</v>
      </c>
      <c r="C3074" t="s">
        <v>10</v>
      </c>
      <c r="D3074" t="s">
        <v>10</v>
      </c>
      <c r="E3074" t="str">
        <f>"$ 18,471"</f>
        <v>$ 18,471</v>
      </c>
      <c r="F3074" s="1">
        <v>2701</v>
      </c>
    </row>
    <row r="3075" spans="1:6">
      <c r="A3075" t="s">
        <v>3075</v>
      </c>
      <c r="B3075" t="str">
        <f t="shared" si="86"/>
        <v>0.00239%</v>
      </c>
      <c r="C3075" t="s">
        <v>10</v>
      </c>
      <c r="D3075" t="s">
        <v>10</v>
      </c>
      <c r="E3075" t="str">
        <f>"$ 18,493"</f>
        <v>$ 18,493</v>
      </c>
      <c r="F3075">
        <v>878</v>
      </c>
    </row>
    <row r="3076" spans="1:6">
      <c r="A3076" t="s">
        <v>3076</v>
      </c>
      <c r="B3076" t="str">
        <f t="shared" ref="B3076:B3084" si="87">"0.00238%"</f>
        <v>0.00238%</v>
      </c>
      <c r="C3076" t="s">
        <v>10</v>
      </c>
      <c r="D3076" t="s">
        <v>10</v>
      </c>
      <c r="E3076" t="str">
        <f>"$ 18,411"</f>
        <v>$ 18,411</v>
      </c>
      <c r="F3076">
        <v>182</v>
      </c>
    </row>
    <row r="3077" spans="1:6">
      <c r="A3077" t="s">
        <v>3077</v>
      </c>
      <c r="B3077" t="str">
        <f t="shared" si="87"/>
        <v>0.00238%</v>
      </c>
      <c r="C3077" t="s">
        <v>10</v>
      </c>
      <c r="D3077" t="s">
        <v>10</v>
      </c>
      <c r="E3077" t="str">
        <f>"$ 18,377"</f>
        <v>$ 18,377</v>
      </c>
      <c r="F3077" s="1">
        <v>1442</v>
      </c>
    </row>
    <row r="3078" spans="1:6">
      <c r="A3078" t="s">
        <v>3078</v>
      </c>
      <c r="B3078" t="str">
        <f t="shared" si="87"/>
        <v>0.00238%</v>
      </c>
      <c r="C3078" t="s">
        <v>10</v>
      </c>
      <c r="D3078" t="s">
        <v>10</v>
      </c>
      <c r="E3078" t="str">
        <f>"$ 18,380"</f>
        <v>$ 18,380</v>
      </c>
      <c r="F3078">
        <v>182</v>
      </c>
    </row>
    <row r="3079" spans="1:6">
      <c r="A3079" t="s">
        <v>3079</v>
      </c>
      <c r="B3079" t="str">
        <f t="shared" si="87"/>
        <v>0.00238%</v>
      </c>
      <c r="C3079" t="s">
        <v>10</v>
      </c>
      <c r="D3079" t="s">
        <v>10</v>
      </c>
      <c r="E3079" t="str">
        <f>"$ 18,410"</f>
        <v>$ 18,410</v>
      </c>
      <c r="F3079">
        <v>387</v>
      </c>
    </row>
    <row r="3080" spans="1:6">
      <c r="A3080" t="s">
        <v>3080</v>
      </c>
      <c r="B3080" t="str">
        <f t="shared" si="87"/>
        <v>0.00238%</v>
      </c>
      <c r="C3080" t="s">
        <v>10</v>
      </c>
      <c r="D3080" t="s">
        <v>10</v>
      </c>
      <c r="E3080" t="str">
        <f>"$ 18,361"</f>
        <v>$ 18,361</v>
      </c>
      <c r="F3080">
        <v>677</v>
      </c>
    </row>
    <row r="3081" spans="1:6">
      <c r="A3081" t="s">
        <v>3081</v>
      </c>
      <c r="B3081" t="str">
        <f t="shared" si="87"/>
        <v>0.00238%</v>
      </c>
      <c r="C3081" t="s">
        <v>10</v>
      </c>
      <c r="D3081" t="s">
        <v>10</v>
      </c>
      <c r="E3081" t="str">
        <f>"$ 18,370"</f>
        <v>$ 18,370</v>
      </c>
      <c r="F3081" s="1">
        <v>2282</v>
      </c>
    </row>
    <row r="3082" spans="1:6">
      <c r="A3082" t="s">
        <v>3082</v>
      </c>
      <c r="B3082" t="str">
        <f t="shared" si="87"/>
        <v>0.00238%</v>
      </c>
      <c r="C3082" t="s">
        <v>10</v>
      </c>
      <c r="D3082" t="s">
        <v>10</v>
      </c>
      <c r="E3082" t="str">
        <f>"$ 18,361"</f>
        <v>$ 18,361</v>
      </c>
      <c r="F3082">
        <v>297</v>
      </c>
    </row>
    <row r="3083" spans="1:6">
      <c r="A3083" t="s">
        <v>3083</v>
      </c>
      <c r="B3083" t="str">
        <f t="shared" si="87"/>
        <v>0.00238%</v>
      </c>
      <c r="C3083" t="s">
        <v>10</v>
      </c>
      <c r="D3083" t="s">
        <v>10</v>
      </c>
      <c r="E3083" t="str">
        <f>"$ 18,372"</f>
        <v>$ 18,372</v>
      </c>
      <c r="F3083">
        <v>443</v>
      </c>
    </row>
    <row r="3084" spans="1:6">
      <c r="A3084" t="s">
        <v>3084</v>
      </c>
      <c r="B3084" t="str">
        <f t="shared" si="87"/>
        <v>0.00238%</v>
      </c>
      <c r="C3084" t="s">
        <v>10</v>
      </c>
      <c r="D3084" t="s">
        <v>10</v>
      </c>
      <c r="E3084" t="str">
        <f>"$ 18,409"</f>
        <v>$ 18,409</v>
      </c>
      <c r="F3084" s="1">
        <v>16552</v>
      </c>
    </row>
    <row r="3085" spans="1:6">
      <c r="A3085" t="s">
        <v>3085</v>
      </c>
      <c r="B3085" t="str">
        <f t="shared" ref="B3085:B3091" si="88">"0.00237%"</f>
        <v>0.00237%</v>
      </c>
      <c r="C3085" t="s">
        <v>10</v>
      </c>
      <c r="D3085" t="s">
        <v>10</v>
      </c>
      <c r="E3085" t="str">
        <f>"$ 18,281"</f>
        <v>$ 18,281</v>
      </c>
      <c r="F3085">
        <v>79</v>
      </c>
    </row>
    <row r="3086" spans="1:6">
      <c r="A3086" t="s">
        <v>3086</v>
      </c>
      <c r="B3086" t="str">
        <f t="shared" si="88"/>
        <v>0.00237%</v>
      </c>
      <c r="C3086" t="s">
        <v>10</v>
      </c>
      <c r="D3086" t="s">
        <v>10</v>
      </c>
      <c r="E3086" t="str">
        <f>"$ 18,308"</f>
        <v>$ 18,308</v>
      </c>
      <c r="F3086">
        <v>475</v>
      </c>
    </row>
    <row r="3087" spans="1:6">
      <c r="A3087" t="s">
        <v>3087</v>
      </c>
      <c r="B3087" t="str">
        <f t="shared" si="88"/>
        <v>0.00237%</v>
      </c>
      <c r="C3087" t="s">
        <v>10</v>
      </c>
      <c r="D3087" t="s">
        <v>10</v>
      </c>
      <c r="E3087" t="str">
        <f>"$ 18,268"</f>
        <v>$ 18,268</v>
      </c>
      <c r="F3087" s="1">
        <v>6048</v>
      </c>
    </row>
    <row r="3088" spans="1:6">
      <c r="A3088" t="s">
        <v>3088</v>
      </c>
      <c r="B3088" t="str">
        <f t="shared" si="88"/>
        <v>0.00237%</v>
      </c>
      <c r="C3088" t="s">
        <v>10</v>
      </c>
      <c r="D3088" t="s">
        <v>10</v>
      </c>
      <c r="E3088" t="str">
        <f>"$ 18,283"</f>
        <v>$ 18,283</v>
      </c>
      <c r="F3088" s="1">
        <v>4206</v>
      </c>
    </row>
    <row r="3089" spans="1:6">
      <c r="A3089" t="s">
        <v>3089</v>
      </c>
      <c r="B3089" t="str">
        <f t="shared" si="88"/>
        <v>0.00237%</v>
      </c>
      <c r="C3089" t="s">
        <v>10</v>
      </c>
      <c r="D3089" t="s">
        <v>10</v>
      </c>
      <c r="E3089" t="str">
        <f>"$ 18,329"</f>
        <v>$ 18,329</v>
      </c>
      <c r="F3089">
        <v>435</v>
      </c>
    </row>
    <row r="3090" spans="1:6">
      <c r="A3090" t="s">
        <v>3090</v>
      </c>
      <c r="B3090" t="str">
        <f t="shared" si="88"/>
        <v>0.00237%</v>
      </c>
      <c r="C3090" t="s">
        <v>10</v>
      </c>
      <c r="D3090" t="s">
        <v>10</v>
      </c>
      <c r="E3090" t="str">
        <f>"$ 18,313"</f>
        <v>$ 18,313</v>
      </c>
      <c r="F3090">
        <v>751</v>
      </c>
    </row>
    <row r="3091" spans="1:6">
      <c r="A3091" t="s">
        <v>3091</v>
      </c>
      <c r="B3091" t="str">
        <f t="shared" si="88"/>
        <v>0.00237%</v>
      </c>
      <c r="C3091" t="s">
        <v>10</v>
      </c>
      <c r="D3091" t="s">
        <v>10</v>
      </c>
      <c r="E3091" t="str">
        <f>"$ 18,267"</f>
        <v>$ 18,267</v>
      </c>
      <c r="F3091" s="1">
        <v>5896</v>
      </c>
    </row>
    <row r="3092" spans="1:6">
      <c r="A3092" t="s">
        <v>3092</v>
      </c>
      <c r="B3092" t="str">
        <f t="shared" ref="B3092:B3101" si="89">"0.00236%"</f>
        <v>0.00236%</v>
      </c>
      <c r="C3092" t="s">
        <v>10</v>
      </c>
      <c r="D3092" t="s">
        <v>10</v>
      </c>
      <c r="E3092" t="str">
        <f>"$ 18,241"</f>
        <v>$ 18,241</v>
      </c>
      <c r="F3092">
        <v>368</v>
      </c>
    </row>
    <row r="3093" spans="1:6">
      <c r="A3093" t="s">
        <v>3093</v>
      </c>
      <c r="B3093" t="str">
        <f t="shared" si="89"/>
        <v>0.00236%</v>
      </c>
      <c r="C3093" t="s">
        <v>10</v>
      </c>
      <c r="D3093" t="s">
        <v>10</v>
      </c>
      <c r="E3093" t="str">
        <f>"$ 18,230"</f>
        <v>$ 18,230</v>
      </c>
      <c r="F3093">
        <v>495</v>
      </c>
    </row>
    <row r="3094" spans="1:6">
      <c r="A3094" t="s">
        <v>3094</v>
      </c>
      <c r="B3094" t="str">
        <f t="shared" si="89"/>
        <v>0.00236%</v>
      </c>
      <c r="C3094" t="s">
        <v>10</v>
      </c>
      <c r="D3094" t="s">
        <v>10</v>
      </c>
      <c r="E3094" t="str">
        <f>"$ 18,242"</f>
        <v>$ 18,242</v>
      </c>
      <c r="F3094">
        <v>302</v>
      </c>
    </row>
    <row r="3095" spans="1:6">
      <c r="A3095" t="s">
        <v>3095</v>
      </c>
      <c r="B3095" t="str">
        <f t="shared" si="89"/>
        <v>0.00236%</v>
      </c>
      <c r="C3095" t="s">
        <v>10</v>
      </c>
      <c r="D3095" t="s">
        <v>10</v>
      </c>
      <c r="E3095" t="str">
        <f>"$ 18,200"</f>
        <v>$ 18,200</v>
      </c>
      <c r="F3095" s="1">
        <v>4289</v>
      </c>
    </row>
    <row r="3096" spans="1:6">
      <c r="A3096" t="s">
        <v>3096</v>
      </c>
      <c r="B3096" t="str">
        <f t="shared" si="89"/>
        <v>0.00236%</v>
      </c>
      <c r="C3096" t="s">
        <v>10</v>
      </c>
      <c r="D3096" t="s">
        <v>10</v>
      </c>
      <c r="E3096" t="str">
        <f>"$ 18,220"</f>
        <v>$ 18,220</v>
      </c>
      <c r="F3096">
        <v>612</v>
      </c>
    </row>
    <row r="3097" spans="1:6">
      <c r="A3097" t="s">
        <v>3097</v>
      </c>
      <c r="B3097" t="str">
        <f t="shared" si="89"/>
        <v>0.00236%</v>
      </c>
      <c r="C3097" t="s">
        <v>10</v>
      </c>
      <c r="D3097" t="s">
        <v>10</v>
      </c>
      <c r="E3097" t="str">
        <f>"$ 18,191"</f>
        <v>$ 18,191</v>
      </c>
      <c r="F3097">
        <v>239</v>
      </c>
    </row>
    <row r="3098" spans="1:6">
      <c r="A3098" t="s">
        <v>3098</v>
      </c>
      <c r="B3098" t="str">
        <f t="shared" si="89"/>
        <v>0.00236%</v>
      </c>
      <c r="C3098" t="s">
        <v>10</v>
      </c>
      <c r="D3098" t="s">
        <v>10</v>
      </c>
      <c r="E3098" t="str">
        <f>"$ 18,234"</f>
        <v>$ 18,234</v>
      </c>
      <c r="F3098" s="1">
        <v>4339</v>
      </c>
    </row>
    <row r="3099" spans="1:6">
      <c r="A3099" t="s">
        <v>3099</v>
      </c>
      <c r="B3099" t="str">
        <f t="shared" si="89"/>
        <v>0.00236%</v>
      </c>
      <c r="C3099" t="s">
        <v>10</v>
      </c>
      <c r="D3099" t="s">
        <v>10</v>
      </c>
      <c r="E3099" t="str">
        <f>"$ 18,234"</f>
        <v>$ 18,234</v>
      </c>
      <c r="F3099" s="1">
        <v>8957</v>
      </c>
    </row>
    <row r="3100" spans="1:6">
      <c r="A3100" t="s">
        <v>3100</v>
      </c>
      <c r="B3100" t="str">
        <f t="shared" si="89"/>
        <v>0.00236%</v>
      </c>
      <c r="C3100" t="s">
        <v>10</v>
      </c>
      <c r="D3100" t="s">
        <v>10</v>
      </c>
      <c r="E3100" t="str">
        <f>"$ 18,262"</f>
        <v>$ 18,262</v>
      </c>
      <c r="F3100">
        <v>270</v>
      </c>
    </row>
    <row r="3101" spans="1:6">
      <c r="A3101" t="s">
        <v>3101</v>
      </c>
      <c r="B3101" t="str">
        <f t="shared" si="89"/>
        <v>0.00236%</v>
      </c>
      <c r="C3101" t="s">
        <v>10</v>
      </c>
      <c r="D3101" t="s">
        <v>10</v>
      </c>
      <c r="E3101" t="str">
        <f>"$ 18,194"</f>
        <v>$ 18,194</v>
      </c>
      <c r="F3101">
        <v>198</v>
      </c>
    </row>
    <row r="3102" spans="1:6">
      <c r="A3102" t="s">
        <v>3102</v>
      </c>
      <c r="B3102" t="str">
        <f>"0.00235%"</f>
        <v>0.00235%</v>
      </c>
      <c r="C3102" t="s">
        <v>10</v>
      </c>
      <c r="D3102" t="s">
        <v>10</v>
      </c>
      <c r="E3102" t="str">
        <f>"$ 18,184"</f>
        <v>$ 18,184</v>
      </c>
      <c r="F3102" s="1">
        <v>1694</v>
      </c>
    </row>
    <row r="3103" spans="1:6">
      <c r="A3103" t="s">
        <v>3103</v>
      </c>
      <c r="B3103" t="str">
        <f>"0.00235%"</f>
        <v>0.00235%</v>
      </c>
      <c r="C3103" t="s">
        <v>10</v>
      </c>
      <c r="D3103" t="s">
        <v>10</v>
      </c>
      <c r="E3103" t="str">
        <f>"$ 18,168"</f>
        <v>$ 18,168</v>
      </c>
      <c r="F3103">
        <v>244</v>
      </c>
    </row>
    <row r="3104" spans="1:6">
      <c r="A3104" t="s">
        <v>3104</v>
      </c>
      <c r="B3104" t="str">
        <f>"0.00235%"</f>
        <v>0.00235%</v>
      </c>
      <c r="C3104" t="s">
        <v>10</v>
      </c>
      <c r="D3104" t="s">
        <v>10</v>
      </c>
      <c r="E3104" t="str">
        <f>"$ 18,168"</f>
        <v>$ 18,168</v>
      </c>
      <c r="F3104">
        <v>40</v>
      </c>
    </row>
    <row r="3105" spans="1:6">
      <c r="A3105" t="s">
        <v>3105</v>
      </c>
      <c r="B3105" t="str">
        <f>"0.00235%"</f>
        <v>0.00235%</v>
      </c>
      <c r="C3105" t="s">
        <v>10</v>
      </c>
      <c r="D3105" t="s">
        <v>10</v>
      </c>
      <c r="E3105" t="str">
        <f>"$ 18,139"</f>
        <v>$ 18,139</v>
      </c>
      <c r="F3105">
        <v>850</v>
      </c>
    </row>
    <row r="3106" spans="1:6">
      <c r="A3106" t="s">
        <v>3106</v>
      </c>
      <c r="B3106" t="str">
        <f>"0.00235%"</f>
        <v>0.00235%</v>
      </c>
      <c r="C3106" t="s">
        <v>10</v>
      </c>
      <c r="D3106" t="s">
        <v>10</v>
      </c>
      <c r="E3106" t="str">
        <f>"$ 18,150"</f>
        <v>$ 18,150</v>
      </c>
      <c r="F3106">
        <v>183</v>
      </c>
    </row>
    <row r="3107" spans="1:6">
      <c r="A3107" t="s">
        <v>3107</v>
      </c>
      <c r="B3107" t="str">
        <f t="shared" ref="B3107:B3116" si="90">"0.00234%"</f>
        <v>0.00234%</v>
      </c>
      <c r="C3107" t="s">
        <v>10</v>
      </c>
      <c r="D3107" t="s">
        <v>10</v>
      </c>
      <c r="E3107" t="str">
        <f>"$ 18,099"</f>
        <v>$ 18,099</v>
      </c>
      <c r="F3107" s="1">
        <v>1765</v>
      </c>
    </row>
    <row r="3108" spans="1:6">
      <c r="A3108" t="s">
        <v>3108</v>
      </c>
      <c r="B3108" t="str">
        <f t="shared" si="90"/>
        <v>0.00234%</v>
      </c>
      <c r="C3108" t="s">
        <v>10</v>
      </c>
      <c r="D3108" t="s">
        <v>10</v>
      </c>
      <c r="E3108" t="str">
        <f>"$ 18,098"</f>
        <v>$ 18,098</v>
      </c>
      <c r="F3108">
        <v>183</v>
      </c>
    </row>
    <row r="3109" spans="1:6">
      <c r="A3109" t="s">
        <v>3109</v>
      </c>
      <c r="B3109" t="str">
        <f t="shared" si="90"/>
        <v>0.00234%</v>
      </c>
      <c r="C3109" t="s">
        <v>10</v>
      </c>
      <c r="D3109" t="s">
        <v>10</v>
      </c>
      <c r="E3109" t="str">
        <f>"$ 18,049"</f>
        <v>$ 18,049</v>
      </c>
      <c r="F3109">
        <v>746</v>
      </c>
    </row>
    <row r="3110" spans="1:6">
      <c r="A3110" t="s">
        <v>3110</v>
      </c>
      <c r="B3110" t="str">
        <f t="shared" si="90"/>
        <v>0.00234%</v>
      </c>
      <c r="C3110" t="s">
        <v>10</v>
      </c>
      <c r="D3110" t="s">
        <v>10</v>
      </c>
      <c r="E3110" t="str">
        <f>"$ 18,056"</f>
        <v>$ 18,056</v>
      </c>
      <c r="F3110">
        <v>211</v>
      </c>
    </row>
    <row r="3111" spans="1:6">
      <c r="A3111" t="s">
        <v>3111</v>
      </c>
      <c r="B3111" t="str">
        <f t="shared" si="90"/>
        <v>0.00234%</v>
      </c>
      <c r="C3111" t="s">
        <v>10</v>
      </c>
      <c r="D3111" t="s">
        <v>10</v>
      </c>
      <c r="E3111" t="str">
        <f>"$ 18,064"</f>
        <v>$ 18,064</v>
      </c>
      <c r="F3111">
        <v>573</v>
      </c>
    </row>
    <row r="3112" spans="1:6">
      <c r="A3112" t="s">
        <v>3112</v>
      </c>
      <c r="B3112" t="str">
        <f t="shared" si="90"/>
        <v>0.00234%</v>
      </c>
      <c r="C3112" t="s">
        <v>10</v>
      </c>
      <c r="D3112" t="s">
        <v>10</v>
      </c>
      <c r="E3112" t="str">
        <f>"$ 18,071"</f>
        <v>$ 18,071</v>
      </c>
      <c r="F3112" s="1">
        <v>9462</v>
      </c>
    </row>
    <row r="3113" spans="1:6">
      <c r="A3113" t="s">
        <v>3113</v>
      </c>
      <c r="B3113" t="str">
        <f t="shared" si="90"/>
        <v>0.00234%</v>
      </c>
      <c r="C3113" t="s">
        <v>10</v>
      </c>
      <c r="D3113" t="s">
        <v>10</v>
      </c>
      <c r="E3113" t="str">
        <f>"$ 18,090"</f>
        <v>$ 18,090</v>
      </c>
      <c r="F3113">
        <v>481</v>
      </c>
    </row>
    <row r="3114" spans="1:6">
      <c r="A3114" t="s">
        <v>3114</v>
      </c>
      <c r="B3114" t="str">
        <f t="shared" si="90"/>
        <v>0.00234%</v>
      </c>
      <c r="C3114" t="s">
        <v>10</v>
      </c>
      <c r="D3114" t="s">
        <v>10</v>
      </c>
      <c r="E3114" t="str">
        <f>"$ 18,071"</f>
        <v>$ 18,071</v>
      </c>
      <c r="F3114">
        <v>459</v>
      </c>
    </row>
    <row r="3115" spans="1:6">
      <c r="A3115" t="s">
        <v>3115</v>
      </c>
      <c r="B3115" t="str">
        <f t="shared" si="90"/>
        <v>0.00234%</v>
      </c>
      <c r="C3115" t="s">
        <v>10</v>
      </c>
      <c r="D3115" t="s">
        <v>10</v>
      </c>
      <c r="E3115" t="str">
        <f>"$ 18,080"</f>
        <v>$ 18,080</v>
      </c>
      <c r="F3115">
        <v>257</v>
      </c>
    </row>
    <row r="3116" spans="1:6">
      <c r="A3116" t="s">
        <v>3116</v>
      </c>
      <c r="B3116" t="str">
        <f t="shared" si="90"/>
        <v>0.00234%</v>
      </c>
      <c r="C3116" t="s">
        <v>10</v>
      </c>
      <c r="D3116" t="s">
        <v>10</v>
      </c>
      <c r="E3116" t="str">
        <f>"$ 18,076"</f>
        <v>$ 18,076</v>
      </c>
      <c r="F3116">
        <v>206</v>
      </c>
    </row>
    <row r="3117" spans="1:6">
      <c r="A3117" t="s">
        <v>3117</v>
      </c>
      <c r="B3117" t="str">
        <f t="shared" ref="B3117:B3127" si="91">"0.00233%"</f>
        <v>0.00233%</v>
      </c>
      <c r="C3117" t="s">
        <v>10</v>
      </c>
      <c r="D3117" t="s">
        <v>10</v>
      </c>
      <c r="E3117" t="str">
        <f>"$ 17,957"</f>
        <v>$ 17,957</v>
      </c>
      <c r="F3117" s="1">
        <v>1273</v>
      </c>
    </row>
    <row r="3118" spans="1:6">
      <c r="A3118" t="s">
        <v>3118</v>
      </c>
      <c r="B3118" t="str">
        <f t="shared" si="91"/>
        <v>0.00233%</v>
      </c>
      <c r="C3118" t="s">
        <v>10</v>
      </c>
      <c r="D3118" t="s">
        <v>10</v>
      </c>
      <c r="E3118" t="str">
        <f>"$ 17,990"</f>
        <v>$ 17,990</v>
      </c>
      <c r="F3118" s="1">
        <v>19473</v>
      </c>
    </row>
    <row r="3119" spans="1:6">
      <c r="A3119" t="s">
        <v>3119</v>
      </c>
      <c r="B3119" t="str">
        <f t="shared" si="91"/>
        <v>0.00233%</v>
      </c>
      <c r="C3119" t="s">
        <v>10</v>
      </c>
      <c r="D3119" t="s">
        <v>10</v>
      </c>
      <c r="E3119" t="str">
        <f>"$ 18,009"</f>
        <v>$ 18,009</v>
      </c>
      <c r="F3119">
        <v>486</v>
      </c>
    </row>
    <row r="3120" spans="1:6">
      <c r="A3120" t="s">
        <v>3120</v>
      </c>
      <c r="B3120" t="str">
        <f t="shared" si="91"/>
        <v>0.00233%</v>
      </c>
      <c r="C3120" t="s">
        <v>10</v>
      </c>
      <c r="D3120" t="s">
        <v>10</v>
      </c>
      <c r="E3120" t="str">
        <f>"$ 18,003"</f>
        <v>$ 18,003</v>
      </c>
      <c r="F3120">
        <v>676</v>
      </c>
    </row>
    <row r="3121" spans="1:6">
      <c r="A3121" t="s">
        <v>3121</v>
      </c>
      <c r="B3121" t="str">
        <f t="shared" si="91"/>
        <v>0.00233%</v>
      </c>
      <c r="C3121" t="s">
        <v>10</v>
      </c>
      <c r="D3121" t="s">
        <v>10</v>
      </c>
      <c r="E3121" t="str">
        <f>"$ 18,025"</f>
        <v>$ 18,025</v>
      </c>
      <c r="F3121" s="1">
        <v>2724</v>
      </c>
    </row>
    <row r="3122" spans="1:6">
      <c r="A3122" t="s">
        <v>3122</v>
      </c>
      <c r="B3122" t="str">
        <f t="shared" si="91"/>
        <v>0.00233%</v>
      </c>
      <c r="C3122" t="s">
        <v>10</v>
      </c>
      <c r="D3122" t="s">
        <v>10</v>
      </c>
      <c r="E3122" t="str">
        <f>"$ 17,969"</f>
        <v>$ 17,969</v>
      </c>
      <c r="F3122">
        <v>792</v>
      </c>
    </row>
    <row r="3123" spans="1:6">
      <c r="A3123" t="s">
        <v>3123</v>
      </c>
      <c r="B3123" t="str">
        <f t="shared" si="91"/>
        <v>0.00233%</v>
      </c>
      <c r="C3123" t="s">
        <v>10</v>
      </c>
      <c r="D3123" t="s">
        <v>10</v>
      </c>
      <c r="E3123" t="str">
        <f>"$ 17,999"</f>
        <v>$ 17,999</v>
      </c>
      <c r="F3123" s="1">
        <v>1762</v>
      </c>
    </row>
    <row r="3124" spans="1:6">
      <c r="A3124" t="s">
        <v>3124</v>
      </c>
      <c r="B3124" t="str">
        <f t="shared" si="91"/>
        <v>0.00233%</v>
      </c>
      <c r="C3124" t="s">
        <v>10</v>
      </c>
      <c r="D3124" t="s">
        <v>10</v>
      </c>
      <c r="E3124" t="str">
        <f>"$ 17,981"</f>
        <v>$ 17,981</v>
      </c>
      <c r="F3124">
        <v>696</v>
      </c>
    </row>
    <row r="3125" spans="1:6">
      <c r="A3125" t="s">
        <v>3125</v>
      </c>
      <c r="B3125" t="str">
        <f t="shared" si="91"/>
        <v>0.00233%</v>
      </c>
      <c r="C3125" t="s">
        <v>10</v>
      </c>
      <c r="D3125" t="s">
        <v>10</v>
      </c>
      <c r="E3125" t="str">
        <f>"$ 17,989"</f>
        <v>$ 17,989</v>
      </c>
      <c r="F3125">
        <v>759</v>
      </c>
    </row>
    <row r="3126" spans="1:6">
      <c r="A3126" t="s">
        <v>3126</v>
      </c>
      <c r="B3126" t="str">
        <f t="shared" si="91"/>
        <v>0.00233%</v>
      </c>
      <c r="C3126" t="s">
        <v>10</v>
      </c>
      <c r="D3126" t="s">
        <v>10</v>
      </c>
      <c r="E3126" t="str">
        <f>"$ 18,013"</f>
        <v>$ 18,013</v>
      </c>
      <c r="F3126">
        <v>249</v>
      </c>
    </row>
    <row r="3127" spans="1:6">
      <c r="A3127" t="s">
        <v>3127</v>
      </c>
      <c r="B3127" t="str">
        <f t="shared" si="91"/>
        <v>0.00233%</v>
      </c>
      <c r="C3127" t="s">
        <v>10</v>
      </c>
      <c r="D3127" t="s">
        <v>10</v>
      </c>
      <c r="E3127" t="str">
        <f>"$ 17,998"</f>
        <v>$ 17,998</v>
      </c>
      <c r="F3127">
        <v>382</v>
      </c>
    </row>
    <row r="3128" spans="1:6">
      <c r="A3128" t="s">
        <v>3128</v>
      </c>
      <c r="B3128" t="str">
        <f>"0.00232%"</f>
        <v>0.00232%</v>
      </c>
      <c r="C3128" t="s">
        <v>10</v>
      </c>
      <c r="D3128" t="s">
        <v>10</v>
      </c>
      <c r="E3128" t="str">
        <f>"$ 17,881"</f>
        <v>$ 17,881</v>
      </c>
      <c r="F3128" s="1">
        <v>14457</v>
      </c>
    </row>
    <row r="3129" spans="1:6">
      <c r="A3129" t="s">
        <v>3129</v>
      </c>
      <c r="B3129" t="str">
        <f>"0.00232%"</f>
        <v>0.00232%</v>
      </c>
      <c r="C3129" t="s">
        <v>10</v>
      </c>
      <c r="D3129" t="s">
        <v>10</v>
      </c>
      <c r="E3129" t="str">
        <f>"$ 17,943"</f>
        <v>$ 17,943</v>
      </c>
      <c r="F3129">
        <v>627</v>
      </c>
    </row>
    <row r="3130" spans="1:6">
      <c r="A3130" t="s">
        <v>3130</v>
      </c>
      <c r="B3130" t="str">
        <f>"0.00232%"</f>
        <v>0.00232%</v>
      </c>
      <c r="C3130" t="s">
        <v>10</v>
      </c>
      <c r="D3130" t="s">
        <v>10</v>
      </c>
      <c r="E3130" t="str">
        <f>"$ 17,949"</f>
        <v>$ 17,949</v>
      </c>
      <c r="F3130" s="1">
        <v>1089</v>
      </c>
    </row>
    <row r="3131" spans="1:6">
      <c r="A3131" t="s">
        <v>3131</v>
      </c>
      <c r="B3131" t="str">
        <f>"0.00232%"</f>
        <v>0.00232%</v>
      </c>
      <c r="C3131" t="s">
        <v>10</v>
      </c>
      <c r="D3131" t="s">
        <v>10</v>
      </c>
      <c r="E3131" t="str">
        <f>"$ 17,934"</f>
        <v>$ 17,934</v>
      </c>
      <c r="F3131">
        <v>137</v>
      </c>
    </row>
    <row r="3132" spans="1:6">
      <c r="A3132" t="s">
        <v>3132</v>
      </c>
      <c r="B3132" t="str">
        <f>"0.00232%"</f>
        <v>0.00232%</v>
      </c>
      <c r="C3132" t="s">
        <v>10</v>
      </c>
      <c r="D3132" t="s">
        <v>10</v>
      </c>
      <c r="E3132" t="str">
        <f>"$ 17,945"</f>
        <v>$ 17,945</v>
      </c>
      <c r="F3132" s="1">
        <v>11052</v>
      </c>
    </row>
    <row r="3133" spans="1:6">
      <c r="A3133" t="s">
        <v>3133</v>
      </c>
      <c r="B3133" t="str">
        <f t="shared" ref="B3133:B3141" si="92">"0.00231%"</f>
        <v>0.00231%</v>
      </c>
      <c r="C3133" t="s">
        <v>10</v>
      </c>
      <c r="D3133" t="s">
        <v>10</v>
      </c>
      <c r="E3133" t="str">
        <f>"$ 17,804"</f>
        <v>$ 17,804</v>
      </c>
      <c r="F3133">
        <v>834</v>
      </c>
    </row>
    <row r="3134" spans="1:6">
      <c r="A3134" t="s">
        <v>3134</v>
      </c>
      <c r="B3134" t="str">
        <f t="shared" si="92"/>
        <v>0.00231%</v>
      </c>
      <c r="C3134" t="s">
        <v>10</v>
      </c>
      <c r="D3134" t="s">
        <v>10</v>
      </c>
      <c r="E3134" t="str">
        <f>"$ 17,865"</f>
        <v>$ 17,865</v>
      </c>
      <c r="F3134" s="1">
        <v>1155</v>
      </c>
    </row>
    <row r="3135" spans="1:6">
      <c r="A3135" t="s">
        <v>3135</v>
      </c>
      <c r="B3135" t="str">
        <f t="shared" si="92"/>
        <v>0.00231%</v>
      </c>
      <c r="C3135" t="s">
        <v>10</v>
      </c>
      <c r="D3135" t="s">
        <v>10</v>
      </c>
      <c r="E3135" t="str">
        <f>"$ 17,827"</f>
        <v>$ 17,827</v>
      </c>
      <c r="F3135" s="1">
        <v>1332</v>
      </c>
    </row>
    <row r="3136" spans="1:6">
      <c r="A3136" t="s">
        <v>3136</v>
      </c>
      <c r="B3136" t="str">
        <f t="shared" si="92"/>
        <v>0.00231%</v>
      </c>
      <c r="C3136" t="s">
        <v>10</v>
      </c>
      <c r="D3136" t="s">
        <v>10</v>
      </c>
      <c r="E3136" t="str">
        <f>"$ 17,830"</f>
        <v>$ 17,830</v>
      </c>
      <c r="F3136">
        <v>232</v>
      </c>
    </row>
    <row r="3137" spans="1:6">
      <c r="A3137" t="s">
        <v>3137</v>
      </c>
      <c r="B3137" t="str">
        <f t="shared" si="92"/>
        <v>0.00231%</v>
      </c>
      <c r="C3137" t="s">
        <v>10</v>
      </c>
      <c r="D3137" t="s">
        <v>10</v>
      </c>
      <c r="E3137" t="str">
        <f>"$ 17,804"</f>
        <v>$ 17,804</v>
      </c>
      <c r="F3137">
        <v>328</v>
      </c>
    </row>
    <row r="3138" spans="1:6">
      <c r="A3138" t="s">
        <v>3138</v>
      </c>
      <c r="B3138" t="str">
        <f t="shared" si="92"/>
        <v>0.00231%</v>
      </c>
      <c r="C3138" t="s">
        <v>10</v>
      </c>
      <c r="D3138" t="s">
        <v>10</v>
      </c>
      <c r="E3138" t="str">
        <f>"$ 17,875"</f>
        <v>$ 17,875</v>
      </c>
      <c r="F3138">
        <v>557</v>
      </c>
    </row>
    <row r="3139" spans="1:6">
      <c r="A3139" t="s">
        <v>3139</v>
      </c>
      <c r="B3139" t="str">
        <f t="shared" si="92"/>
        <v>0.00231%</v>
      </c>
      <c r="C3139" t="s">
        <v>10</v>
      </c>
      <c r="D3139" t="s">
        <v>10</v>
      </c>
      <c r="E3139" t="str">
        <f>"$ 17,811"</f>
        <v>$ 17,811</v>
      </c>
      <c r="F3139" s="1">
        <v>6339</v>
      </c>
    </row>
    <row r="3140" spans="1:6">
      <c r="A3140" t="s">
        <v>3140</v>
      </c>
      <c r="B3140" t="str">
        <f t="shared" si="92"/>
        <v>0.00231%</v>
      </c>
      <c r="C3140" t="s">
        <v>10</v>
      </c>
      <c r="D3140" t="s">
        <v>10</v>
      </c>
      <c r="E3140" t="str">
        <f>"$ 17,814"</f>
        <v>$ 17,814</v>
      </c>
      <c r="F3140" s="1">
        <v>4080</v>
      </c>
    </row>
    <row r="3141" spans="1:6">
      <c r="A3141" t="s">
        <v>3141</v>
      </c>
      <c r="B3141" t="str">
        <f t="shared" si="92"/>
        <v>0.00231%</v>
      </c>
      <c r="C3141" t="s">
        <v>10</v>
      </c>
      <c r="D3141" t="s">
        <v>10</v>
      </c>
      <c r="E3141" t="str">
        <f>"$ 17,863"</f>
        <v>$ 17,863</v>
      </c>
      <c r="F3141">
        <v>643</v>
      </c>
    </row>
    <row r="3142" spans="1:6">
      <c r="A3142" t="s">
        <v>3142</v>
      </c>
      <c r="B3142" t="str">
        <f t="shared" ref="B3142:B3151" si="93">"0.00230%"</f>
        <v>0.00230%</v>
      </c>
      <c r="C3142" t="s">
        <v>10</v>
      </c>
      <c r="D3142" t="s">
        <v>10</v>
      </c>
      <c r="E3142" t="str">
        <f>"$ 17,753"</f>
        <v>$ 17,753</v>
      </c>
      <c r="F3142" s="1">
        <v>4064</v>
      </c>
    </row>
    <row r="3143" spans="1:6">
      <c r="A3143" t="s">
        <v>3143</v>
      </c>
      <c r="B3143" t="str">
        <f t="shared" si="93"/>
        <v>0.00230%</v>
      </c>
      <c r="C3143" t="s">
        <v>10</v>
      </c>
      <c r="D3143" t="s">
        <v>10</v>
      </c>
      <c r="E3143" t="str">
        <f>"$ 17,724"</f>
        <v>$ 17,724</v>
      </c>
      <c r="F3143" s="1">
        <v>2641</v>
      </c>
    </row>
    <row r="3144" spans="1:6">
      <c r="A3144" t="s">
        <v>3144</v>
      </c>
      <c r="B3144" t="str">
        <f t="shared" si="93"/>
        <v>0.00230%</v>
      </c>
      <c r="C3144" t="s">
        <v>10</v>
      </c>
      <c r="D3144" t="s">
        <v>10</v>
      </c>
      <c r="E3144" t="str">
        <f>"$ 17,724"</f>
        <v>$ 17,724</v>
      </c>
      <c r="F3144" s="1">
        <v>1389</v>
      </c>
    </row>
    <row r="3145" spans="1:6">
      <c r="A3145" t="s">
        <v>3145</v>
      </c>
      <c r="B3145" t="str">
        <f t="shared" si="93"/>
        <v>0.00230%</v>
      </c>
      <c r="C3145" t="s">
        <v>10</v>
      </c>
      <c r="D3145" t="s">
        <v>10</v>
      </c>
      <c r="E3145" t="str">
        <f>"$ 17,790"</f>
        <v>$ 17,790</v>
      </c>
      <c r="F3145">
        <v>297</v>
      </c>
    </row>
    <row r="3146" spans="1:6">
      <c r="A3146" t="s">
        <v>3146</v>
      </c>
      <c r="B3146" t="str">
        <f t="shared" si="93"/>
        <v>0.00230%</v>
      </c>
      <c r="C3146" t="s">
        <v>10</v>
      </c>
      <c r="D3146" t="s">
        <v>10</v>
      </c>
      <c r="E3146" t="str">
        <f>"$ 17,756"</f>
        <v>$ 17,756</v>
      </c>
      <c r="F3146">
        <v>190</v>
      </c>
    </row>
    <row r="3147" spans="1:6">
      <c r="A3147" t="s">
        <v>3147</v>
      </c>
      <c r="B3147" t="str">
        <f t="shared" si="93"/>
        <v>0.00230%</v>
      </c>
      <c r="C3147" t="s">
        <v>10</v>
      </c>
      <c r="D3147" t="s">
        <v>10</v>
      </c>
      <c r="E3147" t="str">
        <f>"$ 17,787"</f>
        <v>$ 17,787</v>
      </c>
      <c r="F3147">
        <v>789</v>
      </c>
    </row>
    <row r="3148" spans="1:6">
      <c r="A3148" t="s">
        <v>3148</v>
      </c>
      <c r="B3148" t="str">
        <f t="shared" si="93"/>
        <v>0.00230%</v>
      </c>
      <c r="C3148" t="s">
        <v>10</v>
      </c>
      <c r="D3148" t="s">
        <v>10</v>
      </c>
      <c r="E3148" t="str">
        <f>"$ 17,761"</f>
        <v>$ 17,761</v>
      </c>
      <c r="F3148">
        <v>166</v>
      </c>
    </row>
    <row r="3149" spans="1:6">
      <c r="A3149" t="s">
        <v>3149</v>
      </c>
      <c r="B3149" t="str">
        <f t="shared" si="93"/>
        <v>0.00230%</v>
      </c>
      <c r="C3149" t="s">
        <v>10</v>
      </c>
      <c r="D3149" t="s">
        <v>10</v>
      </c>
      <c r="E3149" t="str">
        <f>"$ 17,798"</f>
        <v>$ 17,798</v>
      </c>
      <c r="F3149" s="1">
        <v>10590</v>
      </c>
    </row>
    <row r="3150" spans="1:6">
      <c r="A3150" t="s">
        <v>3150</v>
      </c>
      <c r="B3150" t="str">
        <f t="shared" si="93"/>
        <v>0.00230%</v>
      </c>
      <c r="C3150" t="s">
        <v>10</v>
      </c>
      <c r="D3150" t="s">
        <v>10</v>
      </c>
      <c r="E3150" t="str">
        <f>"$ 17,724"</f>
        <v>$ 17,724</v>
      </c>
      <c r="F3150">
        <v>521</v>
      </c>
    </row>
    <row r="3151" spans="1:6">
      <c r="A3151" t="s">
        <v>3151</v>
      </c>
      <c r="B3151" t="str">
        <f t="shared" si="93"/>
        <v>0.00230%</v>
      </c>
      <c r="C3151" t="s">
        <v>10</v>
      </c>
      <c r="D3151" t="s">
        <v>10</v>
      </c>
      <c r="E3151" t="str">
        <f>"$ 17,753"</f>
        <v>$ 17,753</v>
      </c>
      <c r="F3151">
        <v>399</v>
      </c>
    </row>
    <row r="3152" spans="1:6">
      <c r="A3152" t="s">
        <v>3152</v>
      </c>
      <c r="B3152" t="str">
        <f t="shared" ref="B3152:B3159" si="94">"0.00229%"</f>
        <v>0.00229%</v>
      </c>
      <c r="C3152" t="s">
        <v>10</v>
      </c>
      <c r="D3152" t="s">
        <v>10</v>
      </c>
      <c r="E3152" t="str">
        <f>"$ 17,701"</f>
        <v>$ 17,701</v>
      </c>
      <c r="F3152">
        <v>294</v>
      </c>
    </row>
    <row r="3153" spans="1:6">
      <c r="A3153" t="s">
        <v>3153</v>
      </c>
      <c r="B3153" t="str">
        <f t="shared" si="94"/>
        <v>0.00229%</v>
      </c>
      <c r="C3153" t="s">
        <v>10</v>
      </c>
      <c r="D3153" t="s">
        <v>10</v>
      </c>
      <c r="E3153" t="str">
        <f>"$ 17,668"</f>
        <v>$ 17,668</v>
      </c>
      <c r="F3153" s="1">
        <v>10830</v>
      </c>
    </row>
    <row r="3154" spans="1:6">
      <c r="A3154" t="s">
        <v>3154</v>
      </c>
      <c r="B3154" t="str">
        <f t="shared" si="94"/>
        <v>0.00229%</v>
      </c>
      <c r="C3154" t="s">
        <v>10</v>
      </c>
      <c r="D3154" t="s">
        <v>10</v>
      </c>
      <c r="E3154" t="str">
        <f>"$ 17,680"</f>
        <v>$ 17,680</v>
      </c>
      <c r="F3154">
        <v>478</v>
      </c>
    </row>
    <row r="3155" spans="1:6">
      <c r="A3155" t="s">
        <v>3155</v>
      </c>
      <c r="B3155" t="str">
        <f t="shared" si="94"/>
        <v>0.00229%</v>
      </c>
      <c r="C3155" t="s">
        <v>10</v>
      </c>
      <c r="D3155" t="s">
        <v>10</v>
      </c>
      <c r="E3155" t="str">
        <f>"$ 17,656"</f>
        <v>$ 17,656</v>
      </c>
      <c r="F3155" s="1">
        <v>2486</v>
      </c>
    </row>
    <row r="3156" spans="1:6">
      <c r="A3156" t="s">
        <v>3156</v>
      </c>
      <c r="B3156" t="str">
        <f t="shared" si="94"/>
        <v>0.00229%</v>
      </c>
      <c r="C3156" t="s">
        <v>10</v>
      </c>
      <c r="D3156" t="s">
        <v>10</v>
      </c>
      <c r="E3156" t="str">
        <f>"$ 17,671"</f>
        <v>$ 17,671</v>
      </c>
      <c r="F3156" s="1">
        <v>3017</v>
      </c>
    </row>
    <row r="3157" spans="1:6">
      <c r="A3157" t="s">
        <v>3157</v>
      </c>
      <c r="B3157" t="str">
        <f t="shared" si="94"/>
        <v>0.00229%</v>
      </c>
      <c r="C3157" t="s">
        <v>10</v>
      </c>
      <c r="D3157" t="s">
        <v>10</v>
      </c>
      <c r="E3157" t="str">
        <f>"$ 17,696"</f>
        <v>$ 17,696</v>
      </c>
      <c r="F3157" s="1">
        <v>1171</v>
      </c>
    </row>
    <row r="3158" spans="1:6">
      <c r="A3158" t="s">
        <v>3158</v>
      </c>
      <c r="B3158" t="str">
        <f t="shared" si="94"/>
        <v>0.00229%</v>
      </c>
      <c r="C3158" t="s">
        <v>10</v>
      </c>
      <c r="D3158" t="s">
        <v>10</v>
      </c>
      <c r="E3158" t="str">
        <f>"$ 17,691"</f>
        <v>$ 17,691</v>
      </c>
      <c r="F3158">
        <v>692</v>
      </c>
    </row>
    <row r="3159" spans="1:6">
      <c r="A3159" t="s">
        <v>3159</v>
      </c>
      <c r="B3159" t="str">
        <f t="shared" si="94"/>
        <v>0.00229%</v>
      </c>
      <c r="C3159" t="s">
        <v>10</v>
      </c>
      <c r="D3159" t="s">
        <v>10</v>
      </c>
      <c r="E3159" t="str">
        <f>"$ 17,712"</f>
        <v>$ 17,712</v>
      </c>
      <c r="F3159">
        <v>259</v>
      </c>
    </row>
    <row r="3160" spans="1:6">
      <c r="A3160" t="s">
        <v>3160</v>
      </c>
      <c r="B3160" t="str">
        <f>"0.00228%"</f>
        <v>0.00228%</v>
      </c>
      <c r="C3160" t="s">
        <v>10</v>
      </c>
      <c r="D3160" t="s">
        <v>10</v>
      </c>
      <c r="E3160" t="str">
        <f>"$ 17,571"</f>
        <v>$ 17,571</v>
      </c>
      <c r="F3160">
        <v>149</v>
      </c>
    </row>
    <row r="3161" spans="1:6">
      <c r="A3161" t="s">
        <v>3161</v>
      </c>
      <c r="B3161" t="str">
        <f>"0.00228%"</f>
        <v>0.00228%</v>
      </c>
      <c r="C3161" t="s">
        <v>10</v>
      </c>
      <c r="D3161" t="s">
        <v>10</v>
      </c>
      <c r="E3161" t="str">
        <f>"$ 17,612"</f>
        <v>$ 17,612</v>
      </c>
      <c r="F3161">
        <v>165</v>
      </c>
    </row>
    <row r="3162" spans="1:6">
      <c r="A3162" t="s">
        <v>3162</v>
      </c>
      <c r="B3162" t="str">
        <f>"0.00228%"</f>
        <v>0.00228%</v>
      </c>
      <c r="C3162" t="s">
        <v>10</v>
      </c>
      <c r="D3162" t="s">
        <v>10</v>
      </c>
      <c r="E3162" t="str">
        <f>"$ 17,578"</f>
        <v>$ 17,578</v>
      </c>
      <c r="F3162">
        <v>280</v>
      </c>
    </row>
    <row r="3163" spans="1:6">
      <c r="A3163" t="s">
        <v>3163</v>
      </c>
      <c r="B3163" t="str">
        <f>"0.00228%"</f>
        <v>0.00228%</v>
      </c>
      <c r="C3163" t="s">
        <v>10</v>
      </c>
      <c r="D3163" t="s">
        <v>10</v>
      </c>
      <c r="E3163" t="str">
        <f>"$ 17,621"</f>
        <v>$ 17,621</v>
      </c>
      <c r="F3163" s="1">
        <v>15797</v>
      </c>
    </row>
    <row r="3164" spans="1:6">
      <c r="A3164" t="s">
        <v>3164</v>
      </c>
      <c r="B3164" t="str">
        <f>"0.00228%"</f>
        <v>0.00228%</v>
      </c>
      <c r="C3164" t="s">
        <v>10</v>
      </c>
      <c r="D3164" t="s">
        <v>10</v>
      </c>
      <c r="E3164" t="str">
        <f>"$ 17,587"</f>
        <v>$ 17,587</v>
      </c>
      <c r="F3164" s="1">
        <v>26355</v>
      </c>
    </row>
    <row r="3165" spans="1:6">
      <c r="A3165" t="s">
        <v>3165</v>
      </c>
      <c r="B3165" t="str">
        <f t="shared" ref="B3165:B3172" si="95">"0.00227%"</f>
        <v>0.00227%</v>
      </c>
      <c r="C3165" t="s">
        <v>10</v>
      </c>
      <c r="D3165" t="s">
        <v>10</v>
      </c>
      <c r="E3165" t="str">
        <f>"$ 17,520"</f>
        <v>$ 17,520</v>
      </c>
      <c r="F3165">
        <v>737</v>
      </c>
    </row>
    <row r="3166" spans="1:6">
      <c r="A3166" t="s">
        <v>3166</v>
      </c>
      <c r="B3166" t="str">
        <f t="shared" si="95"/>
        <v>0.00227%</v>
      </c>
      <c r="C3166" t="s">
        <v>10</v>
      </c>
      <c r="D3166" t="s">
        <v>10</v>
      </c>
      <c r="E3166" t="str">
        <f>"$ 17,543"</f>
        <v>$ 17,543</v>
      </c>
      <c r="F3166">
        <v>154</v>
      </c>
    </row>
    <row r="3167" spans="1:6">
      <c r="A3167" t="s">
        <v>3167</v>
      </c>
      <c r="B3167" t="str">
        <f t="shared" si="95"/>
        <v>0.00227%</v>
      </c>
      <c r="C3167" t="s">
        <v>10</v>
      </c>
      <c r="D3167" t="s">
        <v>10</v>
      </c>
      <c r="E3167" t="str">
        <f>"$ 17,549"</f>
        <v>$ 17,549</v>
      </c>
      <c r="F3167">
        <v>274</v>
      </c>
    </row>
    <row r="3168" spans="1:6">
      <c r="A3168" t="s">
        <v>3168</v>
      </c>
      <c r="B3168" t="str">
        <f t="shared" si="95"/>
        <v>0.00227%</v>
      </c>
      <c r="C3168" t="s">
        <v>10</v>
      </c>
      <c r="D3168" t="s">
        <v>10</v>
      </c>
      <c r="E3168" t="str">
        <f>"$ 17,514"</f>
        <v>$ 17,514</v>
      </c>
      <c r="F3168">
        <v>693</v>
      </c>
    </row>
    <row r="3169" spans="1:6">
      <c r="A3169" t="s">
        <v>3169</v>
      </c>
      <c r="B3169" t="str">
        <f t="shared" si="95"/>
        <v>0.00227%</v>
      </c>
      <c r="C3169" t="s">
        <v>10</v>
      </c>
      <c r="D3169" t="s">
        <v>10</v>
      </c>
      <c r="E3169" t="str">
        <f>"$ 17,555"</f>
        <v>$ 17,555</v>
      </c>
      <c r="F3169">
        <v>812</v>
      </c>
    </row>
    <row r="3170" spans="1:6">
      <c r="A3170" t="s">
        <v>3170</v>
      </c>
      <c r="B3170" t="str">
        <f t="shared" si="95"/>
        <v>0.00227%</v>
      </c>
      <c r="C3170" t="s">
        <v>10</v>
      </c>
      <c r="D3170" t="s">
        <v>10</v>
      </c>
      <c r="E3170" t="str">
        <f>"$ 17,523"</f>
        <v>$ 17,523</v>
      </c>
      <c r="F3170">
        <v>27</v>
      </c>
    </row>
    <row r="3171" spans="1:6">
      <c r="A3171" t="s">
        <v>3171</v>
      </c>
      <c r="B3171" t="str">
        <f t="shared" si="95"/>
        <v>0.00227%</v>
      </c>
      <c r="C3171" t="s">
        <v>10</v>
      </c>
      <c r="D3171" t="s">
        <v>10</v>
      </c>
      <c r="E3171" t="str">
        <f>"$ 17,514"</f>
        <v>$ 17,514</v>
      </c>
      <c r="F3171" s="1">
        <v>2543</v>
      </c>
    </row>
    <row r="3172" spans="1:6">
      <c r="A3172" t="s">
        <v>3172</v>
      </c>
      <c r="B3172" t="str">
        <f t="shared" si="95"/>
        <v>0.00227%</v>
      </c>
      <c r="C3172" t="s">
        <v>10</v>
      </c>
      <c r="D3172" t="s">
        <v>10</v>
      </c>
      <c r="E3172" t="str">
        <f>"$ 17,519"</f>
        <v>$ 17,519</v>
      </c>
      <c r="F3172" s="1">
        <v>6080</v>
      </c>
    </row>
    <row r="3173" spans="1:6">
      <c r="A3173" t="s">
        <v>3173</v>
      </c>
      <c r="B3173" t="str">
        <f t="shared" ref="B3173:B3178" si="96">"0.00226%"</f>
        <v>0.00226%</v>
      </c>
      <c r="C3173" t="s">
        <v>10</v>
      </c>
      <c r="D3173" t="s">
        <v>10</v>
      </c>
      <c r="E3173" t="str">
        <f>"$ 17,435"</f>
        <v>$ 17,435</v>
      </c>
      <c r="F3173" s="1">
        <v>33314</v>
      </c>
    </row>
    <row r="3174" spans="1:6">
      <c r="A3174" t="s">
        <v>3174</v>
      </c>
      <c r="B3174" t="str">
        <f t="shared" si="96"/>
        <v>0.00226%</v>
      </c>
      <c r="C3174" t="s">
        <v>10</v>
      </c>
      <c r="D3174" t="s">
        <v>10</v>
      </c>
      <c r="E3174" t="str">
        <f>"$ 17,427"</f>
        <v>$ 17,427</v>
      </c>
      <c r="F3174">
        <v>323</v>
      </c>
    </row>
    <row r="3175" spans="1:6">
      <c r="A3175" t="s">
        <v>3175</v>
      </c>
      <c r="B3175" t="str">
        <f t="shared" si="96"/>
        <v>0.00226%</v>
      </c>
      <c r="C3175" t="s">
        <v>10</v>
      </c>
      <c r="D3175" t="s">
        <v>10</v>
      </c>
      <c r="E3175" t="str">
        <f>"$ 17,425"</f>
        <v>$ 17,425</v>
      </c>
      <c r="F3175" s="1">
        <v>8179</v>
      </c>
    </row>
    <row r="3176" spans="1:6">
      <c r="A3176" t="s">
        <v>3176</v>
      </c>
      <c r="B3176" t="str">
        <f t="shared" si="96"/>
        <v>0.00226%</v>
      </c>
      <c r="C3176" t="s">
        <v>10</v>
      </c>
      <c r="D3176" t="s">
        <v>10</v>
      </c>
      <c r="E3176" t="str">
        <f>"$ 17,489"</f>
        <v>$ 17,489</v>
      </c>
      <c r="F3176">
        <v>577</v>
      </c>
    </row>
    <row r="3177" spans="1:6">
      <c r="A3177" t="s">
        <v>3177</v>
      </c>
      <c r="B3177" t="str">
        <f t="shared" si="96"/>
        <v>0.00226%</v>
      </c>
      <c r="C3177" t="s">
        <v>10</v>
      </c>
      <c r="D3177" t="s">
        <v>10</v>
      </c>
      <c r="E3177" t="str">
        <f>"$ 17,454"</f>
        <v>$ 17,454</v>
      </c>
      <c r="F3177" s="1">
        <v>1189</v>
      </c>
    </row>
    <row r="3178" spans="1:6">
      <c r="A3178" t="s">
        <v>3178</v>
      </c>
      <c r="B3178" t="str">
        <f t="shared" si="96"/>
        <v>0.00226%</v>
      </c>
      <c r="C3178" t="s">
        <v>10</v>
      </c>
      <c r="D3178" t="s">
        <v>10</v>
      </c>
      <c r="E3178" t="str">
        <f>"$ 17,458"</f>
        <v>$ 17,458</v>
      </c>
      <c r="F3178" s="1">
        <v>4088</v>
      </c>
    </row>
    <row r="3179" spans="1:6">
      <c r="A3179" t="s">
        <v>3179</v>
      </c>
      <c r="B3179" t="str">
        <f t="shared" ref="B3179:B3184" si="97">"0.00225%"</f>
        <v>0.00225%</v>
      </c>
      <c r="C3179" t="s">
        <v>10</v>
      </c>
      <c r="D3179" t="s">
        <v>10</v>
      </c>
      <c r="E3179" t="str">
        <f>"$ 17,396"</f>
        <v>$ 17,396</v>
      </c>
      <c r="F3179">
        <v>671</v>
      </c>
    </row>
    <row r="3180" spans="1:6">
      <c r="A3180" t="s">
        <v>3180</v>
      </c>
      <c r="B3180" t="str">
        <f t="shared" si="97"/>
        <v>0.00225%</v>
      </c>
      <c r="C3180" t="s">
        <v>10</v>
      </c>
      <c r="D3180" t="s">
        <v>10</v>
      </c>
      <c r="E3180" t="str">
        <f>"$ 17,341"</f>
        <v>$ 17,341</v>
      </c>
      <c r="F3180">
        <v>264</v>
      </c>
    </row>
    <row r="3181" spans="1:6">
      <c r="A3181" t="s">
        <v>3181</v>
      </c>
      <c r="B3181" t="str">
        <f t="shared" si="97"/>
        <v>0.00225%</v>
      </c>
      <c r="C3181" t="s">
        <v>10</v>
      </c>
      <c r="D3181" t="s">
        <v>10</v>
      </c>
      <c r="E3181" t="str">
        <f>"$ 17,402"</f>
        <v>$ 17,402</v>
      </c>
      <c r="F3181">
        <v>445</v>
      </c>
    </row>
    <row r="3182" spans="1:6">
      <c r="A3182" t="s">
        <v>3182</v>
      </c>
      <c r="B3182" t="str">
        <f t="shared" si="97"/>
        <v>0.00225%</v>
      </c>
      <c r="C3182" t="s">
        <v>10</v>
      </c>
      <c r="D3182" t="s">
        <v>10</v>
      </c>
      <c r="E3182" t="str">
        <f>"$ 17,399"</f>
        <v>$ 17,399</v>
      </c>
      <c r="F3182">
        <v>314</v>
      </c>
    </row>
    <row r="3183" spans="1:6">
      <c r="A3183" t="s">
        <v>3183</v>
      </c>
      <c r="B3183" t="str">
        <f t="shared" si="97"/>
        <v>0.00225%</v>
      </c>
      <c r="C3183" t="s">
        <v>10</v>
      </c>
      <c r="D3183" t="s">
        <v>10</v>
      </c>
      <c r="E3183" t="str">
        <f>"$ 17,412"</f>
        <v>$ 17,412</v>
      </c>
      <c r="F3183" s="1">
        <v>15055</v>
      </c>
    </row>
    <row r="3184" spans="1:6">
      <c r="A3184" t="s">
        <v>3184</v>
      </c>
      <c r="B3184" t="str">
        <f t="shared" si="97"/>
        <v>0.00225%</v>
      </c>
      <c r="C3184" t="s">
        <v>10</v>
      </c>
      <c r="D3184" t="s">
        <v>10</v>
      </c>
      <c r="E3184" t="str">
        <f>"$ 17,340"</f>
        <v>$ 17,340</v>
      </c>
      <c r="F3184">
        <v>276</v>
      </c>
    </row>
    <row r="3185" spans="1:6">
      <c r="A3185" t="s">
        <v>3185</v>
      </c>
      <c r="B3185" t="str">
        <f>"0.00224%"</f>
        <v>0.00224%</v>
      </c>
      <c r="C3185" t="s">
        <v>10</v>
      </c>
      <c r="D3185" t="s">
        <v>10</v>
      </c>
      <c r="E3185" t="str">
        <f>"$ 17,285"</f>
        <v>$ 17,285</v>
      </c>
      <c r="F3185" s="1">
        <v>2376</v>
      </c>
    </row>
    <row r="3186" spans="1:6">
      <c r="A3186" t="s">
        <v>3186</v>
      </c>
      <c r="B3186" t="str">
        <f>"0.00224%"</f>
        <v>0.00224%</v>
      </c>
      <c r="C3186" t="s">
        <v>10</v>
      </c>
      <c r="D3186" t="s">
        <v>10</v>
      </c>
      <c r="E3186" t="str">
        <f>"$ 17,324"</f>
        <v>$ 17,324</v>
      </c>
      <c r="F3186">
        <v>673</v>
      </c>
    </row>
    <row r="3187" spans="1:6">
      <c r="A3187" t="s">
        <v>3187</v>
      </c>
      <c r="B3187" t="str">
        <f>"0.00224%"</f>
        <v>0.00224%</v>
      </c>
      <c r="C3187" t="s">
        <v>10</v>
      </c>
      <c r="D3187" t="s">
        <v>10</v>
      </c>
      <c r="E3187" t="str">
        <f>"$ 17,308"</f>
        <v>$ 17,308</v>
      </c>
      <c r="F3187">
        <v>551</v>
      </c>
    </row>
    <row r="3188" spans="1:6">
      <c r="A3188" t="s">
        <v>3188</v>
      </c>
      <c r="B3188" t="str">
        <f>"0.00224%"</f>
        <v>0.00224%</v>
      </c>
      <c r="C3188" t="s">
        <v>10</v>
      </c>
      <c r="D3188" t="s">
        <v>10</v>
      </c>
      <c r="E3188" t="str">
        <f>"$ 17,266"</f>
        <v>$ 17,266</v>
      </c>
      <c r="F3188" s="1">
        <v>2215</v>
      </c>
    </row>
    <row r="3189" spans="1:6">
      <c r="A3189" t="s">
        <v>3189</v>
      </c>
      <c r="B3189" t="str">
        <f>"0.00223%"</f>
        <v>0.00223%</v>
      </c>
      <c r="C3189" t="s">
        <v>10</v>
      </c>
      <c r="D3189" t="s">
        <v>10</v>
      </c>
      <c r="E3189" t="str">
        <f>"$ 17,195"</f>
        <v>$ 17,195</v>
      </c>
      <c r="F3189">
        <v>609</v>
      </c>
    </row>
    <row r="3190" spans="1:6">
      <c r="A3190" t="s">
        <v>3190</v>
      </c>
      <c r="B3190" t="str">
        <f>"0.00223%"</f>
        <v>0.00223%</v>
      </c>
      <c r="C3190" t="s">
        <v>10</v>
      </c>
      <c r="D3190" t="s">
        <v>10</v>
      </c>
      <c r="E3190" t="str">
        <f>"$ 17,231"</f>
        <v>$ 17,231</v>
      </c>
      <c r="F3190">
        <v>489</v>
      </c>
    </row>
    <row r="3191" spans="1:6">
      <c r="A3191" t="s">
        <v>3191</v>
      </c>
      <c r="B3191" t="str">
        <f>"0.00223%"</f>
        <v>0.00223%</v>
      </c>
      <c r="C3191" t="s">
        <v>10</v>
      </c>
      <c r="D3191" t="s">
        <v>10</v>
      </c>
      <c r="E3191" t="str">
        <f>"$ 17,205"</f>
        <v>$ 17,205</v>
      </c>
      <c r="F3191" s="1">
        <v>1469</v>
      </c>
    </row>
    <row r="3192" spans="1:6">
      <c r="A3192" t="s">
        <v>3192</v>
      </c>
      <c r="B3192" t="str">
        <f>"0.00223%"</f>
        <v>0.00223%</v>
      </c>
      <c r="C3192" t="s">
        <v>10</v>
      </c>
      <c r="D3192" t="s">
        <v>10</v>
      </c>
      <c r="E3192" t="str">
        <f>"$ 17,239"</f>
        <v>$ 17,239</v>
      </c>
      <c r="F3192">
        <v>225</v>
      </c>
    </row>
    <row r="3193" spans="1:6">
      <c r="A3193" t="s">
        <v>3193</v>
      </c>
      <c r="B3193" t="str">
        <f>"0.00223%"</f>
        <v>0.00223%</v>
      </c>
      <c r="C3193" t="s">
        <v>10</v>
      </c>
      <c r="D3193" t="s">
        <v>10</v>
      </c>
      <c r="E3193" t="str">
        <f>"$ 17,224"</f>
        <v>$ 17,224</v>
      </c>
      <c r="F3193">
        <v>214</v>
      </c>
    </row>
    <row r="3194" spans="1:6">
      <c r="A3194" t="s">
        <v>3194</v>
      </c>
      <c r="B3194" t="str">
        <f t="shared" ref="B3194:B3206" si="98">"0.00222%"</f>
        <v>0.00222%</v>
      </c>
      <c r="C3194" t="s">
        <v>10</v>
      </c>
      <c r="D3194" t="s">
        <v>10</v>
      </c>
      <c r="E3194" t="str">
        <f>"$ 17,109"</f>
        <v>$ 17,109</v>
      </c>
      <c r="F3194" s="1">
        <v>11107</v>
      </c>
    </row>
    <row r="3195" spans="1:6">
      <c r="A3195" t="s">
        <v>3195</v>
      </c>
      <c r="B3195" t="str">
        <f t="shared" si="98"/>
        <v>0.00222%</v>
      </c>
      <c r="C3195" t="s">
        <v>10</v>
      </c>
      <c r="D3195" t="s">
        <v>10</v>
      </c>
      <c r="E3195" t="str">
        <f>"$ 17,135"</f>
        <v>$ 17,135</v>
      </c>
      <c r="F3195">
        <v>249</v>
      </c>
    </row>
    <row r="3196" spans="1:6">
      <c r="A3196" t="s">
        <v>3196</v>
      </c>
      <c r="B3196" t="str">
        <f t="shared" si="98"/>
        <v>0.00222%</v>
      </c>
      <c r="C3196" t="s">
        <v>10</v>
      </c>
      <c r="D3196" t="s">
        <v>10</v>
      </c>
      <c r="E3196" t="str">
        <f>"$ 17,142"</f>
        <v>$ 17,142</v>
      </c>
      <c r="F3196">
        <v>492</v>
      </c>
    </row>
    <row r="3197" spans="1:6">
      <c r="A3197" t="s">
        <v>3197</v>
      </c>
      <c r="B3197" t="str">
        <f t="shared" si="98"/>
        <v>0.00222%</v>
      </c>
      <c r="C3197" t="s">
        <v>10</v>
      </c>
      <c r="D3197" t="s">
        <v>10</v>
      </c>
      <c r="E3197" t="str">
        <f>"$ 17,110"</f>
        <v>$ 17,110</v>
      </c>
      <c r="F3197">
        <v>8</v>
      </c>
    </row>
    <row r="3198" spans="1:6">
      <c r="A3198" t="s">
        <v>3198</v>
      </c>
      <c r="B3198" t="str">
        <f t="shared" si="98"/>
        <v>0.00222%</v>
      </c>
      <c r="C3198" t="s">
        <v>10</v>
      </c>
      <c r="D3198" t="s">
        <v>10</v>
      </c>
      <c r="E3198" t="str">
        <f>"$ 17,135"</f>
        <v>$ 17,135</v>
      </c>
      <c r="F3198">
        <v>342</v>
      </c>
    </row>
    <row r="3199" spans="1:6">
      <c r="A3199" t="s">
        <v>3199</v>
      </c>
      <c r="B3199" t="str">
        <f t="shared" si="98"/>
        <v>0.00222%</v>
      </c>
      <c r="C3199" t="s">
        <v>10</v>
      </c>
      <c r="D3199" t="s">
        <v>10</v>
      </c>
      <c r="E3199" t="str">
        <f>"$ 17,117"</f>
        <v>$ 17,117</v>
      </c>
      <c r="F3199" s="1">
        <v>8979</v>
      </c>
    </row>
    <row r="3200" spans="1:6">
      <c r="A3200" t="s">
        <v>3200</v>
      </c>
      <c r="B3200" t="str">
        <f t="shared" si="98"/>
        <v>0.00222%</v>
      </c>
      <c r="C3200" t="s">
        <v>10</v>
      </c>
      <c r="D3200" t="s">
        <v>10</v>
      </c>
      <c r="E3200" t="str">
        <f>"$ 17,173"</f>
        <v>$ 17,173</v>
      </c>
      <c r="F3200">
        <v>364</v>
      </c>
    </row>
    <row r="3201" spans="1:6">
      <c r="A3201" t="s">
        <v>3201</v>
      </c>
      <c r="B3201" t="str">
        <f t="shared" si="98"/>
        <v>0.00222%</v>
      </c>
      <c r="C3201" t="s">
        <v>10</v>
      </c>
      <c r="D3201" t="s">
        <v>10</v>
      </c>
      <c r="E3201" t="str">
        <f>"$ 17,160"</f>
        <v>$ 17,160</v>
      </c>
      <c r="F3201" s="1">
        <v>19276</v>
      </c>
    </row>
    <row r="3202" spans="1:6">
      <c r="A3202" t="s">
        <v>3202</v>
      </c>
      <c r="B3202" t="str">
        <f t="shared" si="98"/>
        <v>0.00222%</v>
      </c>
      <c r="C3202" t="s">
        <v>10</v>
      </c>
      <c r="D3202" t="s">
        <v>10</v>
      </c>
      <c r="E3202" t="str">
        <f>"$ 17,163"</f>
        <v>$ 17,163</v>
      </c>
      <c r="F3202">
        <v>690</v>
      </c>
    </row>
    <row r="3203" spans="1:6">
      <c r="A3203" t="s">
        <v>3203</v>
      </c>
      <c r="B3203" t="str">
        <f t="shared" si="98"/>
        <v>0.00222%</v>
      </c>
      <c r="C3203" t="s">
        <v>10</v>
      </c>
      <c r="D3203" t="s">
        <v>10</v>
      </c>
      <c r="E3203" t="str">
        <f>"$ 17,128"</f>
        <v>$ 17,128</v>
      </c>
      <c r="F3203" s="1">
        <v>7066</v>
      </c>
    </row>
    <row r="3204" spans="1:6">
      <c r="A3204" t="s">
        <v>3204</v>
      </c>
      <c r="B3204" t="str">
        <f t="shared" si="98"/>
        <v>0.00222%</v>
      </c>
      <c r="C3204" t="s">
        <v>10</v>
      </c>
      <c r="D3204" t="s">
        <v>10</v>
      </c>
      <c r="E3204" t="str">
        <f>"$ 17,181"</f>
        <v>$ 17,181</v>
      </c>
      <c r="F3204">
        <v>786</v>
      </c>
    </row>
    <row r="3205" spans="1:6">
      <c r="A3205" t="s">
        <v>3205</v>
      </c>
      <c r="B3205" t="str">
        <f t="shared" si="98"/>
        <v>0.00222%</v>
      </c>
      <c r="C3205" t="s">
        <v>10</v>
      </c>
      <c r="D3205" t="s">
        <v>10</v>
      </c>
      <c r="E3205" t="str">
        <f>"$ 17,144"</f>
        <v>$ 17,144</v>
      </c>
      <c r="F3205">
        <v>281</v>
      </c>
    </row>
    <row r="3206" spans="1:6">
      <c r="A3206" t="s">
        <v>3206</v>
      </c>
      <c r="B3206" t="str">
        <f t="shared" si="98"/>
        <v>0.00222%</v>
      </c>
      <c r="C3206" t="s">
        <v>10</v>
      </c>
      <c r="D3206" t="s">
        <v>10</v>
      </c>
      <c r="E3206" t="str">
        <f>"$ 17,168"</f>
        <v>$ 17,168</v>
      </c>
      <c r="F3206" s="1">
        <v>3017</v>
      </c>
    </row>
    <row r="3207" spans="1:6">
      <c r="A3207" t="s">
        <v>3207</v>
      </c>
      <c r="B3207" t="str">
        <f>"0.00221%"</f>
        <v>0.00221%</v>
      </c>
      <c r="C3207" t="s">
        <v>10</v>
      </c>
      <c r="D3207" t="s">
        <v>10</v>
      </c>
      <c r="E3207" t="str">
        <f>"$ 17,073"</f>
        <v>$ 17,073</v>
      </c>
      <c r="F3207" s="1">
        <v>1105</v>
      </c>
    </row>
    <row r="3208" spans="1:6">
      <c r="A3208" t="s">
        <v>3208</v>
      </c>
      <c r="B3208" t="str">
        <f>"0.00221%"</f>
        <v>0.00221%</v>
      </c>
      <c r="C3208" t="s">
        <v>10</v>
      </c>
      <c r="D3208" t="s">
        <v>10</v>
      </c>
      <c r="E3208" t="str">
        <f>"$ 17,054"</f>
        <v>$ 17,054</v>
      </c>
      <c r="F3208">
        <v>330</v>
      </c>
    </row>
    <row r="3209" spans="1:6">
      <c r="A3209" t="s">
        <v>3209</v>
      </c>
      <c r="B3209" t="str">
        <f>"0.00221%"</f>
        <v>0.00221%</v>
      </c>
      <c r="C3209" t="s">
        <v>10</v>
      </c>
      <c r="D3209" t="s">
        <v>10</v>
      </c>
      <c r="E3209" t="str">
        <f>"$ 17,060"</f>
        <v>$ 17,060</v>
      </c>
      <c r="F3209" s="1">
        <v>1101</v>
      </c>
    </row>
    <row r="3210" spans="1:6">
      <c r="A3210" t="s">
        <v>3210</v>
      </c>
      <c r="B3210" t="str">
        <f>"0.00221%"</f>
        <v>0.00221%</v>
      </c>
      <c r="C3210" t="s">
        <v>10</v>
      </c>
      <c r="D3210" t="s">
        <v>10</v>
      </c>
      <c r="E3210" t="str">
        <f>"$ 17,061"</f>
        <v>$ 17,061</v>
      </c>
      <c r="F3210" s="1">
        <v>11780</v>
      </c>
    </row>
    <row r="3211" spans="1:6">
      <c r="A3211" t="s">
        <v>3211</v>
      </c>
      <c r="B3211" t="str">
        <f t="shared" ref="B3211:B3220" si="99">"0.00220%"</f>
        <v>0.00220%</v>
      </c>
      <c r="C3211" t="s">
        <v>10</v>
      </c>
      <c r="D3211" t="s">
        <v>10</v>
      </c>
      <c r="E3211" t="str">
        <f>"$ 16,979"</f>
        <v>$ 16,979</v>
      </c>
      <c r="F3211" s="1">
        <v>1688</v>
      </c>
    </row>
    <row r="3212" spans="1:6">
      <c r="A3212" t="s">
        <v>3212</v>
      </c>
      <c r="B3212" t="str">
        <f t="shared" si="99"/>
        <v>0.00220%</v>
      </c>
      <c r="C3212" t="s">
        <v>10</v>
      </c>
      <c r="D3212" t="s">
        <v>10</v>
      </c>
      <c r="E3212" t="str">
        <f>"$ 17,007"</f>
        <v>$ 17,007</v>
      </c>
      <c r="F3212">
        <v>463</v>
      </c>
    </row>
    <row r="3213" spans="1:6">
      <c r="A3213" t="s">
        <v>3213</v>
      </c>
      <c r="B3213" t="str">
        <f t="shared" si="99"/>
        <v>0.00220%</v>
      </c>
      <c r="C3213" t="s">
        <v>10</v>
      </c>
      <c r="D3213" t="s">
        <v>10</v>
      </c>
      <c r="E3213" t="str">
        <f>"$ 16,979"</f>
        <v>$ 16,979</v>
      </c>
      <c r="F3213" s="1">
        <v>1130</v>
      </c>
    </row>
    <row r="3214" spans="1:6">
      <c r="A3214" t="s">
        <v>3214</v>
      </c>
      <c r="B3214" t="str">
        <f t="shared" si="99"/>
        <v>0.00220%</v>
      </c>
      <c r="C3214" t="s">
        <v>10</v>
      </c>
      <c r="D3214" t="s">
        <v>10</v>
      </c>
      <c r="E3214" t="str">
        <f>"$ 16,960"</f>
        <v>$ 16,960</v>
      </c>
      <c r="F3214">
        <v>871</v>
      </c>
    </row>
    <row r="3215" spans="1:6">
      <c r="A3215" t="s">
        <v>3215</v>
      </c>
      <c r="B3215" t="str">
        <f t="shared" si="99"/>
        <v>0.00220%</v>
      </c>
      <c r="C3215" t="s">
        <v>10</v>
      </c>
      <c r="D3215" t="s">
        <v>10</v>
      </c>
      <c r="E3215" t="str">
        <f>"$ 17,019"</f>
        <v>$ 17,019</v>
      </c>
      <c r="F3215" s="1">
        <v>6871</v>
      </c>
    </row>
    <row r="3216" spans="1:6">
      <c r="A3216" t="s">
        <v>3216</v>
      </c>
      <c r="B3216" t="str">
        <f t="shared" si="99"/>
        <v>0.00220%</v>
      </c>
      <c r="C3216" t="s">
        <v>10</v>
      </c>
      <c r="D3216" t="s">
        <v>10</v>
      </c>
      <c r="E3216" t="str">
        <f>"$ 16,991"</f>
        <v>$ 16,991</v>
      </c>
      <c r="F3216">
        <v>424</v>
      </c>
    </row>
    <row r="3217" spans="1:6">
      <c r="A3217" t="s">
        <v>3217</v>
      </c>
      <c r="B3217" t="str">
        <f t="shared" si="99"/>
        <v>0.00220%</v>
      </c>
      <c r="C3217" t="s">
        <v>10</v>
      </c>
      <c r="D3217" t="s">
        <v>10</v>
      </c>
      <c r="E3217" t="str">
        <f>"$ 16,952"</f>
        <v>$ 16,952</v>
      </c>
      <c r="F3217" s="1">
        <v>14433</v>
      </c>
    </row>
    <row r="3218" spans="1:6">
      <c r="A3218" t="s">
        <v>3218</v>
      </c>
      <c r="B3218" t="str">
        <f t="shared" si="99"/>
        <v>0.00220%</v>
      </c>
      <c r="C3218" t="s">
        <v>10</v>
      </c>
      <c r="D3218" t="s">
        <v>10</v>
      </c>
      <c r="E3218" t="str">
        <f>"$ 16,985"</f>
        <v>$ 16,985</v>
      </c>
      <c r="F3218">
        <v>119</v>
      </c>
    </row>
    <row r="3219" spans="1:6">
      <c r="A3219" t="s">
        <v>3219</v>
      </c>
      <c r="B3219" t="str">
        <f t="shared" si="99"/>
        <v>0.00220%</v>
      </c>
      <c r="C3219" t="s">
        <v>10</v>
      </c>
      <c r="D3219" t="s">
        <v>10</v>
      </c>
      <c r="E3219" t="str">
        <f>"$ 16,966"</f>
        <v>$ 16,966</v>
      </c>
      <c r="F3219" s="1">
        <v>1396</v>
      </c>
    </row>
    <row r="3220" spans="1:6">
      <c r="A3220" t="s">
        <v>3220</v>
      </c>
      <c r="B3220" t="str">
        <f t="shared" si="99"/>
        <v>0.00220%</v>
      </c>
      <c r="C3220" t="s">
        <v>10</v>
      </c>
      <c r="D3220" t="s">
        <v>10</v>
      </c>
      <c r="E3220" t="str">
        <f>"$ 16,999"</f>
        <v>$ 16,999</v>
      </c>
      <c r="F3220">
        <v>931</v>
      </c>
    </row>
    <row r="3221" spans="1:6">
      <c r="A3221" t="s">
        <v>3221</v>
      </c>
      <c r="B3221" t="str">
        <f t="shared" ref="B3221:B3231" si="100">"0.00219%"</f>
        <v>0.00219%</v>
      </c>
      <c r="C3221" t="s">
        <v>10</v>
      </c>
      <c r="D3221" t="s">
        <v>10</v>
      </c>
      <c r="E3221" t="str">
        <f>"$ 16,875"</f>
        <v>$ 16,875</v>
      </c>
      <c r="F3221">
        <v>181</v>
      </c>
    </row>
    <row r="3222" spans="1:6">
      <c r="A3222" t="s">
        <v>3222</v>
      </c>
      <c r="B3222" t="str">
        <f t="shared" si="100"/>
        <v>0.00219%</v>
      </c>
      <c r="C3222" t="s">
        <v>10</v>
      </c>
      <c r="D3222" t="s">
        <v>10</v>
      </c>
      <c r="E3222" t="str">
        <f>"$ 16,937"</f>
        <v>$ 16,937</v>
      </c>
      <c r="F3222" s="1">
        <v>12609</v>
      </c>
    </row>
    <row r="3223" spans="1:6">
      <c r="A3223" t="s">
        <v>3223</v>
      </c>
      <c r="B3223" t="str">
        <f t="shared" si="100"/>
        <v>0.00219%</v>
      </c>
      <c r="C3223" t="s">
        <v>10</v>
      </c>
      <c r="D3223" t="s">
        <v>10</v>
      </c>
      <c r="E3223" t="str">
        <f>"$ 16,900"</f>
        <v>$ 16,900</v>
      </c>
      <c r="F3223" s="1">
        <v>3197</v>
      </c>
    </row>
    <row r="3224" spans="1:6">
      <c r="A3224" t="s">
        <v>3224</v>
      </c>
      <c r="B3224" t="str">
        <f t="shared" si="100"/>
        <v>0.00219%</v>
      </c>
      <c r="C3224" t="s">
        <v>10</v>
      </c>
      <c r="D3224" t="s">
        <v>10</v>
      </c>
      <c r="E3224" t="str">
        <f>"$ 16,924"</f>
        <v>$ 16,924</v>
      </c>
      <c r="F3224">
        <v>356</v>
      </c>
    </row>
    <row r="3225" spans="1:6">
      <c r="A3225" t="s">
        <v>3225</v>
      </c>
      <c r="B3225" t="str">
        <f t="shared" si="100"/>
        <v>0.00219%</v>
      </c>
      <c r="C3225" t="s">
        <v>10</v>
      </c>
      <c r="D3225" t="s">
        <v>10</v>
      </c>
      <c r="E3225" t="str">
        <f>"$ 16,880"</f>
        <v>$ 16,880</v>
      </c>
      <c r="F3225">
        <v>519</v>
      </c>
    </row>
    <row r="3226" spans="1:6">
      <c r="A3226" t="s">
        <v>3226</v>
      </c>
      <c r="B3226" t="str">
        <f t="shared" si="100"/>
        <v>0.00219%</v>
      </c>
      <c r="C3226" t="s">
        <v>10</v>
      </c>
      <c r="D3226" t="s">
        <v>10</v>
      </c>
      <c r="E3226" t="str">
        <f>"$ 16,877"</f>
        <v>$ 16,877</v>
      </c>
      <c r="F3226">
        <v>912</v>
      </c>
    </row>
    <row r="3227" spans="1:6">
      <c r="A3227" t="s">
        <v>3227</v>
      </c>
      <c r="B3227" t="str">
        <f t="shared" si="100"/>
        <v>0.00219%</v>
      </c>
      <c r="C3227" t="s">
        <v>10</v>
      </c>
      <c r="D3227" t="s">
        <v>10</v>
      </c>
      <c r="E3227" t="str">
        <f>"$ 16,913"</f>
        <v>$ 16,913</v>
      </c>
      <c r="F3227">
        <v>146</v>
      </c>
    </row>
    <row r="3228" spans="1:6">
      <c r="A3228" t="s">
        <v>3228</v>
      </c>
      <c r="B3228" t="str">
        <f t="shared" si="100"/>
        <v>0.00219%</v>
      </c>
      <c r="C3228" t="s">
        <v>10</v>
      </c>
      <c r="D3228" t="s">
        <v>10</v>
      </c>
      <c r="E3228" t="str">
        <f>"$ 16,877"</f>
        <v>$ 16,877</v>
      </c>
      <c r="F3228">
        <v>254</v>
      </c>
    </row>
    <row r="3229" spans="1:6">
      <c r="A3229" t="s">
        <v>3229</v>
      </c>
      <c r="B3229" t="str">
        <f t="shared" si="100"/>
        <v>0.00219%</v>
      </c>
      <c r="C3229" t="s">
        <v>10</v>
      </c>
      <c r="D3229" t="s">
        <v>10</v>
      </c>
      <c r="E3229" t="str">
        <f>"$ 16,907"</f>
        <v>$ 16,907</v>
      </c>
      <c r="F3229" s="1">
        <v>3429</v>
      </c>
    </row>
    <row r="3230" spans="1:6">
      <c r="A3230" t="s">
        <v>3230</v>
      </c>
      <c r="B3230" t="str">
        <f t="shared" si="100"/>
        <v>0.00219%</v>
      </c>
      <c r="C3230" t="s">
        <v>10</v>
      </c>
      <c r="D3230" t="s">
        <v>10</v>
      </c>
      <c r="E3230" t="str">
        <f>"$ 16,897"</f>
        <v>$ 16,897</v>
      </c>
      <c r="F3230">
        <v>177</v>
      </c>
    </row>
    <row r="3231" spans="1:6">
      <c r="A3231" t="s">
        <v>3231</v>
      </c>
      <c r="B3231" t="str">
        <f t="shared" si="100"/>
        <v>0.00219%</v>
      </c>
      <c r="C3231" t="s">
        <v>10</v>
      </c>
      <c r="D3231" t="s">
        <v>10</v>
      </c>
      <c r="E3231" t="str">
        <f>"$ 16,883"</f>
        <v>$ 16,883</v>
      </c>
      <c r="F3231">
        <v>437</v>
      </c>
    </row>
    <row r="3232" spans="1:6">
      <c r="A3232" t="s">
        <v>3232</v>
      </c>
      <c r="B3232" t="str">
        <f t="shared" ref="B3232:B3243" si="101">"0.00218%"</f>
        <v>0.00218%</v>
      </c>
      <c r="C3232" t="s">
        <v>10</v>
      </c>
      <c r="D3232" t="s">
        <v>10</v>
      </c>
      <c r="E3232" t="str">
        <f>"$ 16,802"</f>
        <v>$ 16,802</v>
      </c>
      <c r="F3232">
        <v>233</v>
      </c>
    </row>
    <row r="3233" spans="1:6">
      <c r="A3233" t="s">
        <v>3233</v>
      </c>
      <c r="B3233" t="str">
        <f t="shared" si="101"/>
        <v>0.00218%</v>
      </c>
      <c r="C3233" t="s">
        <v>10</v>
      </c>
      <c r="D3233" t="s">
        <v>10</v>
      </c>
      <c r="E3233" t="str">
        <f>"$ 16,839"</f>
        <v>$ 16,839</v>
      </c>
      <c r="F3233" s="1">
        <v>3838</v>
      </c>
    </row>
    <row r="3234" spans="1:6">
      <c r="A3234" t="s">
        <v>3234</v>
      </c>
      <c r="B3234" t="str">
        <f t="shared" si="101"/>
        <v>0.00218%</v>
      </c>
      <c r="C3234" t="s">
        <v>10</v>
      </c>
      <c r="D3234" t="s">
        <v>10</v>
      </c>
      <c r="E3234" t="str">
        <f>"$ 16,860"</f>
        <v>$ 16,860</v>
      </c>
      <c r="F3234" s="1">
        <v>2217</v>
      </c>
    </row>
    <row r="3235" spans="1:6">
      <c r="A3235" t="s">
        <v>3235</v>
      </c>
      <c r="B3235" t="str">
        <f t="shared" si="101"/>
        <v>0.00218%</v>
      </c>
      <c r="C3235" t="s">
        <v>10</v>
      </c>
      <c r="D3235" t="s">
        <v>10</v>
      </c>
      <c r="E3235" t="str">
        <f>"$ 16,811"</f>
        <v>$ 16,811</v>
      </c>
      <c r="F3235">
        <v>391</v>
      </c>
    </row>
    <row r="3236" spans="1:6">
      <c r="A3236" t="s">
        <v>3236</v>
      </c>
      <c r="B3236" t="str">
        <f t="shared" si="101"/>
        <v>0.00218%</v>
      </c>
      <c r="C3236" t="s">
        <v>10</v>
      </c>
      <c r="D3236" t="s">
        <v>10</v>
      </c>
      <c r="E3236" t="str">
        <f>"$ 16,824"</f>
        <v>$ 16,824</v>
      </c>
      <c r="F3236" s="1">
        <v>1954</v>
      </c>
    </row>
    <row r="3237" spans="1:6">
      <c r="A3237" t="s">
        <v>3237</v>
      </c>
      <c r="B3237" t="str">
        <f t="shared" si="101"/>
        <v>0.00218%</v>
      </c>
      <c r="C3237" t="s">
        <v>10</v>
      </c>
      <c r="D3237" t="s">
        <v>10</v>
      </c>
      <c r="E3237" t="str">
        <f>"$ 16,865"</f>
        <v>$ 16,865</v>
      </c>
      <c r="F3237">
        <v>965</v>
      </c>
    </row>
    <row r="3238" spans="1:6">
      <c r="A3238" t="s">
        <v>3238</v>
      </c>
      <c r="B3238" t="str">
        <f t="shared" si="101"/>
        <v>0.00218%</v>
      </c>
      <c r="C3238" t="s">
        <v>10</v>
      </c>
      <c r="D3238" t="s">
        <v>10</v>
      </c>
      <c r="E3238" t="str">
        <f>"$ 16,808"</f>
        <v>$ 16,808</v>
      </c>
      <c r="F3238">
        <v>188</v>
      </c>
    </row>
    <row r="3239" spans="1:6">
      <c r="A3239" t="s">
        <v>3239</v>
      </c>
      <c r="B3239" t="str">
        <f t="shared" si="101"/>
        <v>0.00218%</v>
      </c>
      <c r="C3239" t="s">
        <v>10</v>
      </c>
      <c r="D3239" t="s">
        <v>10</v>
      </c>
      <c r="E3239" t="str">
        <f>"$ 16,807"</f>
        <v>$ 16,807</v>
      </c>
      <c r="F3239">
        <v>16</v>
      </c>
    </row>
    <row r="3240" spans="1:6">
      <c r="A3240" t="s">
        <v>3240</v>
      </c>
      <c r="B3240" t="str">
        <f t="shared" si="101"/>
        <v>0.00218%</v>
      </c>
      <c r="C3240" t="s">
        <v>10</v>
      </c>
      <c r="D3240" t="s">
        <v>10</v>
      </c>
      <c r="E3240" t="str">
        <f>"$ 16,831"</f>
        <v>$ 16,831</v>
      </c>
      <c r="F3240">
        <v>441</v>
      </c>
    </row>
    <row r="3241" spans="1:6">
      <c r="A3241" t="s">
        <v>3241</v>
      </c>
      <c r="B3241" t="str">
        <f t="shared" si="101"/>
        <v>0.00218%</v>
      </c>
      <c r="C3241" t="s">
        <v>10</v>
      </c>
      <c r="D3241" t="s">
        <v>10</v>
      </c>
      <c r="E3241" t="str">
        <f>"$ 16,799"</f>
        <v>$ 16,799</v>
      </c>
      <c r="F3241">
        <v>264</v>
      </c>
    </row>
    <row r="3242" spans="1:6">
      <c r="A3242" t="s">
        <v>3242</v>
      </c>
      <c r="B3242" t="str">
        <f t="shared" si="101"/>
        <v>0.00218%</v>
      </c>
      <c r="C3242" t="s">
        <v>10</v>
      </c>
      <c r="D3242" t="s">
        <v>10</v>
      </c>
      <c r="E3242" t="str">
        <f>"$ 16,812"</f>
        <v>$ 16,812</v>
      </c>
      <c r="F3242" s="1">
        <v>4899</v>
      </c>
    </row>
    <row r="3243" spans="1:6">
      <c r="A3243" t="s">
        <v>3243</v>
      </c>
      <c r="B3243" t="str">
        <f t="shared" si="101"/>
        <v>0.00218%</v>
      </c>
      <c r="C3243" t="s">
        <v>10</v>
      </c>
      <c r="D3243" t="s">
        <v>10</v>
      </c>
      <c r="E3243" t="str">
        <f>"$ 16,814"</f>
        <v>$ 16,814</v>
      </c>
      <c r="F3243">
        <v>222</v>
      </c>
    </row>
    <row r="3244" spans="1:6">
      <c r="A3244" t="s">
        <v>3244</v>
      </c>
      <c r="B3244" t="str">
        <f t="shared" ref="B3244:B3250" si="102">"0.00217%"</f>
        <v>0.00217%</v>
      </c>
      <c r="C3244" t="s">
        <v>10</v>
      </c>
      <c r="D3244" t="s">
        <v>10</v>
      </c>
      <c r="E3244" t="str">
        <f>"$ 16,764"</f>
        <v>$ 16,764</v>
      </c>
      <c r="F3244" s="1">
        <v>1230</v>
      </c>
    </row>
    <row r="3245" spans="1:6">
      <c r="A3245" t="s">
        <v>3245</v>
      </c>
      <c r="B3245" t="str">
        <f t="shared" si="102"/>
        <v>0.00217%</v>
      </c>
      <c r="C3245" t="s">
        <v>10</v>
      </c>
      <c r="D3245" t="s">
        <v>10</v>
      </c>
      <c r="E3245" t="str">
        <f>"$ 16,767"</f>
        <v>$ 16,767</v>
      </c>
      <c r="F3245">
        <v>18</v>
      </c>
    </row>
    <row r="3246" spans="1:6">
      <c r="A3246" t="s">
        <v>3246</v>
      </c>
      <c r="B3246" t="str">
        <f t="shared" si="102"/>
        <v>0.00217%</v>
      </c>
      <c r="C3246" t="s">
        <v>10</v>
      </c>
      <c r="D3246" t="s">
        <v>10</v>
      </c>
      <c r="E3246" t="str">
        <f>"$ 16,771"</f>
        <v>$ 16,771</v>
      </c>
      <c r="F3246">
        <v>231</v>
      </c>
    </row>
    <row r="3247" spans="1:6">
      <c r="A3247" t="s">
        <v>3247</v>
      </c>
      <c r="B3247" t="str">
        <f t="shared" si="102"/>
        <v>0.00217%</v>
      </c>
      <c r="C3247" t="s">
        <v>10</v>
      </c>
      <c r="D3247" t="s">
        <v>10</v>
      </c>
      <c r="E3247" t="str">
        <f>"$ 16,757"</f>
        <v>$ 16,757</v>
      </c>
      <c r="F3247" s="1">
        <v>1072</v>
      </c>
    </row>
    <row r="3248" spans="1:6">
      <c r="A3248" t="s">
        <v>3248</v>
      </c>
      <c r="B3248" t="str">
        <f t="shared" si="102"/>
        <v>0.00217%</v>
      </c>
      <c r="C3248" t="s">
        <v>10</v>
      </c>
      <c r="D3248" t="s">
        <v>10</v>
      </c>
      <c r="E3248" t="str">
        <f>"$ 16,771"</f>
        <v>$ 16,771</v>
      </c>
      <c r="F3248">
        <v>298</v>
      </c>
    </row>
    <row r="3249" spans="1:6">
      <c r="A3249" t="s">
        <v>3249</v>
      </c>
      <c r="B3249" t="str">
        <f t="shared" si="102"/>
        <v>0.00217%</v>
      </c>
      <c r="C3249" t="s">
        <v>10</v>
      </c>
      <c r="D3249" t="s">
        <v>10</v>
      </c>
      <c r="E3249" t="str">
        <f>"$ 16,739"</f>
        <v>$ 16,739</v>
      </c>
      <c r="F3249" s="1">
        <v>16234</v>
      </c>
    </row>
    <row r="3250" spans="1:6">
      <c r="A3250" t="s">
        <v>3250</v>
      </c>
      <c r="B3250" t="str">
        <f t="shared" si="102"/>
        <v>0.00217%</v>
      </c>
      <c r="C3250" t="s">
        <v>10</v>
      </c>
      <c r="D3250" t="s">
        <v>10</v>
      </c>
      <c r="E3250" t="str">
        <f>"$ 16,719"</f>
        <v>$ 16,719</v>
      </c>
      <c r="F3250">
        <v>310</v>
      </c>
    </row>
    <row r="3251" spans="1:6">
      <c r="A3251" t="s">
        <v>3251</v>
      </c>
      <c r="B3251" t="str">
        <f t="shared" ref="B3251:B3257" si="103">"0.00216%"</f>
        <v>0.00216%</v>
      </c>
      <c r="C3251" t="s">
        <v>10</v>
      </c>
      <c r="D3251" t="s">
        <v>10</v>
      </c>
      <c r="E3251" t="str">
        <f>"$ 16,688"</f>
        <v>$ 16,688</v>
      </c>
      <c r="F3251">
        <v>571</v>
      </c>
    </row>
    <row r="3252" spans="1:6">
      <c r="A3252" t="s">
        <v>3252</v>
      </c>
      <c r="B3252" t="str">
        <f t="shared" si="103"/>
        <v>0.00216%</v>
      </c>
      <c r="C3252" t="s">
        <v>10</v>
      </c>
      <c r="D3252" t="s">
        <v>10</v>
      </c>
      <c r="E3252" t="str">
        <f>"$ 16,703"</f>
        <v>$ 16,703</v>
      </c>
      <c r="F3252">
        <v>563</v>
      </c>
    </row>
    <row r="3253" spans="1:6">
      <c r="A3253" t="s">
        <v>3253</v>
      </c>
      <c r="B3253" t="str">
        <f t="shared" si="103"/>
        <v>0.00216%</v>
      </c>
      <c r="C3253" t="s">
        <v>10</v>
      </c>
      <c r="D3253" t="s">
        <v>10</v>
      </c>
      <c r="E3253" t="str">
        <f>"$ 16,686"</f>
        <v>$ 16,686</v>
      </c>
      <c r="F3253" s="1">
        <v>1500</v>
      </c>
    </row>
    <row r="3254" spans="1:6">
      <c r="A3254" t="s">
        <v>3254</v>
      </c>
      <c r="B3254" t="str">
        <f t="shared" si="103"/>
        <v>0.00216%</v>
      </c>
      <c r="C3254" t="s">
        <v>10</v>
      </c>
      <c r="D3254" t="s">
        <v>10</v>
      </c>
      <c r="E3254" t="str">
        <f>"$ 16,649"</f>
        <v>$ 16,649</v>
      </c>
      <c r="F3254">
        <v>285</v>
      </c>
    </row>
    <row r="3255" spans="1:6">
      <c r="A3255" t="s">
        <v>3255</v>
      </c>
      <c r="B3255" t="str">
        <f t="shared" si="103"/>
        <v>0.00216%</v>
      </c>
      <c r="C3255" t="s">
        <v>10</v>
      </c>
      <c r="D3255" t="s">
        <v>10</v>
      </c>
      <c r="E3255" t="str">
        <f>"$ 16,717"</f>
        <v>$ 16,717</v>
      </c>
      <c r="F3255">
        <v>311</v>
      </c>
    </row>
    <row r="3256" spans="1:6">
      <c r="A3256" t="s">
        <v>3256</v>
      </c>
      <c r="B3256" t="str">
        <f t="shared" si="103"/>
        <v>0.00216%</v>
      </c>
      <c r="C3256" t="s">
        <v>10</v>
      </c>
      <c r="D3256" t="s">
        <v>10</v>
      </c>
      <c r="E3256" t="str">
        <f>"$ 16,673"</f>
        <v>$ 16,673</v>
      </c>
      <c r="F3256" s="1">
        <v>35447</v>
      </c>
    </row>
    <row r="3257" spans="1:6">
      <c r="A3257" t="s">
        <v>3257</v>
      </c>
      <c r="B3257" t="str">
        <f t="shared" si="103"/>
        <v>0.00216%</v>
      </c>
      <c r="C3257" t="s">
        <v>10</v>
      </c>
      <c r="D3257" t="s">
        <v>10</v>
      </c>
      <c r="E3257" t="str">
        <f>"$ 16,682"</f>
        <v>$ 16,682</v>
      </c>
      <c r="F3257">
        <v>54</v>
      </c>
    </row>
    <row r="3258" spans="1:6">
      <c r="A3258" t="s">
        <v>3258</v>
      </c>
      <c r="B3258" t="str">
        <f t="shared" ref="B3258:B3272" si="104">"0.00215%"</f>
        <v>0.00215%</v>
      </c>
      <c r="C3258" t="s">
        <v>10</v>
      </c>
      <c r="D3258" t="s">
        <v>10</v>
      </c>
      <c r="E3258" t="str">
        <f>"$ 16,621"</f>
        <v>$ 16,621</v>
      </c>
      <c r="F3258" s="1">
        <v>5719</v>
      </c>
    </row>
    <row r="3259" spans="1:6">
      <c r="A3259" t="s">
        <v>3259</v>
      </c>
      <c r="B3259" t="str">
        <f t="shared" si="104"/>
        <v>0.00215%</v>
      </c>
      <c r="C3259" t="s">
        <v>10</v>
      </c>
      <c r="D3259" t="s">
        <v>10</v>
      </c>
      <c r="E3259" t="str">
        <f>"$ 16,627"</f>
        <v>$ 16,627</v>
      </c>
      <c r="F3259">
        <v>118</v>
      </c>
    </row>
    <row r="3260" spans="1:6">
      <c r="A3260" t="s">
        <v>3260</v>
      </c>
      <c r="B3260" t="str">
        <f t="shared" si="104"/>
        <v>0.00215%</v>
      </c>
      <c r="C3260" t="s">
        <v>10</v>
      </c>
      <c r="D3260" t="s">
        <v>10</v>
      </c>
      <c r="E3260" t="str">
        <f>"$ 16,628"</f>
        <v>$ 16,628</v>
      </c>
      <c r="F3260">
        <v>413</v>
      </c>
    </row>
    <row r="3261" spans="1:6">
      <c r="A3261" t="s">
        <v>3261</v>
      </c>
      <c r="B3261" t="str">
        <f t="shared" si="104"/>
        <v>0.00215%</v>
      </c>
      <c r="C3261" t="s">
        <v>10</v>
      </c>
      <c r="D3261" t="s">
        <v>10</v>
      </c>
      <c r="E3261" t="str">
        <f>"$ 16,589"</f>
        <v>$ 16,589</v>
      </c>
      <c r="F3261">
        <v>401</v>
      </c>
    </row>
    <row r="3262" spans="1:6">
      <c r="A3262" t="s">
        <v>3262</v>
      </c>
      <c r="B3262" t="str">
        <f t="shared" si="104"/>
        <v>0.00215%</v>
      </c>
      <c r="C3262" t="s">
        <v>10</v>
      </c>
      <c r="D3262" t="s">
        <v>10</v>
      </c>
      <c r="E3262" t="str">
        <f>"$ 16,574"</f>
        <v>$ 16,574</v>
      </c>
      <c r="F3262">
        <v>815</v>
      </c>
    </row>
    <row r="3263" spans="1:6">
      <c r="A3263" t="s">
        <v>3263</v>
      </c>
      <c r="B3263" t="str">
        <f t="shared" si="104"/>
        <v>0.00215%</v>
      </c>
      <c r="C3263" t="s">
        <v>10</v>
      </c>
      <c r="D3263" t="s">
        <v>10</v>
      </c>
      <c r="E3263" t="str">
        <f>"$ 16,594"</f>
        <v>$ 16,594</v>
      </c>
      <c r="F3263" s="1">
        <v>25368</v>
      </c>
    </row>
    <row r="3264" spans="1:6">
      <c r="A3264" t="s">
        <v>3264</v>
      </c>
      <c r="B3264" t="str">
        <f t="shared" si="104"/>
        <v>0.00215%</v>
      </c>
      <c r="C3264" t="s">
        <v>10</v>
      </c>
      <c r="D3264" t="s">
        <v>10</v>
      </c>
      <c r="E3264" t="str">
        <f>"$ 16,635"</f>
        <v>$ 16,635</v>
      </c>
      <c r="F3264" s="1">
        <v>4865</v>
      </c>
    </row>
    <row r="3265" spans="1:6">
      <c r="A3265" t="s">
        <v>3265</v>
      </c>
      <c r="B3265" t="str">
        <f t="shared" si="104"/>
        <v>0.00215%</v>
      </c>
      <c r="C3265" t="s">
        <v>10</v>
      </c>
      <c r="D3265" t="s">
        <v>10</v>
      </c>
      <c r="E3265" t="str">
        <f>"$ 16,624"</f>
        <v>$ 16,624</v>
      </c>
      <c r="F3265">
        <v>231</v>
      </c>
    </row>
    <row r="3266" spans="1:6">
      <c r="A3266" t="s">
        <v>3266</v>
      </c>
      <c r="B3266" t="str">
        <f t="shared" si="104"/>
        <v>0.00215%</v>
      </c>
      <c r="C3266" t="s">
        <v>10</v>
      </c>
      <c r="D3266" t="s">
        <v>10</v>
      </c>
      <c r="E3266" t="str">
        <f>"$ 16,592"</f>
        <v>$ 16,592</v>
      </c>
      <c r="F3266">
        <v>665</v>
      </c>
    </row>
    <row r="3267" spans="1:6">
      <c r="A3267" t="s">
        <v>3267</v>
      </c>
      <c r="B3267" t="str">
        <f t="shared" si="104"/>
        <v>0.00215%</v>
      </c>
      <c r="C3267" t="s">
        <v>10</v>
      </c>
      <c r="D3267" t="s">
        <v>10</v>
      </c>
      <c r="E3267" t="str">
        <f>"$ 16,599"</f>
        <v>$ 16,599</v>
      </c>
      <c r="F3267">
        <v>313</v>
      </c>
    </row>
    <row r="3268" spans="1:6">
      <c r="A3268" t="s">
        <v>3268</v>
      </c>
      <c r="B3268" t="str">
        <f t="shared" si="104"/>
        <v>0.00215%</v>
      </c>
      <c r="C3268" t="s">
        <v>10</v>
      </c>
      <c r="D3268" t="s">
        <v>10</v>
      </c>
      <c r="E3268" t="str">
        <f>"$ 16,574"</f>
        <v>$ 16,574</v>
      </c>
      <c r="F3268" s="1">
        <v>4613</v>
      </c>
    </row>
    <row r="3269" spans="1:6">
      <c r="A3269" t="s">
        <v>3269</v>
      </c>
      <c r="B3269" t="str">
        <f t="shared" si="104"/>
        <v>0.00215%</v>
      </c>
      <c r="C3269" t="s">
        <v>10</v>
      </c>
      <c r="D3269" t="s">
        <v>10</v>
      </c>
      <c r="E3269" t="str">
        <f>"$ 16,629"</f>
        <v>$ 16,629</v>
      </c>
      <c r="F3269">
        <v>192</v>
      </c>
    </row>
    <row r="3270" spans="1:6">
      <c r="A3270" t="s">
        <v>3270</v>
      </c>
      <c r="B3270" t="str">
        <f t="shared" si="104"/>
        <v>0.00215%</v>
      </c>
      <c r="C3270" t="s">
        <v>10</v>
      </c>
      <c r="D3270" t="s">
        <v>10</v>
      </c>
      <c r="E3270" t="str">
        <f>"$ 16,622"</f>
        <v>$ 16,622</v>
      </c>
      <c r="F3270">
        <v>707</v>
      </c>
    </row>
    <row r="3271" spans="1:6">
      <c r="A3271" t="s">
        <v>3271</v>
      </c>
      <c r="B3271" t="str">
        <f t="shared" si="104"/>
        <v>0.00215%</v>
      </c>
      <c r="C3271" t="s">
        <v>10</v>
      </c>
      <c r="D3271" t="s">
        <v>10</v>
      </c>
      <c r="E3271" t="str">
        <f>"$ 16,624"</f>
        <v>$ 16,624</v>
      </c>
      <c r="F3271" s="1">
        <v>6336</v>
      </c>
    </row>
    <row r="3272" spans="1:6">
      <c r="A3272" t="s">
        <v>3272</v>
      </c>
      <c r="B3272" t="str">
        <f t="shared" si="104"/>
        <v>0.00215%</v>
      </c>
      <c r="C3272" t="s">
        <v>10</v>
      </c>
      <c r="D3272" t="s">
        <v>10</v>
      </c>
      <c r="E3272" t="str">
        <f>"$ 16,570"</f>
        <v>$ 16,570</v>
      </c>
      <c r="F3272">
        <v>478</v>
      </c>
    </row>
    <row r="3273" spans="1:6">
      <c r="A3273" t="s">
        <v>3273</v>
      </c>
      <c r="B3273" t="str">
        <f t="shared" ref="B3273:B3280" si="105">"0.00214%"</f>
        <v>0.00214%</v>
      </c>
      <c r="C3273" t="s">
        <v>10</v>
      </c>
      <c r="D3273" t="s">
        <v>10</v>
      </c>
      <c r="E3273" t="str">
        <f>"$ 16,488"</f>
        <v>$ 16,488</v>
      </c>
      <c r="F3273">
        <v>353</v>
      </c>
    </row>
    <row r="3274" spans="1:6">
      <c r="A3274" t="s">
        <v>3274</v>
      </c>
      <c r="B3274" t="str">
        <f t="shared" si="105"/>
        <v>0.00214%</v>
      </c>
      <c r="C3274" t="s">
        <v>10</v>
      </c>
      <c r="D3274" t="s">
        <v>10</v>
      </c>
      <c r="E3274" t="str">
        <f>"$ 16,538"</f>
        <v>$ 16,538</v>
      </c>
      <c r="F3274" s="1">
        <v>1435</v>
      </c>
    </row>
    <row r="3275" spans="1:6">
      <c r="A3275" t="s">
        <v>3275</v>
      </c>
      <c r="B3275" t="str">
        <f t="shared" si="105"/>
        <v>0.00214%</v>
      </c>
      <c r="C3275" t="s">
        <v>10</v>
      </c>
      <c r="D3275" t="s">
        <v>10</v>
      </c>
      <c r="E3275" t="str">
        <f>"$ 16,559"</f>
        <v>$ 16,559</v>
      </c>
      <c r="F3275" s="1">
        <v>1835</v>
      </c>
    </row>
    <row r="3276" spans="1:6">
      <c r="A3276" t="s">
        <v>3276</v>
      </c>
      <c r="B3276" t="str">
        <f t="shared" si="105"/>
        <v>0.00214%</v>
      </c>
      <c r="C3276" t="s">
        <v>10</v>
      </c>
      <c r="D3276" t="s">
        <v>10</v>
      </c>
      <c r="E3276" t="str">
        <f>"$ 16,515"</f>
        <v>$ 16,515</v>
      </c>
      <c r="F3276">
        <v>182</v>
      </c>
    </row>
    <row r="3277" spans="1:6">
      <c r="A3277" t="s">
        <v>3277</v>
      </c>
      <c r="B3277" t="str">
        <f t="shared" si="105"/>
        <v>0.00214%</v>
      </c>
      <c r="C3277" t="s">
        <v>10</v>
      </c>
      <c r="D3277" t="s">
        <v>10</v>
      </c>
      <c r="E3277" t="str">
        <f>"$ 16,557"</f>
        <v>$ 16,557</v>
      </c>
      <c r="F3277" s="1">
        <v>1482</v>
      </c>
    </row>
    <row r="3278" spans="1:6">
      <c r="A3278" t="s">
        <v>3278</v>
      </c>
      <c r="B3278" t="str">
        <f t="shared" si="105"/>
        <v>0.00214%</v>
      </c>
      <c r="C3278" t="s">
        <v>10</v>
      </c>
      <c r="D3278" t="s">
        <v>10</v>
      </c>
      <c r="E3278" t="str">
        <f>"$ 16,558"</f>
        <v>$ 16,558</v>
      </c>
      <c r="F3278">
        <v>329</v>
      </c>
    </row>
    <row r="3279" spans="1:6">
      <c r="A3279" t="s">
        <v>3279</v>
      </c>
      <c r="B3279" t="str">
        <f t="shared" si="105"/>
        <v>0.00214%</v>
      </c>
      <c r="C3279" t="s">
        <v>10</v>
      </c>
      <c r="D3279" t="s">
        <v>10</v>
      </c>
      <c r="E3279" t="str">
        <f>"$ 16,507"</f>
        <v>$ 16,507</v>
      </c>
      <c r="F3279" s="1">
        <v>6671</v>
      </c>
    </row>
    <row r="3280" spans="1:6">
      <c r="A3280" t="s">
        <v>3280</v>
      </c>
      <c r="B3280" t="str">
        <f t="shared" si="105"/>
        <v>0.00214%</v>
      </c>
      <c r="C3280" t="s">
        <v>10</v>
      </c>
      <c r="D3280" t="s">
        <v>10</v>
      </c>
      <c r="E3280" t="str">
        <f>"$ 16,504"</f>
        <v>$ 16,504</v>
      </c>
      <c r="F3280" s="1">
        <v>2508</v>
      </c>
    </row>
    <row r="3281" spans="1:6">
      <c r="A3281" t="s">
        <v>3281</v>
      </c>
      <c r="B3281" t="str">
        <f t="shared" ref="B3281:B3291" si="106">"0.00213%"</f>
        <v>0.00213%</v>
      </c>
      <c r="C3281" t="s">
        <v>10</v>
      </c>
      <c r="D3281" t="s">
        <v>10</v>
      </c>
      <c r="E3281" t="str">
        <f>"$ 16,467"</f>
        <v>$ 16,467</v>
      </c>
      <c r="F3281" s="1">
        <v>4141</v>
      </c>
    </row>
    <row r="3282" spans="1:6">
      <c r="A3282" t="s">
        <v>3282</v>
      </c>
      <c r="B3282" t="str">
        <f t="shared" si="106"/>
        <v>0.00213%</v>
      </c>
      <c r="C3282" t="s">
        <v>10</v>
      </c>
      <c r="D3282" t="s">
        <v>10</v>
      </c>
      <c r="E3282" t="str">
        <f>"$ 16,439"</f>
        <v>$ 16,439</v>
      </c>
      <c r="F3282">
        <v>244</v>
      </c>
    </row>
    <row r="3283" spans="1:6">
      <c r="A3283" t="s">
        <v>3283</v>
      </c>
      <c r="B3283" t="str">
        <f t="shared" si="106"/>
        <v>0.00213%</v>
      </c>
      <c r="C3283" t="s">
        <v>10</v>
      </c>
      <c r="D3283" t="s">
        <v>10</v>
      </c>
      <c r="E3283" t="str">
        <f>"$ 16,415"</f>
        <v>$ 16,415</v>
      </c>
      <c r="F3283">
        <v>136</v>
      </c>
    </row>
    <row r="3284" spans="1:6">
      <c r="A3284" t="s">
        <v>3284</v>
      </c>
      <c r="B3284" t="str">
        <f t="shared" si="106"/>
        <v>0.00213%</v>
      </c>
      <c r="C3284" t="s">
        <v>10</v>
      </c>
      <c r="D3284" t="s">
        <v>10</v>
      </c>
      <c r="E3284" t="str">
        <f>"$ 16,455"</f>
        <v>$ 16,455</v>
      </c>
      <c r="F3284">
        <v>45</v>
      </c>
    </row>
    <row r="3285" spans="1:6">
      <c r="A3285" t="s">
        <v>3285</v>
      </c>
      <c r="B3285" t="str">
        <f t="shared" si="106"/>
        <v>0.00213%</v>
      </c>
      <c r="C3285" t="s">
        <v>10</v>
      </c>
      <c r="D3285" t="s">
        <v>10</v>
      </c>
      <c r="E3285" t="str">
        <f>"$ 16,461"</f>
        <v>$ 16,461</v>
      </c>
      <c r="F3285" s="1">
        <v>1578</v>
      </c>
    </row>
    <row r="3286" spans="1:6">
      <c r="A3286" t="s">
        <v>3286</v>
      </c>
      <c r="B3286" t="str">
        <f t="shared" si="106"/>
        <v>0.00213%</v>
      </c>
      <c r="C3286" t="s">
        <v>10</v>
      </c>
      <c r="D3286" t="s">
        <v>10</v>
      </c>
      <c r="E3286" t="str">
        <f>"$ 16,425"</f>
        <v>$ 16,425</v>
      </c>
      <c r="F3286" s="1">
        <v>49866</v>
      </c>
    </row>
    <row r="3287" spans="1:6">
      <c r="A3287" t="s">
        <v>3287</v>
      </c>
      <c r="B3287" t="str">
        <f t="shared" si="106"/>
        <v>0.00213%</v>
      </c>
      <c r="C3287" t="s">
        <v>10</v>
      </c>
      <c r="D3287" t="s">
        <v>10</v>
      </c>
      <c r="E3287" t="str">
        <f>"$ 16,466"</f>
        <v>$ 16,466</v>
      </c>
      <c r="F3287" s="1">
        <v>2148</v>
      </c>
    </row>
    <row r="3288" spans="1:6">
      <c r="A3288" t="s">
        <v>3288</v>
      </c>
      <c r="B3288" t="str">
        <f t="shared" si="106"/>
        <v>0.00213%</v>
      </c>
      <c r="C3288" t="s">
        <v>10</v>
      </c>
      <c r="D3288" t="s">
        <v>10</v>
      </c>
      <c r="E3288" t="str">
        <f>"$ 16,458"</f>
        <v>$ 16,458</v>
      </c>
      <c r="F3288" s="1">
        <v>174799</v>
      </c>
    </row>
    <row r="3289" spans="1:6">
      <c r="A3289" t="s">
        <v>3289</v>
      </c>
      <c r="B3289" t="str">
        <f t="shared" si="106"/>
        <v>0.00213%</v>
      </c>
      <c r="C3289" t="s">
        <v>10</v>
      </c>
      <c r="D3289" t="s">
        <v>10</v>
      </c>
      <c r="E3289" t="str">
        <f>"$ 16,410"</f>
        <v>$ 16,410</v>
      </c>
      <c r="F3289" s="1">
        <v>7868</v>
      </c>
    </row>
    <row r="3290" spans="1:6">
      <c r="A3290" t="s">
        <v>3290</v>
      </c>
      <c r="B3290" t="str">
        <f t="shared" si="106"/>
        <v>0.00213%</v>
      </c>
      <c r="C3290" t="s">
        <v>10</v>
      </c>
      <c r="D3290" t="s">
        <v>10</v>
      </c>
      <c r="E3290" t="str">
        <f>"$ 16,482"</f>
        <v>$ 16,482</v>
      </c>
      <c r="F3290" s="1">
        <v>8143</v>
      </c>
    </row>
    <row r="3291" spans="1:6">
      <c r="A3291" t="s">
        <v>3291</v>
      </c>
      <c r="B3291" t="str">
        <f t="shared" si="106"/>
        <v>0.00213%</v>
      </c>
      <c r="C3291" t="s">
        <v>10</v>
      </c>
      <c r="D3291" t="s">
        <v>10</v>
      </c>
      <c r="E3291" t="str">
        <f>"$ 16,483"</f>
        <v>$ 16,483</v>
      </c>
      <c r="F3291">
        <v>528</v>
      </c>
    </row>
    <row r="3292" spans="1:6">
      <c r="A3292" t="s">
        <v>3292</v>
      </c>
      <c r="B3292" t="str">
        <f>"0.00212%"</f>
        <v>0.00212%</v>
      </c>
      <c r="C3292" t="s">
        <v>10</v>
      </c>
      <c r="D3292" t="s">
        <v>10</v>
      </c>
      <c r="E3292" t="str">
        <f>"$ 16,351"</f>
        <v>$ 16,351</v>
      </c>
      <c r="F3292" s="1">
        <v>1386</v>
      </c>
    </row>
    <row r="3293" spans="1:6">
      <c r="A3293" t="s">
        <v>3293</v>
      </c>
      <c r="B3293" t="str">
        <f>"0.00212%"</f>
        <v>0.00212%</v>
      </c>
      <c r="C3293" t="s">
        <v>10</v>
      </c>
      <c r="D3293" t="s">
        <v>10</v>
      </c>
      <c r="E3293" t="str">
        <f>"$ 16,378"</f>
        <v>$ 16,378</v>
      </c>
      <c r="F3293" s="1">
        <v>5091</v>
      </c>
    </row>
    <row r="3294" spans="1:6">
      <c r="A3294" t="s">
        <v>3294</v>
      </c>
      <c r="B3294" t="str">
        <f>"0.00212%"</f>
        <v>0.00212%</v>
      </c>
      <c r="C3294" t="s">
        <v>10</v>
      </c>
      <c r="D3294" t="s">
        <v>10</v>
      </c>
      <c r="E3294" t="str">
        <f>"$ 16,385"</f>
        <v>$ 16,385</v>
      </c>
      <c r="F3294" s="1">
        <v>10254</v>
      </c>
    </row>
    <row r="3295" spans="1:6">
      <c r="A3295" t="s">
        <v>3295</v>
      </c>
      <c r="B3295" t="str">
        <f>"0.00212%"</f>
        <v>0.00212%</v>
      </c>
      <c r="C3295" t="s">
        <v>10</v>
      </c>
      <c r="D3295" t="s">
        <v>10</v>
      </c>
      <c r="E3295" t="str">
        <f>"$ 16,337"</f>
        <v>$ 16,337</v>
      </c>
      <c r="F3295" s="1">
        <v>3483</v>
      </c>
    </row>
    <row r="3296" spans="1:6">
      <c r="A3296" t="s">
        <v>3296</v>
      </c>
      <c r="B3296" t="str">
        <f>"0.00212%"</f>
        <v>0.00212%</v>
      </c>
      <c r="C3296" t="s">
        <v>10</v>
      </c>
      <c r="D3296" t="s">
        <v>10</v>
      </c>
      <c r="E3296" t="str">
        <f>"$ 16,399"</f>
        <v>$ 16,399</v>
      </c>
      <c r="F3296" s="1">
        <v>2194</v>
      </c>
    </row>
    <row r="3297" spans="1:6">
      <c r="A3297" t="s">
        <v>3297</v>
      </c>
      <c r="B3297" t="str">
        <f t="shared" ref="B3297:B3306" si="107">"0.00211%"</f>
        <v>0.00211%</v>
      </c>
      <c r="C3297" t="s">
        <v>10</v>
      </c>
      <c r="D3297" t="s">
        <v>10</v>
      </c>
      <c r="E3297" t="str">
        <f>"$ 16,306"</f>
        <v>$ 16,306</v>
      </c>
      <c r="F3297" s="1">
        <v>7916</v>
      </c>
    </row>
    <row r="3298" spans="1:6">
      <c r="A3298" t="s">
        <v>3298</v>
      </c>
      <c r="B3298" t="str">
        <f t="shared" si="107"/>
        <v>0.00211%</v>
      </c>
      <c r="C3298" t="s">
        <v>10</v>
      </c>
      <c r="D3298" t="s">
        <v>10</v>
      </c>
      <c r="E3298" t="str">
        <f>"$ 16,325"</f>
        <v>$ 16,325</v>
      </c>
      <c r="F3298">
        <v>249</v>
      </c>
    </row>
    <row r="3299" spans="1:6">
      <c r="A3299" t="s">
        <v>3299</v>
      </c>
      <c r="B3299" t="str">
        <f t="shared" si="107"/>
        <v>0.00211%</v>
      </c>
      <c r="C3299" t="s">
        <v>10</v>
      </c>
      <c r="D3299" t="s">
        <v>10</v>
      </c>
      <c r="E3299" t="str">
        <f>"$ 16,329"</f>
        <v>$ 16,329</v>
      </c>
      <c r="F3299">
        <v>396</v>
      </c>
    </row>
    <row r="3300" spans="1:6">
      <c r="A3300" t="s">
        <v>3300</v>
      </c>
      <c r="B3300" t="str">
        <f t="shared" si="107"/>
        <v>0.00211%</v>
      </c>
      <c r="C3300" t="s">
        <v>10</v>
      </c>
      <c r="D3300" t="s">
        <v>10</v>
      </c>
      <c r="E3300" t="str">
        <f>"$ 16,323"</f>
        <v>$ 16,323</v>
      </c>
      <c r="F3300">
        <v>290</v>
      </c>
    </row>
    <row r="3301" spans="1:6">
      <c r="A3301" t="s">
        <v>3301</v>
      </c>
      <c r="B3301" t="str">
        <f t="shared" si="107"/>
        <v>0.00211%</v>
      </c>
      <c r="C3301" t="s">
        <v>10</v>
      </c>
      <c r="D3301" t="s">
        <v>10</v>
      </c>
      <c r="E3301" t="str">
        <f>"$ 16,317"</f>
        <v>$ 16,317</v>
      </c>
      <c r="F3301" s="1">
        <v>2489</v>
      </c>
    </row>
    <row r="3302" spans="1:6">
      <c r="A3302" t="s">
        <v>3302</v>
      </c>
      <c r="B3302" t="str">
        <f t="shared" si="107"/>
        <v>0.00211%</v>
      </c>
      <c r="C3302" t="s">
        <v>10</v>
      </c>
      <c r="D3302" t="s">
        <v>10</v>
      </c>
      <c r="E3302" t="str">
        <f>"$ 16,290"</f>
        <v>$ 16,290</v>
      </c>
      <c r="F3302">
        <v>265</v>
      </c>
    </row>
    <row r="3303" spans="1:6">
      <c r="A3303" t="s">
        <v>3303</v>
      </c>
      <c r="B3303" t="str">
        <f t="shared" si="107"/>
        <v>0.00211%</v>
      </c>
      <c r="C3303" t="s">
        <v>10</v>
      </c>
      <c r="D3303" t="s">
        <v>10</v>
      </c>
      <c r="E3303" t="str">
        <f>"$ 16,279"</f>
        <v>$ 16,279</v>
      </c>
      <c r="F3303" s="1">
        <v>1016</v>
      </c>
    </row>
    <row r="3304" spans="1:6">
      <c r="A3304" t="s">
        <v>3304</v>
      </c>
      <c r="B3304" t="str">
        <f t="shared" si="107"/>
        <v>0.00211%</v>
      </c>
      <c r="C3304" t="s">
        <v>10</v>
      </c>
      <c r="D3304" t="s">
        <v>10</v>
      </c>
      <c r="E3304" t="str">
        <f>"$ 16,288"</f>
        <v>$ 16,288</v>
      </c>
      <c r="F3304" s="1">
        <v>22112603</v>
      </c>
    </row>
    <row r="3305" spans="1:6">
      <c r="A3305" t="s">
        <v>3305</v>
      </c>
      <c r="B3305" t="str">
        <f t="shared" si="107"/>
        <v>0.00211%</v>
      </c>
      <c r="C3305" t="s">
        <v>10</v>
      </c>
      <c r="D3305" t="s">
        <v>10</v>
      </c>
      <c r="E3305" t="str">
        <f>"$ 16,274"</f>
        <v>$ 16,274</v>
      </c>
      <c r="F3305">
        <v>619</v>
      </c>
    </row>
    <row r="3306" spans="1:6">
      <c r="A3306" t="s">
        <v>3306</v>
      </c>
      <c r="B3306" t="str">
        <f t="shared" si="107"/>
        <v>0.00211%</v>
      </c>
      <c r="C3306" t="s">
        <v>10</v>
      </c>
      <c r="D3306" t="s">
        <v>10</v>
      </c>
      <c r="E3306" t="str">
        <f>"$ 16,295"</f>
        <v>$ 16,295</v>
      </c>
      <c r="F3306" s="1">
        <v>12124</v>
      </c>
    </row>
    <row r="3307" spans="1:6">
      <c r="A3307" t="s">
        <v>3307</v>
      </c>
      <c r="B3307" t="str">
        <f t="shared" ref="B3307:B3316" si="108">"0.00210%"</f>
        <v>0.00210%</v>
      </c>
      <c r="C3307" t="s">
        <v>10</v>
      </c>
      <c r="D3307" t="s">
        <v>10</v>
      </c>
      <c r="E3307" t="str">
        <f>"$ 16,254"</f>
        <v>$ 16,254</v>
      </c>
      <c r="F3307">
        <v>808</v>
      </c>
    </row>
    <row r="3308" spans="1:6">
      <c r="A3308" t="s">
        <v>3308</v>
      </c>
      <c r="B3308" t="str">
        <f t="shared" si="108"/>
        <v>0.00210%</v>
      </c>
      <c r="C3308" t="s">
        <v>10</v>
      </c>
      <c r="D3308" t="s">
        <v>10</v>
      </c>
      <c r="E3308" t="str">
        <f>"$ 16,235"</f>
        <v>$ 16,235</v>
      </c>
      <c r="F3308">
        <v>891</v>
      </c>
    </row>
    <row r="3309" spans="1:6">
      <c r="A3309" t="s">
        <v>3309</v>
      </c>
      <c r="B3309" t="str">
        <f t="shared" si="108"/>
        <v>0.00210%</v>
      </c>
      <c r="C3309" t="s">
        <v>10</v>
      </c>
      <c r="D3309" t="s">
        <v>10</v>
      </c>
      <c r="E3309" t="str">
        <f>"$ 16,178"</f>
        <v>$ 16,178</v>
      </c>
      <c r="F3309">
        <v>110</v>
      </c>
    </row>
    <row r="3310" spans="1:6">
      <c r="A3310" t="s">
        <v>3310</v>
      </c>
      <c r="B3310" t="str">
        <f t="shared" si="108"/>
        <v>0.00210%</v>
      </c>
      <c r="C3310" t="s">
        <v>10</v>
      </c>
      <c r="D3310" t="s">
        <v>10</v>
      </c>
      <c r="E3310" t="str">
        <f>"$ 16,204"</f>
        <v>$ 16,204</v>
      </c>
      <c r="F3310">
        <v>480</v>
      </c>
    </row>
    <row r="3311" spans="1:6">
      <c r="A3311" t="s">
        <v>3311</v>
      </c>
      <c r="B3311" t="str">
        <f t="shared" si="108"/>
        <v>0.00210%</v>
      </c>
      <c r="C3311" t="s">
        <v>10</v>
      </c>
      <c r="D3311" t="s">
        <v>10</v>
      </c>
      <c r="E3311" t="str">
        <f>"$ 16,244"</f>
        <v>$ 16,244</v>
      </c>
      <c r="F3311">
        <v>249</v>
      </c>
    </row>
    <row r="3312" spans="1:6">
      <c r="A3312" t="s">
        <v>3312</v>
      </c>
      <c r="B3312" t="str">
        <f t="shared" si="108"/>
        <v>0.00210%</v>
      </c>
      <c r="C3312" t="s">
        <v>10</v>
      </c>
      <c r="D3312" t="s">
        <v>10</v>
      </c>
      <c r="E3312" t="str">
        <f>"$ 16,182"</f>
        <v>$ 16,182</v>
      </c>
      <c r="F3312">
        <v>511</v>
      </c>
    </row>
    <row r="3313" spans="1:6">
      <c r="A3313" t="s">
        <v>3313</v>
      </c>
      <c r="B3313" t="str">
        <f t="shared" si="108"/>
        <v>0.00210%</v>
      </c>
      <c r="C3313" t="s">
        <v>10</v>
      </c>
      <c r="D3313" t="s">
        <v>10</v>
      </c>
      <c r="E3313" t="str">
        <f>"$ 16,181"</f>
        <v>$ 16,181</v>
      </c>
      <c r="F3313" s="1">
        <v>4875</v>
      </c>
    </row>
    <row r="3314" spans="1:6">
      <c r="A3314" t="s">
        <v>3314</v>
      </c>
      <c r="B3314" t="str">
        <f t="shared" si="108"/>
        <v>0.00210%</v>
      </c>
      <c r="C3314" t="s">
        <v>10</v>
      </c>
      <c r="D3314" t="s">
        <v>10</v>
      </c>
      <c r="E3314" t="str">
        <f>"$ 16,251"</f>
        <v>$ 16,251</v>
      </c>
      <c r="F3314" s="1">
        <v>1149</v>
      </c>
    </row>
    <row r="3315" spans="1:6">
      <c r="A3315" t="s">
        <v>3315</v>
      </c>
      <c r="B3315" t="str">
        <f t="shared" si="108"/>
        <v>0.00210%</v>
      </c>
      <c r="C3315" t="s">
        <v>10</v>
      </c>
      <c r="D3315" t="s">
        <v>10</v>
      </c>
      <c r="E3315" t="str">
        <f>"$ 16,217"</f>
        <v>$ 16,217</v>
      </c>
      <c r="F3315" s="1">
        <v>33847</v>
      </c>
    </row>
    <row r="3316" spans="1:6">
      <c r="A3316" t="s">
        <v>3316</v>
      </c>
      <c r="B3316" t="str">
        <f t="shared" si="108"/>
        <v>0.00210%</v>
      </c>
      <c r="C3316" t="s">
        <v>10</v>
      </c>
      <c r="D3316" t="s">
        <v>10</v>
      </c>
      <c r="E3316" t="str">
        <f>"$ 16,185"</f>
        <v>$ 16,185</v>
      </c>
      <c r="F3316">
        <v>123</v>
      </c>
    </row>
    <row r="3317" spans="1:6">
      <c r="A3317" t="s">
        <v>3317</v>
      </c>
      <c r="B3317" t="str">
        <f t="shared" ref="B3317:B3325" si="109">"0.00209%"</f>
        <v>0.00209%</v>
      </c>
      <c r="C3317" t="s">
        <v>10</v>
      </c>
      <c r="D3317" t="s">
        <v>10</v>
      </c>
      <c r="E3317" t="str">
        <f>"$ 16,129"</f>
        <v>$ 16,129</v>
      </c>
      <c r="F3317">
        <v>225</v>
      </c>
    </row>
    <row r="3318" spans="1:6">
      <c r="A3318" t="s">
        <v>3318</v>
      </c>
      <c r="B3318" t="str">
        <f t="shared" si="109"/>
        <v>0.00209%</v>
      </c>
      <c r="C3318" t="s">
        <v>10</v>
      </c>
      <c r="D3318" t="s">
        <v>10</v>
      </c>
      <c r="E3318" t="str">
        <f>"$ 16,123"</f>
        <v>$ 16,123</v>
      </c>
      <c r="F3318" s="1">
        <v>7782</v>
      </c>
    </row>
    <row r="3319" spans="1:6">
      <c r="A3319" t="s">
        <v>3319</v>
      </c>
      <c r="B3319" t="str">
        <f t="shared" si="109"/>
        <v>0.00209%</v>
      </c>
      <c r="C3319" t="s">
        <v>10</v>
      </c>
      <c r="D3319" t="s">
        <v>10</v>
      </c>
      <c r="E3319" t="str">
        <f>"$ 16,113"</f>
        <v>$ 16,113</v>
      </c>
      <c r="F3319">
        <v>513</v>
      </c>
    </row>
    <row r="3320" spans="1:6">
      <c r="A3320" t="s">
        <v>3320</v>
      </c>
      <c r="B3320" t="str">
        <f t="shared" si="109"/>
        <v>0.00209%</v>
      </c>
      <c r="C3320" t="s">
        <v>10</v>
      </c>
      <c r="D3320" t="s">
        <v>10</v>
      </c>
      <c r="E3320" t="str">
        <f>"$ 16,106"</f>
        <v>$ 16,106</v>
      </c>
      <c r="F3320">
        <v>130</v>
      </c>
    </row>
    <row r="3321" spans="1:6">
      <c r="A3321" t="s">
        <v>3321</v>
      </c>
      <c r="B3321" t="str">
        <f t="shared" si="109"/>
        <v>0.00209%</v>
      </c>
      <c r="C3321" t="s">
        <v>10</v>
      </c>
      <c r="D3321" t="s">
        <v>10</v>
      </c>
      <c r="E3321" t="str">
        <f>"$ 16,101"</f>
        <v>$ 16,101</v>
      </c>
      <c r="F3321">
        <v>568</v>
      </c>
    </row>
    <row r="3322" spans="1:6">
      <c r="A3322" t="s">
        <v>3322</v>
      </c>
      <c r="B3322" t="str">
        <f t="shared" si="109"/>
        <v>0.00209%</v>
      </c>
      <c r="C3322" t="s">
        <v>10</v>
      </c>
      <c r="D3322" t="s">
        <v>10</v>
      </c>
      <c r="E3322" t="str">
        <f>"$ 16,108"</f>
        <v>$ 16,108</v>
      </c>
      <c r="F3322">
        <v>279</v>
      </c>
    </row>
    <row r="3323" spans="1:6">
      <c r="A3323" t="s">
        <v>3323</v>
      </c>
      <c r="B3323" t="str">
        <f t="shared" si="109"/>
        <v>0.00209%</v>
      </c>
      <c r="C3323" t="s">
        <v>10</v>
      </c>
      <c r="D3323" t="s">
        <v>10</v>
      </c>
      <c r="E3323" t="str">
        <f>"$ 16,122"</f>
        <v>$ 16,122</v>
      </c>
      <c r="F3323" s="1">
        <v>6336</v>
      </c>
    </row>
    <row r="3324" spans="1:6">
      <c r="A3324" t="s">
        <v>3324</v>
      </c>
      <c r="B3324" t="str">
        <f t="shared" si="109"/>
        <v>0.00209%</v>
      </c>
      <c r="C3324" t="s">
        <v>10</v>
      </c>
      <c r="D3324" t="s">
        <v>10</v>
      </c>
      <c r="E3324" t="str">
        <f>"$ 16,174"</f>
        <v>$ 16,174</v>
      </c>
      <c r="F3324">
        <v>424</v>
      </c>
    </row>
    <row r="3325" spans="1:6">
      <c r="A3325" t="s">
        <v>3325</v>
      </c>
      <c r="B3325" t="str">
        <f t="shared" si="109"/>
        <v>0.00209%</v>
      </c>
      <c r="C3325" t="s">
        <v>10</v>
      </c>
      <c r="D3325" t="s">
        <v>10</v>
      </c>
      <c r="E3325" t="str">
        <f>"$ 16,161"</f>
        <v>$ 16,161</v>
      </c>
      <c r="F3325">
        <v>303</v>
      </c>
    </row>
    <row r="3326" spans="1:6">
      <c r="A3326" t="s">
        <v>3326</v>
      </c>
      <c r="B3326" t="str">
        <f t="shared" ref="B3326:B3332" si="110">"0.00208%"</f>
        <v>0.00208%</v>
      </c>
      <c r="C3326" t="s">
        <v>10</v>
      </c>
      <c r="D3326" t="s">
        <v>10</v>
      </c>
      <c r="E3326" t="str">
        <f>"$ 16,028"</f>
        <v>$ 16,028</v>
      </c>
      <c r="F3326">
        <v>203</v>
      </c>
    </row>
    <row r="3327" spans="1:6">
      <c r="A3327" t="s">
        <v>3327</v>
      </c>
      <c r="B3327" t="str">
        <f t="shared" si="110"/>
        <v>0.00208%</v>
      </c>
      <c r="C3327" t="s">
        <v>10</v>
      </c>
      <c r="D3327" t="s">
        <v>10</v>
      </c>
      <c r="E3327" t="str">
        <f>"$ 16,046"</f>
        <v>$ 16,046</v>
      </c>
      <c r="F3327">
        <v>202</v>
      </c>
    </row>
    <row r="3328" spans="1:6">
      <c r="A3328" t="s">
        <v>3328</v>
      </c>
      <c r="B3328" t="str">
        <f t="shared" si="110"/>
        <v>0.00208%</v>
      </c>
      <c r="C3328" t="s">
        <v>10</v>
      </c>
      <c r="D3328" t="s">
        <v>10</v>
      </c>
      <c r="E3328" t="str">
        <f>"$ 16,064"</f>
        <v>$ 16,064</v>
      </c>
      <c r="F3328" s="1">
        <v>1200</v>
      </c>
    </row>
    <row r="3329" spans="1:6">
      <c r="A3329" t="s">
        <v>3329</v>
      </c>
      <c r="B3329" t="str">
        <f t="shared" si="110"/>
        <v>0.00208%</v>
      </c>
      <c r="C3329" t="s">
        <v>10</v>
      </c>
      <c r="D3329" t="s">
        <v>10</v>
      </c>
      <c r="E3329" t="str">
        <f>"$ 16,038"</f>
        <v>$ 16,038</v>
      </c>
      <c r="F3329" s="1">
        <v>1599</v>
      </c>
    </row>
    <row r="3330" spans="1:6">
      <c r="A3330" t="s">
        <v>3330</v>
      </c>
      <c r="B3330" t="str">
        <f t="shared" si="110"/>
        <v>0.00208%</v>
      </c>
      <c r="C3330" t="s">
        <v>10</v>
      </c>
      <c r="D3330" t="s">
        <v>10</v>
      </c>
      <c r="E3330" t="str">
        <f>"$ 16,035"</f>
        <v>$ 16,035</v>
      </c>
      <c r="F3330">
        <v>330</v>
      </c>
    </row>
    <row r="3331" spans="1:6">
      <c r="A3331" t="s">
        <v>3331</v>
      </c>
      <c r="B3331" t="str">
        <f t="shared" si="110"/>
        <v>0.00208%</v>
      </c>
      <c r="C3331" t="s">
        <v>10</v>
      </c>
      <c r="D3331" t="s">
        <v>10</v>
      </c>
      <c r="E3331" t="str">
        <f>"$ 16,028"</f>
        <v>$ 16,028</v>
      </c>
      <c r="F3331" s="1">
        <v>55788</v>
      </c>
    </row>
    <row r="3332" spans="1:6">
      <c r="A3332" t="s">
        <v>3332</v>
      </c>
      <c r="B3332" t="str">
        <f t="shared" si="110"/>
        <v>0.00208%</v>
      </c>
      <c r="C3332" t="s">
        <v>10</v>
      </c>
      <c r="D3332" t="s">
        <v>10</v>
      </c>
      <c r="E3332" t="str">
        <f>"$ 16,058"</f>
        <v>$ 16,058</v>
      </c>
      <c r="F3332">
        <v>293</v>
      </c>
    </row>
    <row r="3333" spans="1:6">
      <c r="A3333" t="s">
        <v>3333</v>
      </c>
      <c r="B3333" t="str">
        <f t="shared" ref="B3333:B3342" si="111">"0.00207%"</f>
        <v>0.00207%</v>
      </c>
      <c r="C3333" t="s">
        <v>10</v>
      </c>
      <c r="D3333" t="s">
        <v>10</v>
      </c>
      <c r="E3333" t="str">
        <f>"$ 16,011"</f>
        <v>$ 16,011</v>
      </c>
      <c r="F3333">
        <v>415</v>
      </c>
    </row>
    <row r="3334" spans="1:6">
      <c r="A3334" t="s">
        <v>3334</v>
      </c>
      <c r="B3334" t="str">
        <f t="shared" si="111"/>
        <v>0.00207%</v>
      </c>
      <c r="C3334" t="s">
        <v>10</v>
      </c>
      <c r="D3334" t="s">
        <v>10</v>
      </c>
      <c r="E3334" t="str">
        <f>"$ 16,008"</f>
        <v>$ 16,008</v>
      </c>
      <c r="F3334" s="1">
        <v>110133</v>
      </c>
    </row>
    <row r="3335" spans="1:6">
      <c r="A3335" t="s">
        <v>3335</v>
      </c>
      <c r="B3335" t="str">
        <f t="shared" si="111"/>
        <v>0.00207%</v>
      </c>
      <c r="C3335" t="s">
        <v>10</v>
      </c>
      <c r="D3335" t="s">
        <v>10</v>
      </c>
      <c r="E3335" t="str">
        <f>"$ 15,986"</f>
        <v>$ 15,986</v>
      </c>
      <c r="F3335">
        <v>106</v>
      </c>
    </row>
    <row r="3336" spans="1:6">
      <c r="A3336" t="s">
        <v>3336</v>
      </c>
      <c r="B3336" t="str">
        <f t="shared" si="111"/>
        <v>0.00207%</v>
      </c>
      <c r="C3336" t="s">
        <v>10</v>
      </c>
      <c r="D3336" t="s">
        <v>10</v>
      </c>
      <c r="E3336" t="str">
        <f>"$ 16,021"</f>
        <v>$ 16,021</v>
      </c>
      <c r="F3336">
        <v>81</v>
      </c>
    </row>
    <row r="3337" spans="1:6">
      <c r="A3337" t="s">
        <v>3337</v>
      </c>
      <c r="B3337" t="str">
        <f t="shared" si="111"/>
        <v>0.00207%</v>
      </c>
      <c r="C3337" t="s">
        <v>10</v>
      </c>
      <c r="D3337" t="s">
        <v>10</v>
      </c>
      <c r="E3337" t="str">
        <f>"$ 15,976"</f>
        <v>$ 15,976</v>
      </c>
      <c r="F3337">
        <v>442</v>
      </c>
    </row>
    <row r="3338" spans="1:6">
      <c r="A3338" t="s">
        <v>3338</v>
      </c>
      <c r="B3338" t="str">
        <f t="shared" si="111"/>
        <v>0.00207%</v>
      </c>
      <c r="C3338" t="s">
        <v>10</v>
      </c>
      <c r="D3338" t="s">
        <v>10</v>
      </c>
      <c r="E3338" t="str">
        <f>"$ 15,992"</f>
        <v>$ 15,992</v>
      </c>
      <c r="F3338">
        <v>803</v>
      </c>
    </row>
    <row r="3339" spans="1:6">
      <c r="A3339" t="s">
        <v>3339</v>
      </c>
      <c r="B3339" t="str">
        <f t="shared" si="111"/>
        <v>0.00207%</v>
      </c>
      <c r="C3339" t="s">
        <v>10</v>
      </c>
      <c r="D3339" t="s">
        <v>10</v>
      </c>
      <c r="E3339" t="str">
        <f>"$ 15,994"</f>
        <v>$ 15,994</v>
      </c>
      <c r="F3339" s="1">
        <v>2969</v>
      </c>
    </row>
    <row r="3340" spans="1:6">
      <c r="A3340" t="s">
        <v>3340</v>
      </c>
      <c r="B3340" t="str">
        <f t="shared" si="111"/>
        <v>0.00207%</v>
      </c>
      <c r="C3340" t="s">
        <v>10</v>
      </c>
      <c r="D3340" t="s">
        <v>10</v>
      </c>
      <c r="E3340" t="str">
        <f>"$ 15,966"</f>
        <v>$ 15,966</v>
      </c>
      <c r="F3340" s="1">
        <v>5579</v>
      </c>
    </row>
    <row r="3341" spans="1:6">
      <c r="A3341" t="s">
        <v>3341</v>
      </c>
      <c r="B3341" t="str">
        <f t="shared" si="111"/>
        <v>0.00207%</v>
      </c>
      <c r="C3341" t="s">
        <v>10</v>
      </c>
      <c r="D3341" t="s">
        <v>10</v>
      </c>
      <c r="E3341" t="str">
        <f>"$ 15,970"</f>
        <v>$ 15,970</v>
      </c>
      <c r="F3341">
        <v>528</v>
      </c>
    </row>
    <row r="3342" spans="1:6">
      <c r="A3342" t="s">
        <v>3342</v>
      </c>
      <c r="B3342" t="str">
        <f t="shared" si="111"/>
        <v>0.00207%</v>
      </c>
      <c r="C3342" t="s">
        <v>10</v>
      </c>
      <c r="D3342" t="s">
        <v>10</v>
      </c>
      <c r="E3342" t="str">
        <f>"$ 15,988"</f>
        <v>$ 15,988</v>
      </c>
      <c r="F3342">
        <v>261</v>
      </c>
    </row>
    <row r="3343" spans="1:6">
      <c r="A3343" t="s">
        <v>3343</v>
      </c>
      <c r="B3343" t="str">
        <f>"0.00206%"</f>
        <v>0.00206%</v>
      </c>
      <c r="C3343" t="s">
        <v>10</v>
      </c>
      <c r="D3343" t="s">
        <v>10</v>
      </c>
      <c r="E3343" t="str">
        <f>"$ 15,896"</f>
        <v>$ 15,896</v>
      </c>
      <c r="F3343">
        <v>197</v>
      </c>
    </row>
    <row r="3344" spans="1:6">
      <c r="A3344" t="s">
        <v>3344</v>
      </c>
      <c r="B3344" t="str">
        <f>"0.00206%"</f>
        <v>0.00206%</v>
      </c>
      <c r="C3344" t="s">
        <v>10</v>
      </c>
      <c r="D3344" t="s">
        <v>10</v>
      </c>
      <c r="E3344" t="str">
        <f>"$ 15,896"</f>
        <v>$ 15,896</v>
      </c>
      <c r="F3344">
        <v>300</v>
      </c>
    </row>
    <row r="3345" spans="1:6">
      <c r="A3345" t="s">
        <v>3345</v>
      </c>
      <c r="B3345" t="str">
        <f>"0.00206%"</f>
        <v>0.00206%</v>
      </c>
      <c r="C3345" t="s">
        <v>10</v>
      </c>
      <c r="D3345" t="s">
        <v>10</v>
      </c>
      <c r="E3345" t="str">
        <f>"$ 15,894"</f>
        <v>$ 15,894</v>
      </c>
      <c r="F3345">
        <v>180</v>
      </c>
    </row>
    <row r="3346" spans="1:6">
      <c r="A3346" t="s">
        <v>3346</v>
      </c>
      <c r="B3346" t="str">
        <f>"0.00206%"</f>
        <v>0.00206%</v>
      </c>
      <c r="C3346" t="s">
        <v>10</v>
      </c>
      <c r="D3346" t="s">
        <v>10</v>
      </c>
      <c r="E3346" t="str">
        <f>"$ 15,945"</f>
        <v>$ 15,945</v>
      </c>
      <c r="F3346" s="1">
        <v>1699</v>
      </c>
    </row>
    <row r="3347" spans="1:6">
      <c r="A3347" t="s">
        <v>3347</v>
      </c>
      <c r="B3347" t="str">
        <f>"0.00206%"</f>
        <v>0.00206%</v>
      </c>
      <c r="C3347" t="s">
        <v>10</v>
      </c>
      <c r="D3347" t="s">
        <v>10</v>
      </c>
      <c r="E3347" t="str">
        <f>"$ 15,889"</f>
        <v>$ 15,889</v>
      </c>
      <c r="F3347">
        <v>598</v>
      </c>
    </row>
    <row r="3348" spans="1:6">
      <c r="A3348" t="s">
        <v>3348</v>
      </c>
      <c r="B3348" t="str">
        <f t="shared" ref="B3348:B3354" si="112">"0.00205%"</f>
        <v>0.00205%</v>
      </c>
      <c r="C3348" t="s">
        <v>10</v>
      </c>
      <c r="D3348" t="s">
        <v>10</v>
      </c>
      <c r="E3348" t="str">
        <f>"$ 15,851"</f>
        <v>$ 15,851</v>
      </c>
      <c r="F3348">
        <v>660</v>
      </c>
    </row>
    <row r="3349" spans="1:6">
      <c r="A3349" t="s">
        <v>3349</v>
      </c>
      <c r="B3349" t="str">
        <f t="shared" si="112"/>
        <v>0.00205%</v>
      </c>
      <c r="C3349" t="s">
        <v>10</v>
      </c>
      <c r="D3349" t="s">
        <v>10</v>
      </c>
      <c r="E3349" t="str">
        <f>"$ 15,842"</f>
        <v>$ 15,842</v>
      </c>
      <c r="F3349">
        <v>112</v>
      </c>
    </row>
    <row r="3350" spans="1:6">
      <c r="A3350" t="s">
        <v>3350</v>
      </c>
      <c r="B3350" t="str">
        <f t="shared" si="112"/>
        <v>0.00205%</v>
      </c>
      <c r="C3350" t="s">
        <v>10</v>
      </c>
      <c r="D3350" t="s">
        <v>10</v>
      </c>
      <c r="E3350" t="str">
        <f>"$ 15,832"</f>
        <v>$ 15,832</v>
      </c>
      <c r="F3350">
        <v>359</v>
      </c>
    </row>
    <row r="3351" spans="1:6">
      <c r="A3351" t="s">
        <v>3351</v>
      </c>
      <c r="B3351" t="str">
        <f t="shared" si="112"/>
        <v>0.00205%</v>
      </c>
      <c r="C3351" t="s">
        <v>10</v>
      </c>
      <c r="D3351" t="s">
        <v>10</v>
      </c>
      <c r="E3351" t="str">
        <f>"$ 15,858"</f>
        <v>$ 15,858</v>
      </c>
      <c r="F3351" s="1">
        <v>1209</v>
      </c>
    </row>
    <row r="3352" spans="1:6">
      <c r="A3352" t="s">
        <v>3352</v>
      </c>
      <c r="B3352" t="str">
        <f t="shared" si="112"/>
        <v>0.00205%</v>
      </c>
      <c r="C3352" t="s">
        <v>10</v>
      </c>
      <c r="D3352" t="s">
        <v>10</v>
      </c>
      <c r="E3352" t="str">
        <f>"$ 15,848"</f>
        <v>$ 15,848</v>
      </c>
      <c r="F3352">
        <v>153</v>
      </c>
    </row>
    <row r="3353" spans="1:6">
      <c r="A3353" t="s">
        <v>3353</v>
      </c>
      <c r="B3353" t="str">
        <f t="shared" si="112"/>
        <v>0.00205%</v>
      </c>
      <c r="C3353" t="s">
        <v>10</v>
      </c>
      <c r="D3353" t="s">
        <v>10</v>
      </c>
      <c r="E3353" t="str">
        <f>"$ 15,857"</f>
        <v>$ 15,857</v>
      </c>
      <c r="F3353" s="1">
        <v>3123</v>
      </c>
    </row>
    <row r="3354" spans="1:6">
      <c r="A3354" t="s">
        <v>3354</v>
      </c>
      <c r="B3354" t="str">
        <f t="shared" si="112"/>
        <v>0.00205%</v>
      </c>
      <c r="C3354" t="s">
        <v>10</v>
      </c>
      <c r="D3354" t="s">
        <v>10</v>
      </c>
      <c r="E3354" t="str">
        <f>"$ 15,810"</f>
        <v>$ 15,810</v>
      </c>
      <c r="F3354" s="1">
        <v>5932</v>
      </c>
    </row>
    <row r="3355" spans="1:6">
      <c r="A3355" t="s">
        <v>3355</v>
      </c>
      <c r="B3355" t="str">
        <f t="shared" ref="B3355:B3362" si="113">"0.00204%"</f>
        <v>0.00204%</v>
      </c>
      <c r="C3355" t="s">
        <v>10</v>
      </c>
      <c r="D3355" t="s">
        <v>10</v>
      </c>
      <c r="E3355" t="str">
        <f>"$ 15,776"</f>
        <v>$ 15,776</v>
      </c>
      <c r="F3355">
        <v>532</v>
      </c>
    </row>
    <row r="3356" spans="1:6">
      <c r="A3356" t="s">
        <v>3356</v>
      </c>
      <c r="B3356" t="str">
        <f t="shared" si="113"/>
        <v>0.00204%</v>
      </c>
      <c r="C3356" t="s">
        <v>10</v>
      </c>
      <c r="D3356" t="s">
        <v>10</v>
      </c>
      <c r="E3356" t="str">
        <f>"$ 15,779"</f>
        <v>$ 15,779</v>
      </c>
      <c r="F3356">
        <v>396</v>
      </c>
    </row>
    <row r="3357" spans="1:6">
      <c r="A3357" t="s">
        <v>3357</v>
      </c>
      <c r="B3357" t="str">
        <f t="shared" si="113"/>
        <v>0.00204%</v>
      </c>
      <c r="C3357" t="s">
        <v>10</v>
      </c>
      <c r="D3357" t="s">
        <v>10</v>
      </c>
      <c r="E3357" t="str">
        <f>"$ 15,784"</f>
        <v>$ 15,784</v>
      </c>
      <c r="F3357">
        <v>246</v>
      </c>
    </row>
    <row r="3358" spans="1:6">
      <c r="A3358" t="s">
        <v>3358</v>
      </c>
      <c r="B3358" t="str">
        <f t="shared" si="113"/>
        <v>0.00204%</v>
      </c>
      <c r="C3358" t="s">
        <v>10</v>
      </c>
      <c r="D3358" t="s">
        <v>10</v>
      </c>
      <c r="E3358" t="str">
        <f>"$ 15,728"</f>
        <v>$ 15,728</v>
      </c>
      <c r="F3358">
        <v>467</v>
      </c>
    </row>
    <row r="3359" spans="1:6">
      <c r="A3359" t="s">
        <v>3359</v>
      </c>
      <c r="B3359" t="str">
        <f t="shared" si="113"/>
        <v>0.00204%</v>
      </c>
      <c r="C3359" t="s">
        <v>10</v>
      </c>
      <c r="D3359" t="s">
        <v>10</v>
      </c>
      <c r="E3359" t="str">
        <f>"$ 15,759"</f>
        <v>$ 15,759</v>
      </c>
      <c r="F3359">
        <v>40</v>
      </c>
    </row>
    <row r="3360" spans="1:6">
      <c r="A3360" t="s">
        <v>3360</v>
      </c>
      <c r="B3360" t="str">
        <f t="shared" si="113"/>
        <v>0.00204%</v>
      </c>
      <c r="C3360" t="s">
        <v>10</v>
      </c>
      <c r="D3360" t="s">
        <v>10</v>
      </c>
      <c r="E3360" t="str">
        <f>"$ 15,781"</f>
        <v>$ 15,781</v>
      </c>
      <c r="F3360" s="1">
        <v>4784</v>
      </c>
    </row>
    <row r="3361" spans="1:6">
      <c r="A3361" t="s">
        <v>3361</v>
      </c>
      <c r="B3361" t="str">
        <f t="shared" si="113"/>
        <v>0.00204%</v>
      </c>
      <c r="C3361" t="s">
        <v>10</v>
      </c>
      <c r="D3361" t="s">
        <v>10</v>
      </c>
      <c r="E3361" t="str">
        <f>"$ 15,718"</f>
        <v>$ 15,718</v>
      </c>
      <c r="F3361">
        <v>203</v>
      </c>
    </row>
    <row r="3362" spans="1:6">
      <c r="A3362" t="s">
        <v>3362</v>
      </c>
      <c r="B3362" t="str">
        <f t="shared" si="113"/>
        <v>0.00204%</v>
      </c>
      <c r="C3362" t="s">
        <v>10</v>
      </c>
      <c r="D3362" t="s">
        <v>10</v>
      </c>
      <c r="E3362" t="str">
        <f>"$ 15,748"</f>
        <v>$ 15,748</v>
      </c>
      <c r="F3362" s="1">
        <v>14575</v>
      </c>
    </row>
    <row r="3363" spans="1:6">
      <c r="A3363" t="s">
        <v>3363</v>
      </c>
      <c r="B3363" t="str">
        <f>"0.00203%"</f>
        <v>0.00203%</v>
      </c>
      <c r="C3363" t="s">
        <v>10</v>
      </c>
      <c r="D3363" t="s">
        <v>10</v>
      </c>
      <c r="E3363" t="str">
        <f>"$ 15,682"</f>
        <v>$ 15,682</v>
      </c>
      <c r="F3363" s="1">
        <v>1072</v>
      </c>
    </row>
    <row r="3364" spans="1:6">
      <c r="A3364" t="s">
        <v>3364</v>
      </c>
      <c r="B3364" t="str">
        <f>"0.00203%"</f>
        <v>0.00203%</v>
      </c>
      <c r="C3364" t="s">
        <v>10</v>
      </c>
      <c r="D3364" t="s">
        <v>10</v>
      </c>
      <c r="E3364" t="str">
        <f>"$ 15,676"</f>
        <v>$ 15,676</v>
      </c>
      <c r="F3364" s="1">
        <v>10960</v>
      </c>
    </row>
    <row r="3365" spans="1:6">
      <c r="A3365" t="s">
        <v>3365</v>
      </c>
      <c r="B3365" t="str">
        <f>"0.00203%"</f>
        <v>0.00203%</v>
      </c>
      <c r="C3365" t="s">
        <v>10</v>
      </c>
      <c r="D3365" t="s">
        <v>10</v>
      </c>
      <c r="E3365" t="str">
        <f>"$ 15,689"</f>
        <v>$ 15,689</v>
      </c>
      <c r="F3365">
        <v>297</v>
      </c>
    </row>
    <row r="3366" spans="1:6">
      <c r="A3366" t="s">
        <v>3366</v>
      </c>
      <c r="B3366" t="str">
        <f>"0.00203%"</f>
        <v>0.00203%</v>
      </c>
      <c r="C3366" t="s">
        <v>10</v>
      </c>
      <c r="D3366" t="s">
        <v>10</v>
      </c>
      <c r="E3366" t="str">
        <f>"$ 15,660"</f>
        <v>$ 15,660</v>
      </c>
      <c r="F3366" s="1">
        <v>8292</v>
      </c>
    </row>
    <row r="3367" spans="1:6">
      <c r="A3367" t="s">
        <v>3367</v>
      </c>
      <c r="B3367" t="str">
        <f t="shared" ref="B3367:B3378" si="114">"0.00202%"</f>
        <v>0.00202%</v>
      </c>
      <c r="C3367" t="s">
        <v>10</v>
      </c>
      <c r="D3367" t="s">
        <v>10</v>
      </c>
      <c r="E3367" t="str">
        <f>"$ 15,607"</f>
        <v>$ 15,607</v>
      </c>
      <c r="F3367" s="1">
        <v>20740</v>
      </c>
    </row>
    <row r="3368" spans="1:6">
      <c r="A3368" t="s">
        <v>3368</v>
      </c>
      <c r="B3368" t="str">
        <f t="shared" si="114"/>
        <v>0.00202%</v>
      </c>
      <c r="C3368" t="s">
        <v>10</v>
      </c>
      <c r="D3368" t="s">
        <v>10</v>
      </c>
      <c r="E3368" t="str">
        <f>"$ 15,622"</f>
        <v>$ 15,622</v>
      </c>
      <c r="F3368">
        <v>184</v>
      </c>
    </row>
    <row r="3369" spans="1:6">
      <c r="A3369" t="s">
        <v>3369</v>
      </c>
      <c r="B3369" t="str">
        <f t="shared" si="114"/>
        <v>0.00202%</v>
      </c>
      <c r="C3369" t="s">
        <v>10</v>
      </c>
      <c r="D3369" t="s">
        <v>10</v>
      </c>
      <c r="E3369" t="str">
        <f>"$ 15,633"</f>
        <v>$ 15,633</v>
      </c>
      <c r="F3369" s="1">
        <v>4323</v>
      </c>
    </row>
    <row r="3370" spans="1:6">
      <c r="A3370" t="s">
        <v>3370</v>
      </c>
      <c r="B3370" t="str">
        <f t="shared" si="114"/>
        <v>0.00202%</v>
      </c>
      <c r="C3370" t="s">
        <v>10</v>
      </c>
      <c r="D3370" t="s">
        <v>10</v>
      </c>
      <c r="E3370" t="str">
        <f>"$ 15,562"</f>
        <v>$ 15,562</v>
      </c>
      <c r="F3370">
        <v>226</v>
      </c>
    </row>
    <row r="3371" spans="1:6">
      <c r="A3371" t="s">
        <v>3371</v>
      </c>
      <c r="B3371" t="str">
        <f t="shared" si="114"/>
        <v>0.00202%</v>
      </c>
      <c r="C3371" t="s">
        <v>10</v>
      </c>
      <c r="D3371" t="s">
        <v>10</v>
      </c>
      <c r="E3371" t="str">
        <f>"$ 15,576"</f>
        <v>$ 15,576</v>
      </c>
      <c r="F3371">
        <v>306</v>
      </c>
    </row>
    <row r="3372" spans="1:6">
      <c r="A3372" t="s">
        <v>3372</v>
      </c>
      <c r="B3372" t="str">
        <f t="shared" si="114"/>
        <v>0.00202%</v>
      </c>
      <c r="C3372" t="s">
        <v>10</v>
      </c>
      <c r="D3372" t="s">
        <v>10</v>
      </c>
      <c r="E3372" t="str">
        <f>"$ 15,601"</f>
        <v>$ 15,601</v>
      </c>
      <c r="F3372" s="1">
        <v>1182</v>
      </c>
    </row>
    <row r="3373" spans="1:6">
      <c r="A3373" t="s">
        <v>3373</v>
      </c>
      <c r="B3373" t="str">
        <f t="shared" si="114"/>
        <v>0.00202%</v>
      </c>
      <c r="C3373" t="s">
        <v>10</v>
      </c>
      <c r="D3373" t="s">
        <v>10</v>
      </c>
      <c r="E3373" t="str">
        <f>"$ 15,594"</f>
        <v>$ 15,594</v>
      </c>
      <c r="F3373" s="1">
        <v>2494</v>
      </c>
    </row>
    <row r="3374" spans="1:6">
      <c r="A3374" t="s">
        <v>3374</v>
      </c>
      <c r="B3374" t="str">
        <f t="shared" si="114"/>
        <v>0.00202%</v>
      </c>
      <c r="C3374" t="s">
        <v>10</v>
      </c>
      <c r="D3374" t="s">
        <v>10</v>
      </c>
      <c r="E3374" t="str">
        <f>"$ 15,622"</f>
        <v>$ 15,622</v>
      </c>
      <c r="F3374" s="1">
        <v>1576</v>
      </c>
    </row>
    <row r="3375" spans="1:6">
      <c r="A3375" t="s">
        <v>3375</v>
      </c>
      <c r="B3375" t="str">
        <f t="shared" si="114"/>
        <v>0.00202%</v>
      </c>
      <c r="C3375" t="s">
        <v>10</v>
      </c>
      <c r="D3375" t="s">
        <v>10</v>
      </c>
      <c r="E3375" t="str">
        <f>"$ 15,568"</f>
        <v>$ 15,568</v>
      </c>
      <c r="F3375" s="1">
        <v>191417</v>
      </c>
    </row>
    <row r="3376" spans="1:6">
      <c r="A3376" t="s">
        <v>3376</v>
      </c>
      <c r="B3376" t="str">
        <f t="shared" si="114"/>
        <v>0.00202%</v>
      </c>
      <c r="C3376" t="s">
        <v>10</v>
      </c>
      <c r="D3376" t="s">
        <v>10</v>
      </c>
      <c r="E3376" t="str">
        <f>"$ 15,572"</f>
        <v>$ 15,572</v>
      </c>
      <c r="F3376">
        <v>204</v>
      </c>
    </row>
    <row r="3377" spans="1:6">
      <c r="A3377" t="s">
        <v>3377</v>
      </c>
      <c r="B3377" t="str">
        <f t="shared" si="114"/>
        <v>0.00202%</v>
      </c>
      <c r="C3377" t="s">
        <v>10</v>
      </c>
      <c r="D3377" t="s">
        <v>10</v>
      </c>
      <c r="E3377" t="str">
        <f>"$ 15,574"</f>
        <v>$ 15,574</v>
      </c>
      <c r="F3377">
        <v>230</v>
      </c>
    </row>
    <row r="3378" spans="1:6">
      <c r="A3378" t="s">
        <v>3378</v>
      </c>
      <c r="B3378" t="str">
        <f t="shared" si="114"/>
        <v>0.00202%</v>
      </c>
      <c r="C3378" t="s">
        <v>10</v>
      </c>
      <c r="D3378" t="s">
        <v>10</v>
      </c>
      <c r="E3378" t="str">
        <f>"$ 15,567"</f>
        <v>$ 15,567</v>
      </c>
      <c r="F3378">
        <v>226</v>
      </c>
    </row>
    <row r="3379" spans="1:6">
      <c r="A3379" t="s">
        <v>3379</v>
      </c>
      <c r="B3379" t="str">
        <f t="shared" ref="B3379:B3388" si="115">"0.00201%"</f>
        <v>0.00201%</v>
      </c>
      <c r="C3379" t="s">
        <v>10</v>
      </c>
      <c r="D3379" t="s">
        <v>10</v>
      </c>
      <c r="E3379" t="str">
        <f>"$ 15,488"</f>
        <v>$ 15,488</v>
      </c>
      <c r="F3379" s="1">
        <v>14024</v>
      </c>
    </row>
    <row r="3380" spans="1:6">
      <c r="A3380" t="s">
        <v>3380</v>
      </c>
      <c r="B3380" t="str">
        <f t="shared" si="115"/>
        <v>0.00201%</v>
      </c>
      <c r="C3380" t="s">
        <v>10</v>
      </c>
      <c r="D3380" t="s">
        <v>10</v>
      </c>
      <c r="E3380" t="str">
        <f>"$ 15,521"</f>
        <v>$ 15,521</v>
      </c>
      <c r="F3380" s="1">
        <v>2460</v>
      </c>
    </row>
    <row r="3381" spans="1:6">
      <c r="A3381" t="s">
        <v>3381</v>
      </c>
      <c r="B3381" t="str">
        <f t="shared" si="115"/>
        <v>0.00201%</v>
      </c>
      <c r="C3381" t="s">
        <v>10</v>
      </c>
      <c r="D3381" t="s">
        <v>10</v>
      </c>
      <c r="E3381" t="str">
        <f>"$ 15,544"</f>
        <v>$ 15,544</v>
      </c>
      <c r="F3381">
        <v>63</v>
      </c>
    </row>
    <row r="3382" spans="1:6">
      <c r="A3382" t="s">
        <v>3382</v>
      </c>
      <c r="B3382" t="str">
        <f t="shared" si="115"/>
        <v>0.00201%</v>
      </c>
      <c r="C3382" t="s">
        <v>10</v>
      </c>
      <c r="D3382" t="s">
        <v>10</v>
      </c>
      <c r="E3382" t="str">
        <f>"$ 15,490"</f>
        <v>$ 15,490</v>
      </c>
      <c r="F3382">
        <v>226</v>
      </c>
    </row>
    <row r="3383" spans="1:6">
      <c r="A3383" t="s">
        <v>3383</v>
      </c>
      <c r="B3383" t="str">
        <f t="shared" si="115"/>
        <v>0.00201%</v>
      </c>
      <c r="C3383" t="s">
        <v>10</v>
      </c>
      <c r="D3383" t="s">
        <v>10</v>
      </c>
      <c r="E3383" t="str">
        <f>"$ 15,559"</f>
        <v>$ 15,559</v>
      </c>
      <c r="F3383" s="1">
        <v>9854</v>
      </c>
    </row>
    <row r="3384" spans="1:6">
      <c r="A3384" t="s">
        <v>3384</v>
      </c>
      <c r="B3384" t="str">
        <f t="shared" si="115"/>
        <v>0.00201%</v>
      </c>
      <c r="C3384" t="s">
        <v>10</v>
      </c>
      <c r="D3384" t="s">
        <v>10</v>
      </c>
      <c r="E3384" t="str">
        <f>"$ 15,485"</f>
        <v>$ 15,485</v>
      </c>
      <c r="F3384" s="1">
        <v>5698</v>
      </c>
    </row>
    <row r="3385" spans="1:6">
      <c r="A3385" t="s">
        <v>3385</v>
      </c>
      <c r="B3385" t="str">
        <f t="shared" si="115"/>
        <v>0.00201%</v>
      </c>
      <c r="C3385" t="s">
        <v>10</v>
      </c>
      <c r="D3385" t="s">
        <v>10</v>
      </c>
      <c r="E3385" t="str">
        <f>"$ 15,489"</f>
        <v>$ 15,489</v>
      </c>
      <c r="F3385" s="1">
        <v>4630</v>
      </c>
    </row>
    <row r="3386" spans="1:6">
      <c r="A3386" t="s">
        <v>3386</v>
      </c>
      <c r="B3386" t="str">
        <f t="shared" si="115"/>
        <v>0.00201%</v>
      </c>
      <c r="C3386" t="s">
        <v>10</v>
      </c>
      <c r="D3386" t="s">
        <v>10</v>
      </c>
      <c r="E3386" t="str">
        <f>"$ 15,520"</f>
        <v>$ 15,520</v>
      </c>
      <c r="F3386" s="1">
        <v>1067</v>
      </c>
    </row>
    <row r="3387" spans="1:6">
      <c r="A3387" t="s">
        <v>3387</v>
      </c>
      <c r="B3387" t="str">
        <f t="shared" si="115"/>
        <v>0.00201%</v>
      </c>
      <c r="C3387" t="s">
        <v>10</v>
      </c>
      <c r="D3387" t="s">
        <v>10</v>
      </c>
      <c r="E3387" t="str">
        <f>"$ 15,500"</f>
        <v>$ 15,500</v>
      </c>
      <c r="F3387">
        <v>330</v>
      </c>
    </row>
    <row r="3388" spans="1:6">
      <c r="A3388" t="s">
        <v>3388</v>
      </c>
      <c r="B3388" t="str">
        <f t="shared" si="115"/>
        <v>0.00201%</v>
      </c>
      <c r="C3388" t="s">
        <v>10</v>
      </c>
      <c r="D3388" t="s">
        <v>10</v>
      </c>
      <c r="E3388" t="str">
        <f>"$ 15,560"</f>
        <v>$ 15,560</v>
      </c>
      <c r="F3388" s="1">
        <v>18970</v>
      </c>
    </row>
    <row r="3389" spans="1:6">
      <c r="A3389" t="s">
        <v>3389</v>
      </c>
      <c r="B3389" t="str">
        <f t="shared" ref="B3389:B3403" si="116">"0.00200%"</f>
        <v>0.00200%</v>
      </c>
      <c r="C3389" t="s">
        <v>10</v>
      </c>
      <c r="D3389" t="s">
        <v>10</v>
      </c>
      <c r="E3389" t="str">
        <f>"$ 15,463"</f>
        <v>$ 15,463</v>
      </c>
      <c r="F3389">
        <v>127</v>
      </c>
    </row>
    <row r="3390" spans="1:6">
      <c r="A3390" t="s">
        <v>3390</v>
      </c>
      <c r="B3390" t="str">
        <f t="shared" si="116"/>
        <v>0.00200%</v>
      </c>
      <c r="C3390" t="s">
        <v>10</v>
      </c>
      <c r="D3390" t="s">
        <v>10</v>
      </c>
      <c r="E3390" t="str">
        <f>"$ 15,450"</f>
        <v>$ 15,450</v>
      </c>
      <c r="F3390">
        <v>125</v>
      </c>
    </row>
    <row r="3391" spans="1:6">
      <c r="A3391" t="s">
        <v>3391</v>
      </c>
      <c r="B3391" t="str">
        <f t="shared" si="116"/>
        <v>0.00200%</v>
      </c>
      <c r="C3391" t="s">
        <v>10</v>
      </c>
      <c r="D3391" t="s">
        <v>10</v>
      </c>
      <c r="E3391" t="str">
        <f>"$ 15,448"</f>
        <v>$ 15,448</v>
      </c>
      <c r="F3391">
        <v>74</v>
      </c>
    </row>
    <row r="3392" spans="1:6">
      <c r="A3392" t="s">
        <v>3392</v>
      </c>
      <c r="B3392" t="str">
        <f t="shared" si="116"/>
        <v>0.00200%</v>
      </c>
      <c r="C3392" t="s">
        <v>10</v>
      </c>
      <c r="D3392" t="s">
        <v>10</v>
      </c>
      <c r="E3392" t="str">
        <f>"$ 15,423"</f>
        <v>$ 15,423</v>
      </c>
      <c r="F3392" s="1">
        <v>1869</v>
      </c>
    </row>
    <row r="3393" spans="1:6">
      <c r="A3393" t="s">
        <v>3393</v>
      </c>
      <c r="B3393" t="str">
        <f t="shared" si="116"/>
        <v>0.00200%</v>
      </c>
      <c r="C3393" t="s">
        <v>10</v>
      </c>
      <c r="D3393" t="s">
        <v>10</v>
      </c>
      <c r="E3393" t="str">
        <f>"$ 15,423"</f>
        <v>$ 15,423</v>
      </c>
      <c r="F3393" s="1">
        <v>5461</v>
      </c>
    </row>
    <row r="3394" spans="1:6">
      <c r="A3394" t="s">
        <v>3394</v>
      </c>
      <c r="B3394" t="str">
        <f t="shared" si="116"/>
        <v>0.00200%</v>
      </c>
      <c r="C3394" t="s">
        <v>10</v>
      </c>
      <c r="D3394" t="s">
        <v>10</v>
      </c>
      <c r="E3394" t="str">
        <f>"$ 15,422"</f>
        <v>$ 15,422</v>
      </c>
      <c r="F3394">
        <v>63</v>
      </c>
    </row>
    <row r="3395" spans="1:6">
      <c r="A3395" t="s">
        <v>3395</v>
      </c>
      <c r="B3395" t="str">
        <f t="shared" si="116"/>
        <v>0.00200%</v>
      </c>
      <c r="C3395" t="s">
        <v>10</v>
      </c>
      <c r="D3395" t="s">
        <v>10</v>
      </c>
      <c r="E3395" t="str">
        <f>"$ 15,442"</f>
        <v>$ 15,442</v>
      </c>
      <c r="F3395">
        <v>178</v>
      </c>
    </row>
    <row r="3396" spans="1:6">
      <c r="A3396" t="s">
        <v>3396</v>
      </c>
      <c r="B3396" t="str">
        <f t="shared" si="116"/>
        <v>0.00200%</v>
      </c>
      <c r="C3396" t="s">
        <v>10</v>
      </c>
      <c r="D3396" t="s">
        <v>10</v>
      </c>
      <c r="E3396" t="str">
        <f>"$ 15,443"</f>
        <v>$ 15,443</v>
      </c>
      <c r="F3396">
        <v>553</v>
      </c>
    </row>
    <row r="3397" spans="1:6">
      <c r="A3397" t="s">
        <v>3397</v>
      </c>
      <c r="B3397" t="str">
        <f t="shared" si="116"/>
        <v>0.00200%</v>
      </c>
      <c r="C3397" t="s">
        <v>10</v>
      </c>
      <c r="D3397" t="s">
        <v>10</v>
      </c>
      <c r="E3397" t="str">
        <f>"$ 15,416"</f>
        <v>$ 15,416</v>
      </c>
      <c r="F3397">
        <v>429</v>
      </c>
    </row>
    <row r="3398" spans="1:6">
      <c r="A3398" t="s">
        <v>3398</v>
      </c>
      <c r="B3398" t="str">
        <f t="shared" si="116"/>
        <v>0.00200%</v>
      </c>
      <c r="C3398" t="s">
        <v>10</v>
      </c>
      <c r="D3398" t="s">
        <v>10</v>
      </c>
      <c r="E3398" t="str">
        <f>"$ 15,472"</f>
        <v>$ 15,472</v>
      </c>
      <c r="F3398">
        <v>530</v>
      </c>
    </row>
    <row r="3399" spans="1:6">
      <c r="A3399" t="s">
        <v>3399</v>
      </c>
      <c r="B3399" t="str">
        <f t="shared" si="116"/>
        <v>0.00200%</v>
      </c>
      <c r="C3399" t="s">
        <v>10</v>
      </c>
      <c r="D3399" t="s">
        <v>10</v>
      </c>
      <c r="E3399" t="str">
        <f>"$ 15,465"</f>
        <v>$ 15,465</v>
      </c>
      <c r="F3399">
        <v>511</v>
      </c>
    </row>
    <row r="3400" spans="1:6">
      <c r="A3400" t="s">
        <v>3400</v>
      </c>
      <c r="B3400" t="str">
        <f t="shared" si="116"/>
        <v>0.00200%</v>
      </c>
      <c r="C3400" t="s">
        <v>10</v>
      </c>
      <c r="D3400" t="s">
        <v>10</v>
      </c>
      <c r="E3400" t="str">
        <f>"$ 15,418"</f>
        <v>$ 15,418</v>
      </c>
      <c r="F3400">
        <v>576</v>
      </c>
    </row>
    <row r="3401" spans="1:6">
      <c r="A3401" t="s">
        <v>3401</v>
      </c>
      <c r="B3401" t="str">
        <f t="shared" si="116"/>
        <v>0.00200%</v>
      </c>
      <c r="C3401" t="s">
        <v>10</v>
      </c>
      <c r="D3401" t="s">
        <v>10</v>
      </c>
      <c r="E3401" t="str">
        <f>"$ 15,445"</f>
        <v>$ 15,445</v>
      </c>
      <c r="F3401">
        <v>226</v>
      </c>
    </row>
    <row r="3402" spans="1:6">
      <c r="A3402" t="s">
        <v>3402</v>
      </c>
      <c r="B3402" t="str">
        <f t="shared" si="116"/>
        <v>0.00200%</v>
      </c>
      <c r="C3402" t="s">
        <v>10</v>
      </c>
      <c r="D3402" t="s">
        <v>10</v>
      </c>
      <c r="E3402" t="str">
        <f>"$ 15,420"</f>
        <v>$ 15,420</v>
      </c>
      <c r="F3402">
        <v>383</v>
      </c>
    </row>
    <row r="3403" spans="1:6">
      <c r="A3403" t="s">
        <v>3403</v>
      </c>
      <c r="B3403" t="str">
        <f t="shared" si="116"/>
        <v>0.00200%</v>
      </c>
      <c r="C3403" t="s">
        <v>10</v>
      </c>
      <c r="D3403" t="s">
        <v>10</v>
      </c>
      <c r="E3403" t="str">
        <f>"$ 15,430"</f>
        <v>$ 15,430</v>
      </c>
      <c r="F3403" s="1">
        <v>9658</v>
      </c>
    </row>
    <row r="3404" spans="1:6">
      <c r="A3404" t="s">
        <v>3404</v>
      </c>
      <c r="B3404" t="str">
        <f t="shared" ref="B3404:B3414" si="117">"0.00199%"</f>
        <v>0.00199%</v>
      </c>
      <c r="C3404" t="s">
        <v>10</v>
      </c>
      <c r="D3404" t="s">
        <v>10</v>
      </c>
      <c r="E3404" t="str">
        <f>"$ 15,399"</f>
        <v>$ 15,399</v>
      </c>
      <c r="F3404">
        <v>622</v>
      </c>
    </row>
    <row r="3405" spans="1:6">
      <c r="A3405" t="s">
        <v>3405</v>
      </c>
      <c r="B3405" t="str">
        <f t="shared" si="117"/>
        <v>0.00199%</v>
      </c>
      <c r="C3405" t="s">
        <v>10</v>
      </c>
      <c r="D3405" t="s">
        <v>10</v>
      </c>
      <c r="E3405" t="str">
        <f>"$ 15,334"</f>
        <v>$ 15,334</v>
      </c>
      <c r="F3405" s="1">
        <v>1097</v>
      </c>
    </row>
    <row r="3406" spans="1:6">
      <c r="A3406" t="s">
        <v>3406</v>
      </c>
      <c r="B3406" t="str">
        <f t="shared" si="117"/>
        <v>0.00199%</v>
      </c>
      <c r="C3406" t="s">
        <v>10</v>
      </c>
      <c r="D3406" t="s">
        <v>10</v>
      </c>
      <c r="E3406" t="str">
        <f>"$ 15,356"</f>
        <v>$ 15,356</v>
      </c>
      <c r="F3406">
        <v>182</v>
      </c>
    </row>
    <row r="3407" spans="1:6">
      <c r="A3407" t="s">
        <v>3407</v>
      </c>
      <c r="B3407" t="str">
        <f t="shared" si="117"/>
        <v>0.00199%</v>
      </c>
      <c r="C3407" t="s">
        <v>10</v>
      </c>
      <c r="D3407" t="s">
        <v>10</v>
      </c>
      <c r="E3407" t="str">
        <f>"$ 15,358"</f>
        <v>$ 15,358</v>
      </c>
      <c r="F3407" s="1">
        <v>1649</v>
      </c>
    </row>
    <row r="3408" spans="1:6">
      <c r="A3408" t="s">
        <v>3408</v>
      </c>
      <c r="B3408" t="str">
        <f t="shared" si="117"/>
        <v>0.00199%</v>
      </c>
      <c r="C3408" t="s">
        <v>10</v>
      </c>
      <c r="D3408" t="s">
        <v>10</v>
      </c>
      <c r="E3408" t="str">
        <f>"$ 15,365"</f>
        <v>$ 15,365</v>
      </c>
      <c r="F3408" s="1">
        <v>8907</v>
      </c>
    </row>
    <row r="3409" spans="1:6">
      <c r="A3409" t="s">
        <v>3409</v>
      </c>
      <c r="B3409" t="str">
        <f t="shared" si="117"/>
        <v>0.00199%</v>
      </c>
      <c r="C3409" t="s">
        <v>10</v>
      </c>
      <c r="D3409" t="s">
        <v>10</v>
      </c>
      <c r="E3409" t="str">
        <f>"$ 15,343"</f>
        <v>$ 15,343</v>
      </c>
      <c r="F3409" s="1">
        <v>1009</v>
      </c>
    </row>
    <row r="3410" spans="1:6">
      <c r="A3410" t="s">
        <v>3410</v>
      </c>
      <c r="B3410" t="str">
        <f t="shared" si="117"/>
        <v>0.00199%</v>
      </c>
      <c r="C3410" t="s">
        <v>10</v>
      </c>
      <c r="D3410" t="s">
        <v>10</v>
      </c>
      <c r="E3410" t="str">
        <f>"$ 15,386"</f>
        <v>$ 15,386</v>
      </c>
      <c r="F3410">
        <v>208</v>
      </c>
    </row>
    <row r="3411" spans="1:6">
      <c r="A3411" t="s">
        <v>3411</v>
      </c>
      <c r="B3411" t="str">
        <f t="shared" si="117"/>
        <v>0.00199%</v>
      </c>
      <c r="C3411" t="s">
        <v>10</v>
      </c>
      <c r="D3411" t="s">
        <v>10</v>
      </c>
      <c r="E3411" t="str">
        <f>"$ 15,345"</f>
        <v>$ 15,345</v>
      </c>
      <c r="F3411">
        <v>348</v>
      </c>
    </row>
    <row r="3412" spans="1:6">
      <c r="A3412" t="s">
        <v>3412</v>
      </c>
      <c r="B3412" t="str">
        <f t="shared" si="117"/>
        <v>0.00199%</v>
      </c>
      <c r="C3412" t="s">
        <v>10</v>
      </c>
      <c r="D3412" t="s">
        <v>10</v>
      </c>
      <c r="E3412" t="str">
        <f>"$ 15,399"</f>
        <v>$ 15,399</v>
      </c>
      <c r="F3412" s="1">
        <v>1363</v>
      </c>
    </row>
    <row r="3413" spans="1:6">
      <c r="A3413" t="s">
        <v>3413</v>
      </c>
      <c r="B3413" t="str">
        <f t="shared" si="117"/>
        <v>0.00199%</v>
      </c>
      <c r="C3413" t="s">
        <v>10</v>
      </c>
      <c r="D3413" t="s">
        <v>10</v>
      </c>
      <c r="E3413" t="str">
        <f>"$ 15,338"</f>
        <v>$ 15,338</v>
      </c>
      <c r="F3413">
        <v>127</v>
      </c>
    </row>
    <row r="3414" spans="1:6">
      <c r="A3414" t="s">
        <v>3414</v>
      </c>
      <c r="B3414" t="str">
        <f t="shared" si="117"/>
        <v>0.00199%</v>
      </c>
      <c r="C3414" t="s">
        <v>10</v>
      </c>
      <c r="D3414" t="s">
        <v>10</v>
      </c>
      <c r="E3414" t="str">
        <f>"$ 15,347"</f>
        <v>$ 15,347</v>
      </c>
      <c r="F3414" s="1">
        <v>8680</v>
      </c>
    </row>
    <row r="3415" spans="1:6">
      <c r="A3415" t="s">
        <v>3415</v>
      </c>
      <c r="B3415" t="str">
        <f t="shared" ref="B3415:B3423" si="118">"0.00198%"</f>
        <v>0.00198%</v>
      </c>
      <c r="C3415" t="s">
        <v>10</v>
      </c>
      <c r="D3415" t="s">
        <v>10</v>
      </c>
      <c r="E3415" t="str">
        <f>"$ 15,312"</f>
        <v>$ 15,312</v>
      </c>
      <c r="F3415" s="1">
        <v>10672</v>
      </c>
    </row>
    <row r="3416" spans="1:6">
      <c r="A3416" t="s">
        <v>3416</v>
      </c>
      <c r="B3416" t="str">
        <f t="shared" si="118"/>
        <v>0.00198%</v>
      </c>
      <c r="C3416" t="s">
        <v>10</v>
      </c>
      <c r="D3416" t="s">
        <v>10</v>
      </c>
      <c r="E3416" t="str">
        <f>"$ 15,328"</f>
        <v>$ 15,328</v>
      </c>
      <c r="F3416">
        <v>973</v>
      </c>
    </row>
    <row r="3417" spans="1:6">
      <c r="A3417" t="s">
        <v>3417</v>
      </c>
      <c r="B3417" t="str">
        <f t="shared" si="118"/>
        <v>0.00198%</v>
      </c>
      <c r="C3417" t="s">
        <v>10</v>
      </c>
      <c r="D3417" t="s">
        <v>10</v>
      </c>
      <c r="E3417" t="str">
        <f>"$ 15,269"</f>
        <v>$ 15,269</v>
      </c>
      <c r="F3417">
        <v>866</v>
      </c>
    </row>
    <row r="3418" spans="1:6">
      <c r="A3418" t="s">
        <v>3418</v>
      </c>
      <c r="B3418" t="str">
        <f t="shared" si="118"/>
        <v>0.00198%</v>
      </c>
      <c r="C3418" t="s">
        <v>10</v>
      </c>
      <c r="D3418" t="s">
        <v>10</v>
      </c>
      <c r="E3418" t="str">
        <f>"$ 15,295"</f>
        <v>$ 15,295</v>
      </c>
      <c r="F3418">
        <v>626</v>
      </c>
    </row>
    <row r="3419" spans="1:6">
      <c r="A3419" t="s">
        <v>3419</v>
      </c>
      <c r="B3419" t="str">
        <f t="shared" si="118"/>
        <v>0.00198%</v>
      </c>
      <c r="C3419" t="s">
        <v>10</v>
      </c>
      <c r="D3419" t="s">
        <v>10</v>
      </c>
      <c r="E3419" t="str">
        <f>"$ 15,296"</f>
        <v>$ 15,296</v>
      </c>
      <c r="F3419">
        <v>192</v>
      </c>
    </row>
    <row r="3420" spans="1:6">
      <c r="A3420" t="s">
        <v>3420</v>
      </c>
      <c r="B3420" t="str">
        <f t="shared" si="118"/>
        <v>0.00198%</v>
      </c>
      <c r="C3420" t="s">
        <v>10</v>
      </c>
      <c r="D3420" t="s">
        <v>10</v>
      </c>
      <c r="E3420" t="str">
        <f>"$ 15,275"</f>
        <v>$ 15,275</v>
      </c>
      <c r="F3420">
        <v>310</v>
      </c>
    </row>
    <row r="3421" spans="1:6">
      <c r="A3421" t="s">
        <v>3421</v>
      </c>
      <c r="B3421" t="str">
        <f t="shared" si="118"/>
        <v>0.00198%</v>
      </c>
      <c r="C3421" t="s">
        <v>10</v>
      </c>
      <c r="D3421" t="s">
        <v>10</v>
      </c>
      <c r="E3421" t="str">
        <f>"$ 15,286"</f>
        <v>$ 15,286</v>
      </c>
      <c r="F3421">
        <v>346</v>
      </c>
    </row>
    <row r="3422" spans="1:6">
      <c r="A3422" t="s">
        <v>3422</v>
      </c>
      <c r="B3422" t="str">
        <f t="shared" si="118"/>
        <v>0.00198%</v>
      </c>
      <c r="C3422" t="s">
        <v>10</v>
      </c>
      <c r="D3422" t="s">
        <v>10</v>
      </c>
      <c r="E3422" t="str">
        <f>"$ 15,254"</f>
        <v>$ 15,254</v>
      </c>
      <c r="F3422" s="1">
        <v>16750</v>
      </c>
    </row>
    <row r="3423" spans="1:6">
      <c r="A3423" t="s">
        <v>3423</v>
      </c>
      <c r="B3423" t="str">
        <f t="shared" si="118"/>
        <v>0.00198%</v>
      </c>
      <c r="C3423" t="s">
        <v>10</v>
      </c>
      <c r="D3423" t="s">
        <v>10</v>
      </c>
      <c r="E3423" t="str">
        <f>"$ 15,307"</f>
        <v>$ 15,307</v>
      </c>
      <c r="F3423">
        <v>625</v>
      </c>
    </row>
    <row r="3424" spans="1:6">
      <c r="A3424" t="s">
        <v>3424</v>
      </c>
      <c r="B3424" t="str">
        <f t="shared" ref="B3424:B3433" si="119">"0.00197%"</f>
        <v>0.00197%</v>
      </c>
      <c r="C3424" t="s">
        <v>10</v>
      </c>
      <c r="D3424" t="s">
        <v>10</v>
      </c>
      <c r="E3424" t="str">
        <f>"$ 15,224"</f>
        <v>$ 15,224</v>
      </c>
      <c r="F3424" s="1">
        <v>3036</v>
      </c>
    </row>
    <row r="3425" spans="1:6">
      <c r="A3425" t="s">
        <v>3425</v>
      </c>
      <c r="B3425" t="str">
        <f t="shared" si="119"/>
        <v>0.00197%</v>
      </c>
      <c r="C3425" t="s">
        <v>10</v>
      </c>
      <c r="D3425" t="s">
        <v>10</v>
      </c>
      <c r="E3425" t="str">
        <f>"$ 15,215"</f>
        <v>$ 15,215</v>
      </c>
      <c r="F3425" s="1">
        <v>1271</v>
      </c>
    </row>
    <row r="3426" spans="1:6">
      <c r="A3426" t="s">
        <v>3426</v>
      </c>
      <c r="B3426" t="str">
        <f t="shared" si="119"/>
        <v>0.00197%</v>
      </c>
      <c r="C3426" t="s">
        <v>10</v>
      </c>
      <c r="D3426" t="s">
        <v>10</v>
      </c>
      <c r="E3426" t="str">
        <f>"$ 15,202"</f>
        <v>$ 15,202</v>
      </c>
      <c r="F3426">
        <v>501</v>
      </c>
    </row>
    <row r="3427" spans="1:6">
      <c r="A3427" t="s">
        <v>3427</v>
      </c>
      <c r="B3427" t="str">
        <f t="shared" si="119"/>
        <v>0.00197%</v>
      </c>
      <c r="C3427" t="s">
        <v>10</v>
      </c>
      <c r="D3427" t="s">
        <v>10</v>
      </c>
      <c r="E3427" t="str">
        <f>"$ 15,248"</f>
        <v>$ 15,248</v>
      </c>
      <c r="F3427">
        <v>277</v>
      </c>
    </row>
    <row r="3428" spans="1:6">
      <c r="A3428" t="s">
        <v>3428</v>
      </c>
      <c r="B3428" t="str">
        <f t="shared" si="119"/>
        <v>0.00197%</v>
      </c>
      <c r="C3428" t="s">
        <v>10</v>
      </c>
      <c r="D3428" t="s">
        <v>10</v>
      </c>
      <c r="E3428" t="str">
        <f>"$ 15,240"</f>
        <v>$ 15,240</v>
      </c>
      <c r="F3428">
        <v>363</v>
      </c>
    </row>
    <row r="3429" spans="1:6">
      <c r="A3429" t="s">
        <v>3429</v>
      </c>
      <c r="B3429" t="str">
        <f t="shared" si="119"/>
        <v>0.00197%</v>
      </c>
      <c r="C3429" t="s">
        <v>10</v>
      </c>
      <c r="D3429" t="s">
        <v>10</v>
      </c>
      <c r="E3429" t="str">
        <f>"$ 15,193"</f>
        <v>$ 15,193</v>
      </c>
      <c r="F3429" s="1">
        <v>1051</v>
      </c>
    </row>
    <row r="3430" spans="1:6">
      <c r="A3430" t="s">
        <v>3430</v>
      </c>
      <c r="B3430" t="str">
        <f t="shared" si="119"/>
        <v>0.00197%</v>
      </c>
      <c r="C3430" t="s">
        <v>10</v>
      </c>
      <c r="D3430" t="s">
        <v>10</v>
      </c>
      <c r="E3430" t="str">
        <f>"$ 15,250"</f>
        <v>$ 15,250</v>
      </c>
      <c r="F3430">
        <v>710</v>
      </c>
    </row>
    <row r="3431" spans="1:6">
      <c r="A3431" t="s">
        <v>3431</v>
      </c>
      <c r="B3431" t="str">
        <f t="shared" si="119"/>
        <v>0.00197%</v>
      </c>
      <c r="C3431" t="s">
        <v>10</v>
      </c>
      <c r="D3431" t="s">
        <v>10</v>
      </c>
      <c r="E3431" t="str">
        <f>"$ 15,237"</f>
        <v>$ 15,237</v>
      </c>
      <c r="F3431">
        <v>949</v>
      </c>
    </row>
    <row r="3432" spans="1:6">
      <c r="A3432" t="s">
        <v>3432</v>
      </c>
      <c r="B3432" t="str">
        <f t="shared" si="119"/>
        <v>0.00197%</v>
      </c>
      <c r="C3432" t="s">
        <v>10</v>
      </c>
      <c r="D3432" t="s">
        <v>10</v>
      </c>
      <c r="E3432" t="str">
        <f>"$ 15,183"</f>
        <v>$ 15,183</v>
      </c>
      <c r="F3432">
        <v>162</v>
      </c>
    </row>
    <row r="3433" spans="1:6">
      <c r="A3433" t="s">
        <v>3433</v>
      </c>
      <c r="B3433" t="str">
        <f t="shared" si="119"/>
        <v>0.00197%</v>
      </c>
      <c r="C3433" t="s">
        <v>10</v>
      </c>
      <c r="D3433" t="s">
        <v>10</v>
      </c>
      <c r="E3433" t="str">
        <f>"$ 15,212"</f>
        <v>$ 15,212</v>
      </c>
      <c r="F3433" s="1">
        <v>13361</v>
      </c>
    </row>
    <row r="3434" spans="1:6">
      <c r="A3434" t="s">
        <v>3434</v>
      </c>
      <c r="B3434" t="str">
        <f t="shared" ref="B3434:B3443" si="120">"0.00196%"</f>
        <v>0.00196%</v>
      </c>
      <c r="C3434" t="s">
        <v>10</v>
      </c>
      <c r="D3434" t="s">
        <v>10</v>
      </c>
      <c r="E3434" t="str">
        <f>"$ 15,115"</f>
        <v>$ 15,115</v>
      </c>
      <c r="F3434" s="1">
        <v>1867</v>
      </c>
    </row>
    <row r="3435" spans="1:6">
      <c r="A3435" t="s">
        <v>3435</v>
      </c>
      <c r="B3435" t="str">
        <f t="shared" si="120"/>
        <v>0.00196%</v>
      </c>
      <c r="C3435" t="s">
        <v>10</v>
      </c>
      <c r="D3435" t="s">
        <v>10</v>
      </c>
      <c r="E3435" t="str">
        <f>"$ 15,123"</f>
        <v>$ 15,123</v>
      </c>
      <c r="F3435">
        <v>151</v>
      </c>
    </row>
    <row r="3436" spans="1:6">
      <c r="A3436" t="s">
        <v>3436</v>
      </c>
      <c r="B3436" t="str">
        <f t="shared" si="120"/>
        <v>0.00196%</v>
      </c>
      <c r="C3436" t="s">
        <v>10</v>
      </c>
      <c r="D3436" t="s">
        <v>10</v>
      </c>
      <c r="E3436" t="str">
        <f>"$ 15,151"</f>
        <v>$ 15,151</v>
      </c>
      <c r="F3436">
        <v>211</v>
      </c>
    </row>
    <row r="3437" spans="1:6">
      <c r="A3437" t="s">
        <v>3437</v>
      </c>
      <c r="B3437" t="str">
        <f t="shared" si="120"/>
        <v>0.00196%</v>
      </c>
      <c r="C3437" t="s">
        <v>10</v>
      </c>
      <c r="D3437" t="s">
        <v>10</v>
      </c>
      <c r="E3437" t="str">
        <f>"$ 15,123"</f>
        <v>$ 15,123</v>
      </c>
      <c r="F3437" s="1">
        <v>5222</v>
      </c>
    </row>
    <row r="3438" spans="1:6">
      <c r="A3438" t="s">
        <v>3438</v>
      </c>
      <c r="B3438" t="str">
        <f t="shared" si="120"/>
        <v>0.00196%</v>
      </c>
      <c r="C3438" t="s">
        <v>10</v>
      </c>
      <c r="D3438" t="s">
        <v>10</v>
      </c>
      <c r="E3438" t="str">
        <f>"$ 15,138"</f>
        <v>$ 15,138</v>
      </c>
      <c r="F3438">
        <v>517</v>
      </c>
    </row>
    <row r="3439" spans="1:6">
      <c r="A3439" t="s">
        <v>3439</v>
      </c>
      <c r="B3439" t="str">
        <f t="shared" si="120"/>
        <v>0.00196%</v>
      </c>
      <c r="C3439" t="s">
        <v>10</v>
      </c>
      <c r="D3439" t="s">
        <v>10</v>
      </c>
      <c r="E3439" t="str">
        <f>"$ 15,127"</f>
        <v>$ 15,127</v>
      </c>
      <c r="F3439" s="1">
        <v>4266</v>
      </c>
    </row>
    <row r="3440" spans="1:6">
      <c r="A3440" t="s">
        <v>3440</v>
      </c>
      <c r="B3440" t="str">
        <f t="shared" si="120"/>
        <v>0.00196%</v>
      </c>
      <c r="C3440" t="s">
        <v>10</v>
      </c>
      <c r="D3440" t="s">
        <v>10</v>
      </c>
      <c r="E3440" t="str">
        <f>"$ 15,173"</f>
        <v>$ 15,173</v>
      </c>
      <c r="F3440" s="1">
        <v>1755</v>
      </c>
    </row>
    <row r="3441" spans="1:6">
      <c r="A3441" t="s">
        <v>3441</v>
      </c>
      <c r="B3441" t="str">
        <f t="shared" si="120"/>
        <v>0.00196%</v>
      </c>
      <c r="C3441" t="s">
        <v>10</v>
      </c>
      <c r="D3441" t="s">
        <v>10</v>
      </c>
      <c r="E3441" t="str">
        <f>"$ 15,164"</f>
        <v>$ 15,164</v>
      </c>
      <c r="F3441" s="1">
        <v>1769</v>
      </c>
    </row>
    <row r="3442" spans="1:6">
      <c r="A3442" t="s">
        <v>3442</v>
      </c>
      <c r="B3442" t="str">
        <f t="shared" si="120"/>
        <v>0.00196%</v>
      </c>
      <c r="C3442" t="s">
        <v>10</v>
      </c>
      <c r="D3442" t="s">
        <v>10</v>
      </c>
      <c r="E3442" t="str">
        <f>"$ 15,140"</f>
        <v>$ 15,140</v>
      </c>
      <c r="F3442">
        <v>88</v>
      </c>
    </row>
    <row r="3443" spans="1:6">
      <c r="A3443" t="s">
        <v>3443</v>
      </c>
      <c r="B3443" t="str">
        <f t="shared" si="120"/>
        <v>0.00196%</v>
      </c>
      <c r="C3443" t="s">
        <v>10</v>
      </c>
      <c r="D3443" t="s">
        <v>10</v>
      </c>
      <c r="E3443" t="str">
        <f>"$ 15,148"</f>
        <v>$ 15,148</v>
      </c>
      <c r="F3443">
        <v>109</v>
      </c>
    </row>
    <row r="3444" spans="1:6">
      <c r="A3444" t="s">
        <v>3444</v>
      </c>
      <c r="B3444" t="str">
        <f>"0.00195%"</f>
        <v>0.00195%</v>
      </c>
      <c r="C3444" t="s">
        <v>10</v>
      </c>
      <c r="D3444" t="s">
        <v>10</v>
      </c>
      <c r="E3444" t="str">
        <f>"$ 15,056"</f>
        <v>$ 15,056</v>
      </c>
      <c r="F3444" s="1">
        <v>2533</v>
      </c>
    </row>
    <row r="3445" spans="1:6">
      <c r="A3445" t="s">
        <v>3445</v>
      </c>
      <c r="B3445" t="str">
        <f>"0.00195%"</f>
        <v>0.00195%</v>
      </c>
      <c r="C3445" t="s">
        <v>10</v>
      </c>
      <c r="D3445" t="s">
        <v>10</v>
      </c>
      <c r="E3445" t="str">
        <f>"$ 15,093"</f>
        <v>$ 15,093</v>
      </c>
      <c r="F3445">
        <v>612</v>
      </c>
    </row>
    <row r="3446" spans="1:6">
      <c r="A3446" t="s">
        <v>3446</v>
      </c>
      <c r="B3446" t="str">
        <f>"0.00195%"</f>
        <v>0.00195%</v>
      </c>
      <c r="C3446" t="s">
        <v>10</v>
      </c>
      <c r="D3446" t="s">
        <v>10</v>
      </c>
      <c r="E3446" t="str">
        <f>"$ 15,043"</f>
        <v>$ 15,043</v>
      </c>
      <c r="F3446" s="1">
        <v>111433</v>
      </c>
    </row>
    <row r="3447" spans="1:6">
      <c r="A3447" t="s">
        <v>3447</v>
      </c>
      <c r="B3447" t="str">
        <f>"0.00195%"</f>
        <v>0.00195%</v>
      </c>
      <c r="C3447" t="s">
        <v>10</v>
      </c>
      <c r="D3447" t="s">
        <v>10</v>
      </c>
      <c r="E3447" t="str">
        <f>"$ 15,090"</f>
        <v>$ 15,090</v>
      </c>
      <c r="F3447" s="1">
        <v>5740</v>
      </c>
    </row>
    <row r="3448" spans="1:6">
      <c r="A3448" t="s">
        <v>3448</v>
      </c>
      <c r="B3448" t="str">
        <f>"0.00195%"</f>
        <v>0.00195%</v>
      </c>
      <c r="C3448" t="s">
        <v>10</v>
      </c>
      <c r="D3448" t="s">
        <v>10</v>
      </c>
      <c r="E3448" t="str">
        <f>"$ 15,095"</f>
        <v>$ 15,095</v>
      </c>
      <c r="F3448" s="1">
        <v>27288</v>
      </c>
    </row>
    <row r="3449" spans="1:6">
      <c r="A3449" t="s">
        <v>3449</v>
      </c>
      <c r="B3449" t="str">
        <f t="shared" ref="B3449:B3458" si="121">"0.00194%"</f>
        <v>0.00194%</v>
      </c>
      <c r="C3449" t="s">
        <v>10</v>
      </c>
      <c r="D3449" t="s">
        <v>10</v>
      </c>
      <c r="E3449" t="str">
        <f>"$ 14,998"</f>
        <v>$ 14,998</v>
      </c>
      <c r="F3449">
        <v>229</v>
      </c>
    </row>
    <row r="3450" spans="1:6">
      <c r="A3450" t="s">
        <v>3450</v>
      </c>
      <c r="B3450" t="str">
        <f t="shared" si="121"/>
        <v>0.00194%</v>
      </c>
      <c r="C3450" t="s">
        <v>10</v>
      </c>
      <c r="D3450" t="s">
        <v>10</v>
      </c>
      <c r="E3450" t="str">
        <f>"$ 14,970"</f>
        <v>$ 14,970</v>
      </c>
      <c r="F3450">
        <v>429</v>
      </c>
    </row>
    <row r="3451" spans="1:6">
      <c r="A3451" t="s">
        <v>3451</v>
      </c>
      <c r="B3451" t="str">
        <f t="shared" si="121"/>
        <v>0.00194%</v>
      </c>
      <c r="C3451" t="s">
        <v>10</v>
      </c>
      <c r="D3451" t="s">
        <v>10</v>
      </c>
      <c r="E3451" t="str">
        <f>"$ 14,997"</f>
        <v>$ 14,997</v>
      </c>
      <c r="F3451">
        <v>836</v>
      </c>
    </row>
    <row r="3452" spans="1:6">
      <c r="A3452" t="s">
        <v>3452</v>
      </c>
      <c r="B3452" t="str">
        <f t="shared" si="121"/>
        <v>0.00194%</v>
      </c>
      <c r="C3452" t="s">
        <v>10</v>
      </c>
      <c r="D3452" t="s">
        <v>10</v>
      </c>
      <c r="E3452" t="str">
        <f>"$ 14,977"</f>
        <v>$ 14,977</v>
      </c>
      <c r="F3452" s="1">
        <v>1544</v>
      </c>
    </row>
    <row r="3453" spans="1:6">
      <c r="A3453" t="s">
        <v>3453</v>
      </c>
      <c r="B3453" t="str">
        <f t="shared" si="121"/>
        <v>0.00194%</v>
      </c>
      <c r="C3453" t="s">
        <v>10</v>
      </c>
      <c r="D3453" t="s">
        <v>10</v>
      </c>
      <c r="E3453" t="str">
        <f>"$ 15,001"</f>
        <v>$ 15,001</v>
      </c>
      <c r="F3453">
        <v>275</v>
      </c>
    </row>
    <row r="3454" spans="1:6">
      <c r="A3454" t="s">
        <v>3454</v>
      </c>
      <c r="B3454" t="str">
        <f t="shared" si="121"/>
        <v>0.00194%</v>
      </c>
      <c r="C3454" t="s">
        <v>10</v>
      </c>
      <c r="D3454" t="s">
        <v>10</v>
      </c>
      <c r="E3454" t="str">
        <f>"$ 14,951"</f>
        <v>$ 14,951</v>
      </c>
      <c r="F3454">
        <v>413</v>
      </c>
    </row>
    <row r="3455" spans="1:6">
      <c r="A3455" t="s">
        <v>3455</v>
      </c>
      <c r="B3455" t="str">
        <f t="shared" si="121"/>
        <v>0.00194%</v>
      </c>
      <c r="C3455" t="s">
        <v>10</v>
      </c>
      <c r="D3455" t="s">
        <v>10</v>
      </c>
      <c r="E3455" t="str">
        <f>"$ 14,974"</f>
        <v>$ 14,974</v>
      </c>
      <c r="F3455" s="1">
        <v>17988</v>
      </c>
    </row>
    <row r="3456" spans="1:6">
      <c r="A3456" t="s">
        <v>3456</v>
      </c>
      <c r="B3456" t="str">
        <f t="shared" si="121"/>
        <v>0.00194%</v>
      </c>
      <c r="C3456" t="s">
        <v>10</v>
      </c>
      <c r="D3456" t="s">
        <v>10</v>
      </c>
      <c r="E3456" t="str">
        <f>"$ 14,952"</f>
        <v>$ 14,952</v>
      </c>
      <c r="F3456">
        <v>874</v>
      </c>
    </row>
    <row r="3457" spans="1:6">
      <c r="A3457" t="s">
        <v>3457</v>
      </c>
      <c r="B3457" t="str">
        <f t="shared" si="121"/>
        <v>0.00194%</v>
      </c>
      <c r="C3457" t="s">
        <v>10</v>
      </c>
      <c r="D3457" t="s">
        <v>10</v>
      </c>
      <c r="E3457" t="str">
        <f>"$ 14,994"</f>
        <v>$ 14,994</v>
      </c>
      <c r="F3457">
        <v>399</v>
      </c>
    </row>
    <row r="3458" spans="1:6">
      <c r="A3458" t="s">
        <v>3458</v>
      </c>
      <c r="B3458" t="str">
        <f t="shared" si="121"/>
        <v>0.00194%</v>
      </c>
      <c r="C3458" t="s">
        <v>10</v>
      </c>
      <c r="D3458" t="s">
        <v>10</v>
      </c>
      <c r="E3458" t="str">
        <f>"$ 14,955"</f>
        <v>$ 14,955</v>
      </c>
      <c r="F3458" s="1">
        <v>5024</v>
      </c>
    </row>
    <row r="3459" spans="1:6">
      <c r="A3459" t="s">
        <v>3459</v>
      </c>
      <c r="B3459" t="str">
        <f t="shared" ref="B3459:B3466" si="122">"0.00193%"</f>
        <v>0.00193%</v>
      </c>
      <c r="C3459" t="s">
        <v>10</v>
      </c>
      <c r="D3459" t="s">
        <v>10</v>
      </c>
      <c r="E3459" t="str">
        <f>"$ 14,911"</f>
        <v>$ 14,911</v>
      </c>
      <c r="F3459">
        <v>279</v>
      </c>
    </row>
    <row r="3460" spans="1:6">
      <c r="A3460" t="s">
        <v>3460</v>
      </c>
      <c r="B3460" t="str">
        <f t="shared" si="122"/>
        <v>0.00193%</v>
      </c>
      <c r="C3460" t="s">
        <v>10</v>
      </c>
      <c r="D3460" t="s">
        <v>10</v>
      </c>
      <c r="E3460" t="str">
        <f>"$ 14,908"</f>
        <v>$ 14,908</v>
      </c>
      <c r="F3460" s="1">
        <v>1264</v>
      </c>
    </row>
    <row r="3461" spans="1:6">
      <c r="A3461" t="s">
        <v>3461</v>
      </c>
      <c r="B3461" t="str">
        <f t="shared" si="122"/>
        <v>0.00193%</v>
      </c>
      <c r="C3461" t="s">
        <v>10</v>
      </c>
      <c r="D3461" t="s">
        <v>10</v>
      </c>
      <c r="E3461" t="str">
        <f>"$ 14,918"</f>
        <v>$ 14,918</v>
      </c>
      <c r="F3461">
        <v>292</v>
      </c>
    </row>
    <row r="3462" spans="1:6">
      <c r="A3462" t="s">
        <v>3462</v>
      </c>
      <c r="B3462" t="str">
        <f t="shared" si="122"/>
        <v>0.00193%</v>
      </c>
      <c r="C3462" t="s">
        <v>10</v>
      </c>
      <c r="D3462" t="s">
        <v>10</v>
      </c>
      <c r="E3462" t="str">
        <f>"$ 14,936"</f>
        <v>$ 14,936</v>
      </c>
      <c r="F3462">
        <v>365</v>
      </c>
    </row>
    <row r="3463" spans="1:6">
      <c r="A3463" t="s">
        <v>3463</v>
      </c>
      <c r="B3463" t="str">
        <f t="shared" si="122"/>
        <v>0.00193%</v>
      </c>
      <c r="C3463" t="s">
        <v>10</v>
      </c>
      <c r="D3463" t="s">
        <v>10</v>
      </c>
      <c r="E3463" t="str">
        <f>"$ 14,898"</f>
        <v>$ 14,898</v>
      </c>
      <c r="F3463">
        <v>544</v>
      </c>
    </row>
    <row r="3464" spans="1:6">
      <c r="A3464" t="s">
        <v>3464</v>
      </c>
      <c r="B3464" t="str">
        <f t="shared" si="122"/>
        <v>0.00193%</v>
      </c>
      <c r="C3464" t="s">
        <v>10</v>
      </c>
      <c r="D3464" t="s">
        <v>10</v>
      </c>
      <c r="E3464" t="str">
        <f>"$ 14,912"</f>
        <v>$ 14,912</v>
      </c>
      <c r="F3464">
        <v>792</v>
      </c>
    </row>
    <row r="3465" spans="1:6">
      <c r="A3465" t="s">
        <v>3465</v>
      </c>
      <c r="B3465" t="str">
        <f t="shared" si="122"/>
        <v>0.00193%</v>
      </c>
      <c r="C3465" t="s">
        <v>10</v>
      </c>
      <c r="D3465" t="s">
        <v>10</v>
      </c>
      <c r="E3465" t="str">
        <f>"$ 14,928"</f>
        <v>$ 14,928</v>
      </c>
      <c r="F3465">
        <v>394</v>
      </c>
    </row>
    <row r="3466" spans="1:6">
      <c r="A3466" t="s">
        <v>3466</v>
      </c>
      <c r="B3466" t="str">
        <f t="shared" si="122"/>
        <v>0.00193%</v>
      </c>
      <c r="C3466" t="s">
        <v>10</v>
      </c>
      <c r="D3466" t="s">
        <v>10</v>
      </c>
      <c r="E3466" t="str">
        <f>"$ 14,895"</f>
        <v>$ 14,895</v>
      </c>
      <c r="F3466">
        <v>231</v>
      </c>
    </row>
    <row r="3467" spans="1:6">
      <c r="A3467" t="s">
        <v>3467</v>
      </c>
      <c r="B3467" t="str">
        <f t="shared" ref="B3467:B3478" si="123">"0.00192%"</f>
        <v>0.00192%</v>
      </c>
      <c r="C3467" t="s">
        <v>10</v>
      </c>
      <c r="D3467" t="s">
        <v>10</v>
      </c>
      <c r="E3467" t="str">
        <f>"$ 14,793"</f>
        <v>$ 14,793</v>
      </c>
      <c r="F3467">
        <v>445</v>
      </c>
    </row>
    <row r="3468" spans="1:6">
      <c r="A3468" t="s">
        <v>3468</v>
      </c>
      <c r="B3468" t="str">
        <f t="shared" si="123"/>
        <v>0.00192%</v>
      </c>
      <c r="C3468" t="s">
        <v>10</v>
      </c>
      <c r="D3468" t="s">
        <v>10</v>
      </c>
      <c r="E3468" t="str">
        <f>"$ 14,788"</f>
        <v>$ 14,788</v>
      </c>
      <c r="F3468" s="1">
        <v>1126</v>
      </c>
    </row>
    <row r="3469" spans="1:6">
      <c r="A3469" t="s">
        <v>3469</v>
      </c>
      <c r="B3469" t="str">
        <f t="shared" si="123"/>
        <v>0.00192%</v>
      </c>
      <c r="C3469" t="s">
        <v>10</v>
      </c>
      <c r="D3469" t="s">
        <v>10</v>
      </c>
      <c r="E3469" t="str">
        <f>"$ 14,812"</f>
        <v>$ 14,812</v>
      </c>
      <c r="F3469" s="1">
        <v>1206</v>
      </c>
    </row>
    <row r="3470" spans="1:6">
      <c r="A3470" t="s">
        <v>3470</v>
      </c>
      <c r="B3470" t="str">
        <f t="shared" si="123"/>
        <v>0.00192%</v>
      </c>
      <c r="C3470" t="s">
        <v>10</v>
      </c>
      <c r="D3470" t="s">
        <v>10</v>
      </c>
      <c r="E3470" t="str">
        <f>"$ 14,853"</f>
        <v>$ 14,853</v>
      </c>
      <c r="F3470">
        <v>932</v>
      </c>
    </row>
    <row r="3471" spans="1:6">
      <c r="A3471" t="s">
        <v>3471</v>
      </c>
      <c r="B3471" t="str">
        <f t="shared" si="123"/>
        <v>0.00192%</v>
      </c>
      <c r="C3471" t="s">
        <v>10</v>
      </c>
      <c r="D3471" t="s">
        <v>10</v>
      </c>
      <c r="E3471" t="str">
        <f>"$ 14,865"</f>
        <v>$ 14,865</v>
      </c>
      <c r="F3471">
        <v>148</v>
      </c>
    </row>
    <row r="3472" spans="1:6">
      <c r="A3472" t="s">
        <v>3472</v>
      </c>
      <c r="B3472" t="str">
        <f t="shared" si="123"/>
        <v>0.00192%</v>
      </c>
      <c r="C3472" t="s">
        <v>10</v>
      </c>
      <c r="D3472" t="s">
        <v>10</v>
      </c>
      <c r="E3472" t="str">
        <f>"$ 14,864"</f>
        <v>$ 14,864</v>
      </c>
      <c r="F3472">
        <v>709</v>
      </c>
    </row>
    <row r="3473" spans="1:6">
      <c r="A3473" t="s">
        <v>3473</v>
      </c>
      <c r="B3473" t="str">
        <f t="shared" si="123"/>
        <v>0.00192%</v>
      </c>
      <c r="C3473" t="s">
        <v>10</v>
      </c>
      <c r="D3473" t="s">
        <v>10</v>
      </c>
      <c r="E3473" t="str">
        <f>"$ 14,810"</f>
        <v>$ 14,810</v>
      </c>
      <c r="F3473" s="1">
        <v>5255</v>
      </c>
    </row>
    <row r="3474" spans="1:6">
      <c r="A3474" t="s">
        <v>3474</v>
      </c>
      <c r="B3474" t="str">
        <f t="shared" si="123"/>
        <v>0.00192%</v>
      </c>
      <c r="C3474" t="s">
        <v>10</v>
      </c>
      <c r="D3474" t="s">
        <v>10</v>
      </c>
      <c r="E3474" t="str">
        <f>"$ 14,856"</f>
        <v>$ 14,856</v>
      </c>
      <c r="F3474" s="1">
        <v>6447</v>
      </c>
    </row>
    <row r="3475" spans="1:6">
      <c r="A3475" t="s">
        <v>3475</v>
      </c>
      <c r="B3475" t="str">
        <f t="shared" si="123"/>
        <v>0.00192%</v>
      </c>
      <c r="C3475" t="s">
        <v>10</v>
      </c>
      <c r="D3475" t="s">
        <v>10</v>
      </c>
      <c r="E3475" t="str">
        <f>"$ 14,795"</f>
        <v>$ 14,795</v>
      </c>
      <c r="F3475" s="1">
        <v>1589</v>
      </c>
    </row>
    <row r="3476" spans="1:6">
      <c r="A3476" t="s">
        <v>3476</v>
      </c>
      <c r="B3476" t="str">
        <f t="shared" si="123"/>
        <v>0.00192%</v>
      </c>
      <c r="C3476" t="s">
        <v>10</v>
      </c>
      <c r="D3476" t="s">
        <v>10</v>
      </c>
      <c r="E3476" t="str">
        <f>"$ 14,804"</f>
        <v>$ 14,804</v>
      </c>
      <c r="F3476" s="1">
        <v>1546</v>
      </c>
    </row>
    <row r="3477" spans="1:6">
      <c r="A3477" t="s">
        <v>3477</v>
      </c>
      <c r="B3477" t="str">
        <f t="shared" si="123"/>
        <v>0.00192%</v>
      </c>
      <c r="C3477" t="s">
        <v>10</v>
      </c>
      <c r="D3477" t="s">
        <v>10</v>
      </c>
      <c r="E3477" t="str">
        <f>"$ 14,808"</f>
        <v>$ 14,808</v>
      </c>
      <c r="F3477">
        <v>783</v>
      </c>
    </row>
    <row r="3478" spans="1:6">
      <c r="A3478" t="s">
        <v>3478</v>
      </c>
      <c r="B3478" t="str">
        <f t="shared" si="123"/>
        <v>0.00192%</v>
      </c>
      <c r="C3478" t="s">
        <v>10</v>
      </c>
      <c r="D3478" t="s">
        <v>10</v>
      </c>
      <c r="E3478" t="str">
        <f>"$ 14,828"</f>
        <v>$ 14,828</v>
      </c>
      <c r="F3478">
        <v>188</v>
      </c>
    </row>
    <row r="3479" spans="1:6">
      <c r="A3479" t="s">
        <v>3479</v>
      </c>
      <c r="B3479" t="str">
        <f t="shared" ref="B3479:B3486" si="124">"0.00191%"</f>
        <v>0.00191%</v>
      </c>
      <c r="C3479" t="s">
        <v>10</v>
      </c>
      <c r="D3479" t="s">
        <v>10</v>
      </c>
      <c r="E3479" t="str">
        <f>"$ 14,764"</f>
        <v>$ 14,764</v>
      </c>
      <c r="F3479">
        <v>922</v>
      </c>
    </row>
    <row r="3480" spans="1:6">
      <c r="A3480" t="s">
        <v>3480</v>
      </c>
      <c r="B3480" t="str">
        <f t="shared" si="124"/>
        <v>0.00191%</v>
      </c>
      <c r="C3480" t="s">
        <v>10</v>
      </c>
      <c r="D3480" t="s">
        <v>10</v>
      </c>
      <c r="E3480" t="str">
        <f>"$ 14,718"</f>
        <v>$ 14,718</v>
      </c>
      <c r="F3480">
        <v>382</v>
      </c>
    </row>
    <row r="3481" spans="1:6">
      <c r="A3481" t="s">
        <v>3481</v>
      </c>
      <c r="B3481" t="str">
        <f t="shared" si="124"/>
        <v>0.00191%</v>
      </c>
      <c r="C3481" t="s">
        <v>10</v>
      </c>
      <c r="D3481" t="s">
        <v>10</v>
      </c>
      <c r="E3481" t="str">
        <f>"$ 14,731"</f>
        <v>$ 14,731</v>
      </c>
      <c r="F3481">
        <v>42</v>
      </c>
    </row>
    <row r="3482" spans="1:6">
      <c r="A3482" t="s">
        <v>3482</v>
      </c>
      <c r="B3482" t="str">
        <f t="shared" si="124"/>
        <v>0.00191%</v>
      </c>
      <c r="C3482" t="s">
        <v>10</v>
      </c>
      <c r="D3482" t="s">
        <v>10</v>
      </c>
      <c r="E3482" t="str">
        <f>"$ 14,743"</f>
        <v>$ 14,743</v>
      </c>
      <c r="F3482">
        <v>264</v>
      </c>
    </row>
    <row r="3483" spans="1:6">
      <c r="A3483" t="s">
        <v>3483</v>
      </c>
      <c r="B3483" t="str">
        <f t="shared" si="124"/>
        <v>0.00191%</v>
      </c>
      <c r="C3483" t="s">
        <v>10</v>
      </c>
      <c r="D3483" t="s">
        <v>10</v>
      </c>
      <c r="E3483" t="str">
        <f>"$ 14,739"</f>
        <v>$ 14,739</v>
      </c>
      <c r="F3483" s="1">
        <v>1334</v>
      </c>
    </row>
    <row r="3484" spans="1:6">
      <c r="A3484" t="s">
        <v>3484</v>
      </c>
      <c r="B3484" t="str">
        <f t="shared" si="124"/>
        <v>0.00191%</v>
      </c>
      <c r="C3484" t="s">
        <v>10</v>
      </c>
      <c r="D3484" t="s">
        <v>10</v>
      </c>
      <c r="E3484" t="str">
        <f>"$ 14,740"</f>
        <v>$ 14,740</v>
      </c>
      <c r="F3484">
        <v>157</v>
      </c>
    </row>
    <row r="3485" spans="1:6">
      <c r="A3485" t="s">
        <v>3485</v>
      </c>
      <c r="B3485" t="str">
        <f t="shared" si="124"/>
        <v>0.00191%</v>
      </c>
      <c r="C3485" t="s">
        <v>10</v>
      </c>
      <c r="D3485" t="s">
        <v>10</v>
      </c>
      <c r="E3485" t="str">
        <f>"$ 14,714"</f>
        <v>$ 14,714</v>
      </c>
      <c r="F3485">
        <v>300</v>
      </c>
    </row>
    <row r="3486" spans="1:6">
      <c r="A3486" t="s">
        <v>3486</v>
      </c>
      <c r="B3486" t="str">
        <f t="shared" si="124"/>
        <v>0.00191%</v>
      </c>
      <c r="C3486" t="s">
        <v>10</v>
      </c>
      <c r="D3486" t="s">
        <v>10</v>
      </c>
      <c r="E3486" t="str">
        <f>"$ 14,750"</f>
        <v>$ 14,750</v>
      </c>
      <c r="F3486">
        <v>615</v>
      </c>
    </row>
    <row r="3487" spans="1:6">
      <c r="A3487" t="s">
        <v>3487</v>
      </c>
      <c r="B3487" t="str">
        <f t="shared" ref="B3487:B3496" si="125">"0.00190%"</f>
        <v>0.00190%</v>
      </c>
      <c r="C3487" t="s">
        <v>10</v>
      </c>
      <c r="D3487" t="s">
        <v>10</v>
      </c>
      <c r="E3487" t="str">
        <f>"$ 14,679"</f>
        <v>$ 14,679</v>
      </c>
      <c r="F3487">
        <v>396</v>
      </c>
    </row>
    <row r="3488" spans="1:6">
      <c r="A3488" t="s">
        <v>3488</v>
      </c>
      <c r="B3488" t="str">
        <f t="shared" si="125"/>
        <v>0.00190%</v>
      </c>
      <c r="C3488" t="s">
        <v>10</v>
      </c>
      <c r="D3488" t="s">
        <v>10</v>
      </c>
      <c r="E3488" t="str">
        <f>"$ 14,637"</f>
        <v>$ 14,637</v>
      </c>
      <c r="F3488" s="1">
        <v>1355</v>
      </c>
    </row>
    <row r="3489" spans="1:6">
      <c r="A3489" t="s">
        <v>3489</v>
      </c>
      <c r="B3489" t="str">
        <f t="shared" si="125"/>
        <v>0.00190%</v>
      </c>
      <c r="C3489" t="s">
        <v>10</v>
      </c>
      <c r="D3489" t="s">
        <v>10</v>
      </c>
      <c r="E3489" t="str">
        <f>"$ 14,682"</f>
        <v>$ 14,682</v>
      </c>
      <c r="F3489">
        <v>973</v>
      </c>
    </row>
    <row r="3490" spans="1:6">
      <c r="A3490" t="s">
        <v>3490</v>
      </c>
      <c r="B3490" t="str">
        <f t="shared" si="125"/>
        <v>0.00190%</v>
      </c>
      <c r="C3490" t="s">
        <v>10</v>
      </c>
      <c r="D3490" t="s">
        <v>10</v>
      </c>
      <c r="E3490" t="str">
        <f>"$ 14,674"</f>
        <v>$ 14,674</v>
      </c>
      <c r="F3490">
        <v>72</v>
      </c>
    </row>
    <row r="3491" spans="1:6">
      <c r="A3491" t="s">
        <v>3491</v>
      </c>
      <c r="B3491" t="str">
        <f t="shared" si="125"/>
        <v>0.00190%</v>
      </c>
      <c r="C3491" t="s">
        <v>10</v>
      </c>
      <c r="D3491" t="s">
        <v>10</v>
      </c>
      <c r="E3491" t="str">
        <f>"$ 14,655"</f>
        <v>$ 14,655</v>
      </c>
      <c r="F3491">
        <v>396</v>
      </c>
    </row>
    <row r="3492" spans="1:6">
      <c r="A3492" t="s">
        <v>3492</v>
      </c>
      <c r="B3492" t="str">
        <f t="shared" si="125"/>
        <v>0.00190%</v>
      </c>
      <c r="C3492" t="s">
        <v>10</v>
      </c>
      <c r="D3492" t="s">
        <v>10</v>
      </c>
      <c r="E3492" t="str">
        <f>"$ 14,655"</f>
        <v>$ 14,655</v>
      </c>
      <c r="F3492">
        <v>790</v>
      </c>
    </row>
    <row r="3493" spans="1:6">
      <c r="A3493" t="s">
        <v>3493</v>
      </c>
      <c r="B3493" t="str">
        <f t="shared" si="125"/>
        <v>0.00190%</v>
      </c>
      <c r="C3493" t="s">
        <v>10</v>
      </c>
      <c r="D3493" t="s">
        <v>10</v>
      </c>
      <c r="E3493" t="str">
        <f>"$ 14,694"</f>
        <v>$ 14,694</v>
      </c>
      <c r="F3493" s="1">
        <v>2734</v>
      </c>
    </row>
    <row r="3494" spans="1:6">
      <c r="A3494" t="s">
        <v>3494</v>
      </c>
      <c r="B3494" t="str">
        <f t="shared" si="125"/>
        <v>0.00190%</v>
      </c>
      <c r="C3494" t="s">
        <v>10</v>
      </c>
      <c r="D3494" t="s">
        <v>10</v>
      </c>
      <c r="E3494" t="str">
        <f>"$ 14,647"</f>
        <v>$ 14,647</v>
      </c>
      <c r="F3494">
        <v>97</v>
      </c>
    </row>
    <row r="3495" spans="1:6">
      <c r="A3495" t="s">
        <v>3495</v>
      </c>
      <c r="B3495" t="str">
        <f t="shared" si="125"/>
        <v>0.00190%</v>
      </c>
      <c r="C3495" t="s">
        <v>10</v>
      </c>
      <c r="D3495" t="s">
        <v>10</v>
      </c>
      <c r="E3495" t="str">
        <f>"$ 14,651"</f>
        <v>$ 14,651</v>
      </c>
      <c r="F3495">
        <v>376</v>
      </c>
    </row>
    <row r="3496" spans="1:6">
      <c r="A3496" t="s">
        <v>3496</v>
      </c>
      <c r="B3496" t="str">
        <f t="shared" si="125"/>
        <v>0.00190%</v>
      </c>
      <c r="C3496" t="s">
        <v>10</v>
      </c>
      <c r="D3496" t="s">
        <v>10</v>
      </c>
      <c r="E3496" t="str">
        <f>"$ 14,657"</f>
        <v>$ 14,657</v>
      </c>
      <c r="F3496">
        <v>243</v>
      </c>
    </row>
    <row r="3497" spans="1:6">
      <c r="A3497" t="s">
        <v>3497</v>
      </c>
      <c r="B3497" t="str">
        <f t="shared" ref="B3497:B3504" si="126">"0.00189%"</f>
        <v>0.00189%</v>
      </c>
      <c r="C3497" t="s">
        <v>10</v>
      </c>
      <c r="D3497" t="s">
        <v>10</v>
      </c>
      <c r="E3497" t="str">
        <f>"$ 14,598"</f>
        <v>$ 14,598</v>
      </c>
      <c r="F3497" s="1">
        <v>1394</v>
      </c>
    </row>
    <row r="3498" spans="1:6">
      <c r="A3498" t="s">
        <v>3498</v>
      </c>
      <c r="B3498" t="str">
        <f t="shared" si="126"/>
        <v>0.00189%</v>
      </c>
      <c r="C3498" t="s">
        <v>10</v>
      </c>
      <c r="D3498" t="s">
        <v>10</v>
      </c>
      <c r="E3498" t="str">
        <f>"$ 14,590"</f>
        <v>$ 14,590</v>
      </c>
      <c r="F3498" s="1">
        <v>12866</v>
      </c>
    </row>
    <row r="3499" spans="1:6">
      <c r="A3499" t="s">
        <v>3499</v>
      </c>
      <c r="B3499" t="str">
        <f t="shared" si="126"/>
        <v>0.00189%</v>
      </c>
      <c r="C3499" t="s">
        <v>10</v>
      </c>
      <c r="D3499" t="s">
        <v>10</v>
      </c>
      <c r="E3499" t="str">
        <f>"$ 14,575"</f>
        <v>$ 14,575</v>
      </c>
      <c r="F3499" s="1">
        <v>1303</v>
      </c>
    </row>
    <row r="3500" spans="1:6">
      <c r="A3500" t="s">
        <v>3500</v>
      </c>
      <c r="B3500" t="str">
        <f t="shared" si="126"/>
        <v>0.00189%</v>
      </c>
      <c r="C3500" t="s">
        <v>10</v>
      </c>
      <c r="D3500" t="s">
        <v>10</v>
      </c>
      <c r="E3500" t="str">
        <f>"$ 14,583"</f>
        <v>$ 14,583</v>
      </c>
      <c r="F3500" s="1">
        <v>3676</v>
      </c>
    </row>
    <row r="3501" spans="1:6">
      <c r="A3501" t="s">
        <v>3501</v>
      </c>
      <c r="B3501" t="str">
        <f t="shared" si="126"/>
        <v>0.00189%</v>
      </c>
      <c r="C3501" t="s">
        <v>10</v>
      </c>
      <c r="D3501" t="s">
        <v>10</v>
      </c>
      <c r="E3501" t="str">
        <f>"$ 14,596"</f>
        <v>$ 14,596</v>
      </c>
      <c r="F3501" s="1">
        <v>2260</v>
      </c>
    </row>
    <row r="3502" spans="1:6">
      <c r="A3502" t="s">
        <v>3502</v>
      </c>
      <c r="B3502" t="str">
        <f t="shared" si="126"/>
        <v>0.00189%</v>
      </c>
      <c r="C3502" t="s">
        <v>10</v>
      </c>
      <c r="D3502" t="s">
        <v>10</v>
      </c>
      <c r="E3502" t="str">
        <f>"$ 14,615"</f>
        <v>$ 14,615</v>
      </c>
      <c r="F3502" s="1">
        <v>1212</v>
      </c>
    </row>
    <row r="3503" spans="1:6">
      <c r="A3503" t="s">
        <v>3503</v>
      </c>
      <c r="B3503" t="str">
        <f t="shared" si="126"/>
        <v>0.00189%</v>
      </c>
      <c r="C3503" t="s">
        <v>10</v>
      </c>
      <c r="D3503" t="s">
        <v>10</v>
      </c>
      <c r="E3503" t="str">
        <f>"$ 14,622"</f>
        <v>$ 14,622</v>
      </c>
      <c r="F3503">
        <v>229</v>
      </c>
    </row>
    <row r="3504" spans="1:6">
      <c r="A3504" t="s">
        <v>3504</v>
      </c>
      <c r="B3504" t="str">
        <f t="shared" si="126"/>
        <v>0.00189%</v>
      </c>
      <c r="C3504" t="s">
        <v>10</v>
      </c>
      <c r="D3504" t="s">
        <v>10</v>
      </c>
      <c r="E3504" t="str">
        <f>"$ 14,559"</f>
        <v>$ 14,559</v>
      </c>
      <c r="F3504">
        <v>278</v>
      </c>
    </row>
    <row r="3505" spans="1:6">
      <c r="A3505" t="s">
        <v>3505</v>
      </c>
      <c r="B3505" t="str">
        <f t="shared" ref="B3505:B3514" si="127">"0.00188%"</f>
        <v>0.00188%</v>
      </c>
      <c r="C3505" t="s">
        <v>10</v>
      </c>
      <c r="D3505" t="s">
        <v>10</v>
      </c>
      <c r="E3505" t="str">
        <f>"$ 14,536"</f>
        <v>$ 14,536</v>
      </c>
      <c r="F3505">
        <v>313</v>
      </c>
    </row>
    <row r="3506" spans="1:6">
      <c r="A3506" t="s">
        <v>3506</v>
      </c>
      <c r="B3506" t="str">
        <f t="shared" si="127"/>
        <v>0.00188%</v>
      </c>
      <c r="C3506" t="s">
        <v>10</v>
      </c>
      <c r="D3506" t="s">
        <v>10</v>
      </c>
      <c r="E3506" t="str">
        <f>"$ 14,482"</f>
        <v>$ 14,482</v>
      </c>
      <c r="F3506">
        <v>726</v>
      </c>
    </row>
    <row r="3507" spans="1:6">
      <c r="A3507" t="s">
        <v>3507</v>
      </c>
      <c r="B3507" t="str">
        <f t="shared" si="127"/>
        <v>0.00188%</v>
      </c>
      <c r="C3507" t="s">
        <v>10</v>
      </c>
      <c r="D3507" t="s">
        <v>10</v>
      </c>
      <c r="E3507" t="str">
        <f>"$ 14,523"</f>
        <v>$ 14,523</v>
      </c>
      <c r="F3507">
        <v>199</v>
      </c>
    </row>
    <row r="3508" spans="1:6">
      <c r="A3508" t="s">
        <v>3508</v>
      </c>
      <c r="B3508" t="str">
        <f t="shared" si="127"/>
        <v>0.00188%</v>
      </c>
      <c r="C3508" t="s">
        <v>10</v>
      </c>
      <c r="D3508" t="s">
        <v>10</v>
      </c>
      <c r="E3508" t="str">
        <f>"$ 14,545"</f>
        <v>$ 14,545</v>
      </c>
      <c r="F3508">
        <v>200</v>
      </c>
    </row>
    <row r="3509" spans="1:6">
      <c r="A3509" t="s">
        <v>3509</v>
      </c>
      <c r="B3509" t="str">
        <f t="shared" si="127"/>
        <v>0.00188%</v>
      </c>
      <c r="C3509" t="s">
        <v>10</v>
      </c>
      <c r="D3509" t="s">
        <v>10</v>
      </c>
      <c r="E3509" t="str">
        <f>"$ 14,494"</f>
        <v>$ 14,494</v>
      </c>
      <c r="F3509">
        <v>247</v>
      </c>
    </row>
    <row r="3510" spans="1:6">
      <c r="A3510" t="s">
        <v>3510</v>
      </c>
      <c r="B3510" t="str">
        <f t="shared" si="127"/>
        <v>0.00188%</v>
      </c>
      <c r="C3510" t="s">
        <v>10</v>
      </c>
      <c r="D3510" t="s">
        <v>10</v>
      </c>
      <c r="E3510" t="str">
        <f>"$ 14,488"</f>
        <v>$ 14,488</v>
      </c>
      <c r="F3510">
        <v>97</v>
      </c>
    </row>
    <row r="3511" spans="1:6">
      <c r="A3511" t="s">
        <v>3511</v>
      </c>
      <c r="B3511" t="str">
        <f t="shared" si="127"/>
        <v>0.00188%</v>
      </c>
      <c r="C3511" t="s">
        <v>10</v>
      </c>
      <c r="D3511" t="s">
        <v>10</v>
      </c>
      <c r="E3511" t="str">
        <f>"$ 14,524"</f>
        <v>$ 14,524</v>
      </c>
      <c r="F3511">
        <v>813</v>
      </c>
    </row>
    <row r="3512" spans="1:6">
      <c r="A3512" t="s">
        <v>3512</v>
      </c>
      <c r="B3512" t="str">
        <f t="shared" si="127"/>
        <v>0.00188%</v>
      </c>
      <c r="C3512" t="s">
        <v>10</v>
      </c>
      <c r="D3512" t="s">
        <v>10</v>
      </c>
      <c r="E3512" t="str">
        <f>"$ 14,529"</f>
        <v>$ 14,529</v>
      </c>
      <c r="F3512">
        <v>381</v>
      </c>
    </row>
    <row r="3513" spans="1:6">
      <c r="A3513" t="s">
        <v>3513</v>
      </c>
      <c r="B3513" t="str">
        <f t="shared" si="127"/>
        <v>0.00188%</v>
      </c>
      <c r="C3513" t="s">
        <v>10</v>
      </c>
      <c r="D3513" t="s">
        <v>10</v>
      </c>
      <c r="E3513" t="str">
        <f>"$ 14,508"</f>
        <v>$ 14,508</v>
      </c>
      <c r="F3513" s="1">
        <v>3899</v>
      </c>
    </row>
    <row r="3514" spans="1:6">
      <c r="A3514" t="s">
        <v>3514</v>
      </c>
      <c r="B3514" t="str">
        <f t="shared" si="127"/>
        <v>0.00188%</v>
      </c>
      <c r="C3514" t="s">
        <v>10</v>
      </c>
      <c r="D3514" t="s">
        <v>10</v>
      </c>
      <c r="E3514" t="str">
        <f>"$ 14,531"</f>
        <v>$ 14,531</v>
      </c>
      <c r="F3514" s="1">
        <v>1088</v>
      </c>
    </row>
    <row r="3515" spans="1:6">
      <c r="A3515" t="s">
        <v>3515</v>
      </c>
      <c r="B3515" t="str">
        <f t="shared" ref="B3515:B3524" si="128">"0.00187%"</f>
        <v>0.00187%</v>
      </c>
      <c r="C3515" t="s">
        <v>10</v>
      </c>
      <c r="D3515" t="s">
        <v>10</v>
      </c>
      <c r="E3515" t="str">
        <f>"$ 14,461"</f>
        <v>$ 14,461</v>
      </c>
      <c r="F3515">
        <v>154</v>
      </c>
    </row>
    <row r="3516" spans="1:6">
      <c r="A3516" t="s">
        <v>3516</v>
      </c>
      <c r="B3516" t="str">
        <f t="shared" si="128"/>
        <v>0.00187%</v>
      </c>
      <c r="C3516" t="s">
        <v>10</v>
      </c>
      <c r="D3516" t="s">
        <v>10</v>
      </c>
      <c r="E3516" t="str">
        <f>"$ 14,458"</f>
        <v>$ 14,458</v>
      </c>
      <c r="F3516">
        <v>306</v>
      </c>
    </row>
    <row r="3517" spans="1:6">
      <c r="A3517" t="s">
        <v>3517</v>
      </c>
      <c r="B3517" t="str">
        <f t="shared" si="128"/>
        <v>0.00187%</v>
      </c>
      <c r="C3517" t="s">
        <v>10</v>
      </c>
      <c r="D3517" t="s">
        <v>10</v>
      </c>
      <c r="E3517" t="str">
        <f>"$ 14,444"</f>
        <v>$ 14,444</v>
      </c>
      <c r="F3517" s="1">
        <v>2401</v>
      </c>
    </row>
    <row r="3518" spans="1:6">
      <c r="A3518" t="s">
        <v>3518</v>
      </c>
      <c r="B3518" t="str">
        <f t="shared" si="128"/>
        <v>0.00187%</v>
      </c>
      <c r="C3518" t="s">
        <v>10</v>
      </c>
      <c r="D3518" t="s">
        <v>10</v>
      </c>
      <c r="E3518" t="str">
        <f>"$ 14,474"</f>
        <v>$ 14,474</v>
      </c>
      <c r="F3518">
        <v>289</v>
      </c>
    </row>
    <row r="3519" spans="1:6">
      <c r="A3519" t="s">
        <v>3519</v>
      </c>
      <c r="B3519" t="str">
        <f t="shared" si="128"/>
        <v>0.00187%</v>
      </c>
      <c r="C3519" t="s">
        <v>10</v>
      </c>
      <c r="D3519" t="s">
        <v>10</v>
      </c>
      <c r="E3519" t="str">
        <f>"$ 14,469"</f>
        <v>$ 14,469</v>
      </c>
      <c r="F3519" s="1">
        <v>7487</v>
      </c>
    </row>
    <row r="3520" spans="1:6">
      <c r="A3520" t="s">
        <v>3520</v>
      </c>
      <c r="B3520" t="str">
        <f t="shared" si="128"/>
        <v>0.00187%</v>
      </c>
      <c r="C3520" t="s">
        <v>10</v>
      </c>
      <c r="D3520" t="s">
        <v>10</v>
      </c>
      <c r="E3520" t="str">
        <f>"$ 14,411"</f>
        <v>$ 14,411</v>
      </c>
      <c r="F3520">
        <v>329</v>
      </c>
    </row>
    <row r="3521" spans="1:6">
      <c r="A3521" t="s">
        <v>3521</v>
      </c>
      <c r="B3521" t="str">
        <f t="shared" si="128"/>
        <v>0.00187%</v>
      </c>
      <c r="C3521" t="s">
        <v>10</v>
      </c>
      <c r="D3521" t="s">
        <v>10</v>
      </c>
      <c r="E3521" t="str">
        <f>"$ 14,444"</f>
        <v>$ 14,444</v>
      </c>
      <c r="F3521">
        <v>203</v>
      </c>
    </row>
    <row r="3522" spans="1:6">
      <c r="A3522" t="s">
        <v>3522</v>
      </c>
      <c r="B3522" t="str">
        <f t="shared" si="128"/>
        <v>0.00187%</v>
      </c>
      <c r="C3522" t="s">
        <v>10</v>
      </c>
      <c r="D3522" t="s">
        <v>10</v>
      </c>
      <c r="E3522" t="str">
        <f>"$ 14,478"</f>
        <v>$ 14,478</v>
      </c>
      <c r="F3522">
        <v>761</v>
      </c>
    </row>
    <row r="3523" spans="1:6">
      <c r="A3523" t="s">
        <v>3523</v>
      </c>
      <c r="B3523" t="str">
        <f t="shared" si="128"/>
        <v>0.00187%</v>
      </c>
      <c r="C3523" t="s">
        <v>10</v>
      </c>
      <c r="D3523" t="s">
        <v>10</v>
      </c>
      <c r="E3523" t="str">
        <f>"$ 14,436"</f>
        <v>$ 14,436</v>
      </c>
      <c r="F3523">
        <v>422</v>
      </c>
    </row>
    <row r="3524" spans="1:6">
      <c r="A3524" t="s">
        <v>3524</v>
      </c>
      <c r="B3524" t="str">
        <f t="shared" si="128"/>
        <v>0.00187%</v>
      </c>
      <c r="C3524" t="s">
        <v>10</v>
      </c>
      <c r="D3524" t="s">
        <v>10</v>
      </c>
      <c r="E3524" t="str">
        <f>"$ 14,423"</f>
        <v>$ 14,423</v>
      </c>
      <c r="F3524">
        <v>289</v>
      </c>
    </row>
    <row r="3525" spans="1:6">
      <c r="A3525" t="s">
        <v>3525</v>
      </c>
      <c r="B3525" t="str">
        <f t="shared" ref="B3525:B3537" si="129">"0.00186%"</f>
        <v>0.00186%</v>
      </c>
      <c r="C3525" t="s">
        <v>10</v>
      </c>
      <c r="D3525" t="s">
        <v>10</v>
      </c>
      <c r="E3525" t="str">
        <f>"$ 14,395"</f>
        <v>$ 14,395</v>
      </c>
      <c r="F3525" s="1">
        <v>20894</v>
      </c>
    </row>
    <row r="3526" spans="1:6">
      <c r="A3526" t="s">
        <v>3526</v>
      </c>
      <c r="B3526" t="str">
        <f t="shared" si="129"/>
        <v>0.00186%</v>
      </c>
      <c r="C3526" t="s">
        <v>10</v>
      </c>
      <c r="D3526" t="s">
        <v>10</v>
      </c>
      <c r="E3526" t="str">
        <f>"$ 14,395"</f>
        <v>$ 14,395</v>
      </c>
      <c r="F3526" s="1">
        <v>18979</v>
      </c>
    </row>
    <row r="3527" spans="1:6">
      <c r="A3527" t="s">
        <v>3527</v>
      </c>
      <c r="B3527" t="str">
        <f t="shared" si="129"/>
        <v>0.00186%</v>
      </c>
      <c r="C3527" t="s">
        <v>10</v>
      </c>
      <c r="D3527" t="s">
        <v>10</v>
      </c>
      <c r="E3527" t="str">
        <f>"$ 14,341"</f>
        <v>$ 14,341</v>
      </c>
      <c r="F3527">
        <v>314</v>
      </c>
    </row>
    <row r="3528" spans="1:6">
      <c r="A3528" t="s">
        <v>3528</v>
      </c>
      <c r="B3528" t="str">
        <f t="shared" si="129"/>
        <v>0.00186%</v>
      </c>
      <c r="C3528" t="s">
        <v>10</v>
      </c>
      <c r="D3528" t="s">
        <v>10</v>
      </c>
      <c r="E3528" t="str">
        <f>"$ 14,355"</f>
        <v>$ 14,355</v>
      </c>
      <c r="F3528">
        <v>173</v>
      </c>
    </row>
    <row r="3529" spans="1:6">
      <c r="A3529" t="s">
        <v>3529</v>
      </c>
      <c r="B3529" t="str">
        <f t="shared" si="129"/>
        <v>0.00186%</v>
      </c>
      <c r="C3529" t="s">
        <v>10</v>
      </c>
      <c r="D3529" t="s">
        <v>10</v>
      </c>
      <c r="E3529" t="str">
        <f>"$ 14,398"</f>
        <v>$ 14,398</v>
      </c>
      <c r="F3529">
        <v>5</v>
      </c>
    </row>
    <row r="3530" spans="1:6">
      <c r="A3530" t="s">
        <v>3530</v>
      </c>
      <c r="B3530" t="str">
        <f t="shared" si="129"/>
        <v>0.00186%</v>
      </c>
      <c r="C3530" t="s">
        <v>10</v>
      </c>
      <c r="D3530" t="s">
        <v>10</v>
      </c>
      <c r="E3530" t="str">
        <f>"$ 14,366"</f>
        <v>$ 14,366</v>
      </c>
      <c r="F3530">
        <v>266</v>
      </c>
    </row>
    <row r="3531" spans="1:6">
      <c r="A3531" t="s">
        <v>3531</v>
      </c>
      <c r="B3531" t="str">
        <f t="shared" si="129"/>
        <v>0.00186%</v>
      </c>
      <c r="C3531" t="s">
        <v>10</v>
      </c>
      <c r="D3531" t="s">
        <v>10</v>
      </c>
      <c r="E3531" t="str">
        <f>"$ 14,345"</f>
        <v>$ 14,345</v>
      </c>
      <c r="F3531">
        <v>57</v>
      </c>
    </row>
    <row r="3532" spans="1:6">
      <c r="A3532" t="s">
        <v>3532</v>
      </c>
      <c r="B3532" t="str">
        <f t="shared" si="129"/>
        <v>0.00186%</v>
      </c>
      <c r="C3532" t="s">
        <v>10</v>
      </c>
      <c r="D3532" t="s">
        <v>10</v>
      </c>
      <c r="E3532" t="str">
        <f>"$ 14,378"</f>
        <v>$ 14,378</v>
      </c>
      <c r="F3532" s="1">
        <v>8677</v>
      </c>
    </row>
    <row r="3533" spans="1:6">
      <c r="A3533" t="s">
        <v>3533</v>
      </c>
      <c r="B3533" t="str">
        <f t="shared" si="129"/>
        <v>0.00186%</v>
      </c>
      <c r="C3533" t="s">
        <v>10</v>
      </c>
      <c r="D3533" t="s">
        <v>10</v>
      </c>
      <c r="E3533" t="str">
        <f>"$ 14,338"</f>
        <v>$ 14,338</v>
      </c>
      <c r="F3533" s="1">
        <v>7406</v>
      </c>
    </row>
    <row r="3534" spans="1:6">
      <c r="A3534" t="s">
        <v>3534</v>
      </c>
      <c r="B3534" t="str">
        <f t="shared" si="129"/>
        <v>0.00186%</v>
      </c>
      <c r="C3534" t="s">
        <v>10</v>
      </c>
      <c r="D3534" t="s">
        <v>10</v>
      </c>
      <c r="E3534" t="str">
        <f>"$ 14,392"</f>
        <v>$ 14,392</v>
      </c>
      <c r="F3534" s="1">
        <v>3935</v>
      </c>
    </row>
    <row r="3535" spans="1:6">
      <c r="A3535" t="s">
        <v>3535</v>
      </c>
      <c r="B3535" t="str">
        <f t="shared" si="129"/>
        <v>0.00186%</v>
      </c>
      <c r="C3535" t="s">
        <v>10</v>
      </c>
      <c r="D3535" t="s">
        <v>10</v>
      </c>
      <c r="E3535" t="str">
        <f>"$ 14,359"</f>
        <v>$ 14,359</v>
      </c>
      <c r="F3535">
        <v>60</v>
      </c>
    </row>
    <row r="3536" spans="1:6">
      <c r="A3536" t="s">
        <v>3536</v>
      </c>
      <c r="B3536" t="str">
        <f t="shared" si="129"/>
        <v>0.00186%</v>
      </c>
      <c r="C3536" t="s">
        <v>10</v>
      </c>
      <c r="D3536" t="s">
        <v>10</v>
      </c>
      <c r="E3536" t="str">
        <f>"$ 14,368"</f>
        <v>$ 14,368</v>
      </c>
      <c r="F3536" s="1">
        <v>8248</v>
      </c>
    </row>
    <row r="3537" spans="1:6">
      <c r="A3537" t="s">
        <v>3537</v>
      </c>
      <c r="B3537" t="str">
        <f t="shared" si="129"/>
        <v>0.00186%</v>
      </c>
      <c r="C3537" t="s">
        <v>10</v>
      </c>
      <c r="D3537" t="s">
        <v>10</v>
      </c>
      <c r="E3537" t="str">
        <f>"$ 14,388"</f>
        <v>$ 14,388</v>
      </c>
      <c r="F3537" s="1">
        <v>1505</v>
      </c>
    </row>
    <row r="3538" spans="1:6">
      <c r="A3538" t="s">
        <v>3538</v>
      </c>
      <c r="B3538" t="str">
        <f t="shared" ref="B3538:B3551" si="130">"0.00185%"</f>
        <v>0.00185%</v>
      </c>
      <c r="C3538" t="s">
        <v>10</v>
      </c>
      <c r="D3538" t="s">
        <v>10</v>
      </c>
      <c r="E3538" t="str">
        <f>"$ 14,263"</f>
        <v>$ 14,263</v>
      </c>
      <c r="F3538">
        <v>108</v>
      </c>
    </row>
    <row r="3539" spans="1:6">
      <c r="A3539" t="s">
        <v>3539</v>
      </c>
      <c r="B3539" t="str">
        <f t="shared" si="130"/>
        <v>0.00185%</v>
      </c>
      <c r="C3539" t="s">
        <v>10</v>
      </c>
      <c r="D3539" t="s">
        <v>10</v>
      </c>
      <c r="E3539" t="str">
        <f>"$ 14,298"</f>
        <v>$ 14,298</v>
      </c>
      <c r="F3539" s="1">
        <v>1553</v>
      </c>
    </row>
    <row r="3540" spans="1:6">
      <c r="A3540" t="s">
        <v>3540</v>
      </c>
      <c r="B3540" t="str">
        <f t="shared" si="130"/>
        <v>0.00185%</v>
      </c>
      <c r="C3540" t="s">
        <v>10</v>
      </c>
      <c r="D3540" t="s">
        <v>10</v>
      </c>
      <c r="E3540" t="str">
        <f>"$ 14,282"</f>
        <v>$ 14,282</v>
      </c>
      <c r="F3540">
        <v>957</v>
      </c>
    </row>
    <row r="3541" spans="1:6">
      <c r="A3541" t="s">
        <v>3541</v>
      </c>
      <c r="B3541" t="str">
        <f t="shared" si="130"/>
        <v>0.00185%</v>
      </c>
      <c r="C3541" t="s">
        <v>10</v>
      </c>
      <c r="D3541" t="s">
        <v>10</v>
      </c>
      <c r="E3541" t="str">
        <f>"$ 14,248"</f>
        <v>$ 14,248</v>
      </c>
      <c r="F3541" s="1">
        <v>2220</v>
      </c>
    </row>
    <row r="3542" spans="1:6">
      <c r="A3542" t="s">
        <v>3542</v>
      </c>
      <c r="B3542" t="str">
        <f t="shared" si="130"/>
        <v>0.00185%</v>
      </c>
      <c r="C3542" t="s">
        <v>10</v>
      </c>
      <c r="D3542" t="s">
        <v>10</v>
      </c>
      <c r="E3542" t="str">
        <f>"$ 14,267"</f>
        <v>$ 14,267</v>
      </c>
      <c r="F3542">
        <v>181</v>
      </c>
    </row>
    <row r="3543" spans="1:6">
      <c r="A3543" t="s">
        <v>3543</v>
      </c>
      <c r="B3543" t="str">
        <f t="shared" si="130"/>
        <v>0.00185%</v>
      </c>
      <c r="C3543" t="s">
        <v>10</v>
      </c>
      <c r="D3543" t="s">
        <v>10</v>
      </c>
      <c r="E3543" t="str">
        <f>"$ 14,251"</f>
        <v>$ 14,251</v>
      </c>
      <c r="F3543" s="1">
        <v>6522</v>
      </c>
    </row>
    <row r="3544" spans="1:6">
      <c r="A3544" t="s">
        <v>3544</v>
      </c>
      <c r="B3544" t="str">
        <f t="shared" si="130"/>
        <v>0.00185%</v>
      </c>
      <c r="C3544" t="s">
        <v>10</v>
      </c>
      <c r="D3544" t="s">
        <v>10</v>
      </c>
      <c r="E3544" t="str">
        <f>"$ 14,277"</f>
        <v>$ 14,277</v>
      </c>
      <c r="F3544" s="1">
        <v>1671</v>
      </c>
    </row>
    <row r="3545" spans="1:6">
      <c r="A3545" t="s">
        <v>3545</v>
      </c>
      <c r="B3545" t="str">
        <f t="shared" si="130"/>
        <v>0.00185%</v>
      </c>
      <c r="C3545" t="s">
        <v>10</v>
      </c>
      <c r="D3545" t="s">
        <v>10</v>
      </c>
      <c r="E3545" t="str">
        <f>"$ 14,299"</f>
        <v>$ 14,299</v>
      </c>
      <c r="F3545">
        <v>775</v>
      </c>
    </row>
    <row r="3546" spans="1:6">
      <c r="A3546" t="s">
        <v>3546</v>
      </c>
      <c r="B3546" t="str">
        <f t="shared" si="130"/>
        <v>0.00185%</v>
      </c>
      <c r="C3546" t="s">
        <v>10</v>
      </c>
      <c r="D3546" t="s">
        <v>10</v>
      </c>
      <c r="E3546" t="str">
        <f>"$ 14,255"</f>
        <v>$ 14,255</v>
      </c>
      <c r="F3546" s="1">
        <v>1918</v>
      </c>
    </row>
    <row r="3547" spans="1:6">
      <c r="A3547" t="s">
        <v>3547</v>
      </c>
      <c r="B3547" t="str">
        <f t="shared" si="130"/>
        <v>0.00185%</v>
      </c>
      <c r="C3547" t="s">
        <v>10</v>
      </c>
      <c r="D3547" t="s">
        <v>10</v>
      </c>
      <c r="E3547" t="str">
        <f>"$ 14,300"</f>
        <v>$ 14,300</v>
      </c>
      <c r="F3547">
        <v>534</v>
      </c>
    </row>
    <row r="3548" spans="1:6">
      <c r="A3548" t="s">
        <v>3548</v>
      </c>
      <c r="B3548" t="str">
        <f t="shared" si="130"/>
        <v>0.00185%</v>
      </c>
      <c r="C3548" t="s">
        <v>10</v>
      </c>
      <c r="D3548" t="s">
        <v>10</v>
      </c>
      <c r="E3548" t="str">
        <f>"$ 14,257"</f>
        <v>$ 14,257</v>
      </c>
      <c r="F3548" s="1">
        <v>3320</v>
      </c>
    </row>
    <row r="3549" spans="1:6">
      <c r="A3549" t="s">
        <v>3549</v>
      </c>
      <c r="B3549" t="str">
        <f t="shared" si="130"/>
        <v>0.00185%</v>
      </c>
      <c r="C3549" t="s">
        <v>10</v>
      </c>
      <c r="D3549" t="s">
        <v>10</v>
      </c>
      <c r="E3549" t="str">
        <f>"$ 14,259"</f>
        <v>$ 14,259</v>
      </c>
      <c r="F3549">
        <v>693</v>
      </c>
    </row>
    <row r="3550" spans="1:6">
      <c r="A3550" t="s">
        <v>3550</v>
      </c>
      <c r="B3550" t="str">
        <f t="shared" si="130"/>
        <v>0.00185%</v>
      </c>
      <c r="C3550" t="s">
        <v>10</v>
      </c>
      <c r="D3550" t="s">
        <v>10</v>
      </c>
      <c r="E3550" t="str">
        <f>"$ 14,299"</f>
        <v>$ 14,299</v>
      </c>
      <c r="F3550" s="1">
        <v>1778</v>
      </c>
    </row>
    <row r="3551" spans="1:6">
      <c r="A3551" t="s">
        <v>3551</v>
      </c>
      <c r="B3551" t="str">
        <f t="shared" si="130"/>
        <v>0.00185%</v>
      </c>
      <c r="C3551" t="s">
        <v>10</v>
      </c>
      <c r="D3551" t="s">
        <v>10</v>
      </c>
      <c r="E3551" t="str">
        <f>"$ 14,316"</f>
        <v>$ 14,316</v>
      </c>
      <c r="F3551" s="1">
        <v>1083</v>
      </c>
    </row>
    <row r="3552" spans="1:6">
      <c r="A3552" t="s">
        <v>3552</v>
      </c>
      <c r="B3552" t="str">
        <f t="shared" ref="B3552:B3561" si="131">"0.00184%"</f>
        <v>0.00184%</v>
      </c>
      <c r="C3552" t="s">
        <v>10</v>
      </c>
      <c r="D3552" t="s">
        <v>10</v>
      </c>
      <c r="E3552" t="str">
        <f>"$ 14,207"</f>
        <v>$ 14,207</v>
      </c>
      <c r="F3552">
        <v>414</v>
      </c>
    </row>
    <row r="3553" spans="1:6">
      <c r="A3553" t="s">
        <v>3553</v>
      </c>
      <c r="B3553" t="str">
        <f t="shared" si="131"/>
        <v>0.00184%</v>
      </c>
      <c r="C3553" t="s">
        <v>10</v>
      </c>
      <c r="D3553" t="s">
        <v>10</v>
      </c>
      <c r="E3553" t="str">
        <f>"$ 14,229"</f>
        <v>$ 14,229</v>
      </c>
      <c r="F3553" s="1">
        <v>10233</v>
      </c>
    </row>
    <row r="3554" spans="1:6">
      <c r="A3554" t="s">
        <v>3554</v>
      </c>
      <c r="B3554" t="str">
        <f t="shared" si="131"/>
        <v>0.00184%</v>
      </c>
      <c r="C3554" t="s">
        <v>10</v>
      </c>
      <c r="D3554" t="s">
        <v>10</v>
      </c>
      <c r="E3554" t="str">
        <f>"$ 14,246"</f>
        <v>$ 14,246</v>
      </c>
      <c r="F3554">
        <v>563</v>
      </c>
    </row>
    <row r="3555" spans="1:6">
      <c r="A3555" t="s">
        <v>3555</v>
      </c>
      <c r="B3555" t="str">
        <f t="shared" si="131"/>
        <v>0.00184%</v>
      </c>
      <c r="C3555" t="s">
        <v>10</v>
      </c>
      <c r="D3555" t="s">
        <v>10</v>
      </c>
      <c r="E3555" t="str">
        <f>"$ 14,192"</f>
        <v>$ 14,192</v>
      </c>
      <c r="F3555">
        <v>396</v>
      </c>
    </row>
    <row r="3556" spans="1:6">
      <c r="A3556" t="s">
        <v>3556</v>
      </c>
      <c r="B3556" t="str">
        <f t="shared" si="131"/>
        <v>0.00184%</v>
      </c>
      <c r="C3556" t="s">
        <v>10</v>
      </c>
      <c r="D3556" t="s">
        <v>10</v>
      </c>
      <c r="E3556" t="str">
        <f>"$ 14,238"</f>
        <v>$ 14,238</v>
      </c>
      <c r="F3556">
        <v>172</v>
      </c>
    </row>
    <row r="3557" spans="1:6">
      <c r="A3557" t="s">
        <v>3557</v>
      </c>
      <c r="B3557" t="str">
        <f t="shared" si="131"/>
        <v>0.00184%</v>
      </c>
      <c r="C3557" t="s">
        <v>10</v>
      </c>
      <c r="D3557" t="s">
        <v>10</v>
      </c>
      <c r="E3557" t="str">
        <f>"$ 14,184"</f>
        <v>$ 14,184</v>
      </c>
      <c r="F3557">
        <v>139</v>
      </c>
    </row>
    <row r="3558" spans="1:6">
      <c r="A3558" t="s">
        <v>3558</v>
      </c>
      <c r="B3558" t="str">
        <f t="shared" si="131"/>
        <v>0.00184%</v>
      </c>
      <c r="C3558" t="s">
        <v>10</v>
      </c>
      <c r="D3558" t="s">
        <v>10</v>
      </c>
      <c r="E3558" t="str">
        <f>"$ 14,196"</f>
        <v>$ 14,196</v>
      </c>
      <c r="F3558" s="1">
        <v>2183</v>
      </c>
    </row>
    <row r="3559" spans="1:6">
      <c r="A3559" t="s">
        <v>3559</v>
      </c>
      <c r="B3559" t="str">
        <f t="shared" si="131"/>
        <v>0.00184%</v>
      </c>
      <c r="C3559" t="s">
        <v>10</v>
      </c>
      <c r="D3559" t="s">
        <v>10</v>
      </c>
      <c r="E3559" t="str">
        <f>"$ 14,170"</f>
        <v>$ 14,170</v>
      </c>
      <c r="F3559">
        <v>348</v>
      </c>
    </row>
    <row r="3560" spans="1:6">
      <c r="A3560" t="s">
        <v>3560</v>
      </c>
      <c r="B3560" t="str">
        <f t="shared" si="131"/>
        <v>0.00184%</v>
      </c>
      <c r="C3560" t="s">
        <v>10</v>
      </c>
      <c r="D3560" t="s">
        <v>10</v>
      </c>
      <c r="E3560" t="str">
        <f>"$ 14,214"</f>
        <v>$ 14,214</v>
      </c>
      <c r="F3560" s="1">
        <v>18426</v>
      </c>
    </row>
    <row r="3561" spans="1:6">
      <c r="A3561" t="s">
        <v>3561</v>
      </c>
      <c r="B3561" t="str">
        <f t="shared" si="131"/>
        <v>0.00184%</v>
      </c>
      <c r="C3561" t="s">
        <v>10</v>
      </c>
      <c r="D3561" t="s">
        <v>10</v>
      </c>
      <c r="E3561" t="str">
        <f>"$ 14,191"</f>
        <v>$ 14,191</v>
      </c>
      <c r="F3561">
        <v>104</v>
      </c>
    </row>
    <row r="3562" spans="1:6">
      <c r="A3562" t="s">
        <v>3562</v>
      </c>
      <c r="B3562" t="str">
        <f t="shared" ref="B3562:B3569" si="132">"0.00183%"</f>
        <v>0.00183%</v>
      </c>
      <c r="C3562" t="s">
        <v>10</v>
      </c>
      <c r="D3562" t="s">
        <v>10</v>
      </c>
      <c r="E3562" t="str">
        <f>"$ 14,110"</f>
        <v>$ 14,110</v>
      </c>
      <c r="F3562">
        <v>290</v>
      </c>
    </row>
    <row r="3563" spans="1:6">
      <c r="A3563" t="s">
        <v>3563</v>
      </c>
      <c r="B3563" t="str">
        <f t="shared" si="132"/>
        <v>0.00183%</v>
      </c>
      <c r="C3563" t="s">
        <v>10</v>
      </c>
      <c r="D3563" t="s">
        <v>10</v>
      </c>
      <c r="E3563" t="str">
        <f>"$ 14,106"</f>
        <v>$ 14,106</v>
      </c>
      <c r="F3563">
        <v>340</v>
      </c>
    </row>
    <row r="3564" spans="1:6">
      <c r="A3564" t="s">
        <v>3564</v>
      </c>
      <c r="B3564" t="str">
        <f t="shared" si="132"/>
        <v>0.00183%</v>
      </c>
      <c r="C3564" t="s">
        <v>10</v>
      </c>
      <c r="D3564" t="s">
        <v>10</v>
      </c>
      <c r="E3564" t="str">
        <f>"$ 14,095"</f>
        <v>$ 14,095</v>
      </c>
      <c r="F3564">
        <v>185</v>
      </c>
    </row>
    <row r="3565" spans="1:6">
      <c r="A3565" t="s">
        <v>3565</v>
      </c>
      <c r="B3565" t="str">
        <f t="shared" si="132"/>
        <v>0.00183%</v>
      </c>
      <c r="C3565" t="s">
        <v>10</v>
      </c>
      <c r="D3565" t="s">
        <v>10</v>
      </c>
      <c r="E3565" t="str">
        <f>"$ 14,155"</f>
        <v>$ 14,155</v>
      </c>
      <c r="F3565">
        <v>250</v>
      </c>
    </row>
    <row r="3566" spans="1:6">
      <c r="A3566" t="s">
        <v>3566</v>
      </c>
      <c r="B3566" t="str">
        <f t="shared" si="132"/>
        <v>0.00183%</v>
      </c>
      <c r="C3566" t="s">
        <v>10</v>
      </c>
      <c r="D3566" t="s">
        <v>10</v>
      </c>
      <c r="E3566" t="str">
        <f>"$ 14,109"</f>
        <v>$ 14,109</v>
      </c>
      <c r="F3566" s="1">
        <v>1089</v>
      </c>
    </row>
    <row r="3567" spans="1:6">
      <c r="A3567" t="s">
        <v>3567</v>
      </c>
      <c r="B3567" t="str">
        <f t="shared" si="132"/>
        <v>0.00183%</v>
      </c>
      <c r="C3567" t="s">
        <v>10</v>
      </c>
      <c r="D3567" t="s">
        <v>10</v>
      </c>
      <c r="E3567" t="str">
        <f>"$ 14,095"</f>
        <v>$ 14,095</v>
      </c>
      <c r="F3567">
        <v>228</v>
      </c>
    </row>
    <row r="3568" spans="1:6">
      <c r="A3568" t="s">
        <v>3568</v>
      </c>
      <c r="B3568" t="str">
        <f t="shared" si="132"/>
        <v>0.00183%</v>
      </c>
      <c r="C3568" t="s">
        <v>10</v>
      </c>
      <c r="D3568" t="s">
        <v>10</v>
      </c>
      <c r="E3568" t="str">
        <f>"$ 14,145"</f>
        <v>$ 14,145</v>
      </c>
      <c r="F3568">
        <v>480</v>
      </c>
    </row>
    <row r="3569" spans="1:6">
      <c r="A3569" t="s">
        <v>3569</v>
      </c>
      <c r="B3569" t="str">
        <f t="shared" si="132"/>
        <v>0.00183%</v>
      </c>
      <c r="C3569" t="s">
        <v>10</v>
      </c>
      <c r="D3569" t="s">
        <v>10</v>
      </c>
      <c r="E3569" t="str">
        <f>"$ 14,105"</f>
        <v>$ 14,105</v>
      </c>
      <c r="F3569">
        <v>391</v>
      </c>
    </row>
    <row r="3570" spans="1:6">
      <c r="A3570" t="s">
        <v>3570</v>
      </c>
      <c r="B3570" t="str">
        <f t="shared" ref="B3570:B3580" si="133">"0.00182%"</f>
        <v>0.00182%</v>
      </c>
      <c r="C3570" t="s">
        <v>10</v>
      </c>
      <c r="D3570" t="s">
        <v>10</v>
      </c>
      <c r="E3570" t="str">
        <f>"$ 14,053"</f>
        <v>$ 14,053</v>
      </c>
      <c r="F3570" s="1">
        <v>1706</v>
      </c>
    </row>
    <row r="3571" spans="1:6">
      <c r="A3571" t="s">
        <v>3571</v>
      </c>
      <c r="B3571" t="str">
        <f t="shared" si="133"/>
        <v>0.00182%</v>
      </c>
      <c r="C3571" t="s">
        <v>10</v>
      </c>
      <c r="D3571" t="s">
        <v>10</v>
      </c>
      <c r="E3571" t="str">
        <f>"$ 14,048"</f>
        <v>$ 14,048</v>
      </c>
      <c r="F3571">
        <v>977</v>
      </c>
    </row>
    <row r="3572" spans="1:6">
      <c r="A3572" t="s">
        <v>3572</v>
      </c>
      <c r="B3572" t="str">
        <f t="shared" si="133"/>
        <v>0.00182%</v>
      </c>
      <c r="C3572" t="s">
        <v>10</v>
      </c>
      <c r="D3572" t="s">
        <v>10</v>
      </c>
      <c r="E3572" t="str">
        <f>"$ 14,082"</f>
        <v>$ 14,082</v>
      </c>
      <c r="F3572">
        <v>313</v>
      </c>
    </row>
    <row r="3573" spans="1:6">
      <c r="A3573" t="s">
        <v>3573</v>
      </c>
      <c r="B3573" t="str">
        <f t="shared" si="133"/>
        <v>0.00182%</v>
      </c>
      <c r="C3573" t="s">
        <v>10</v>
      </c>
      <c r="D3573" t="s">
        <v>10</v>
      </c>
      <c r="E3573" t="str">
        <f>"$ 14,056"</f>
        <v>$ 14,056</v>
      </c>
      <c r="F3573">
        <v>445</v>
      </c>
    </row>
    <row r="3574" spans="1:6">
      <c r="A3574" t="s">
        <v>3574</v>
      </c>
      <c r="B3574" t="str">
        <f t="shared" si="133"/>
        <v>0.00182%</v>
      </c>
      <c r="C3574" t="s">
        <v>10</v>
      </c>
      <c r="D3574" t="s">
        <v>10</v>
      </c>
      <c r="E3574" t="str">
        <f>"$ 14,058"</f>
        <v>$ 14,058</v>
      </c>
      <c r="F3574">
        <v>984</v>
      </c>
    </row>
    <row r="3575" spans="1:6">
      <c r="A3575" t="s">
        <v>3575</v>
      </c>
      <c r="B3575" t="str">
        <f t="shared" si="133"/>
        <v>0.00182%</v>
      </c>
      <c r="C3575" t="s">
        <v>10</v>
      </c>
      <c r="D3575" t="s">
        <v>10</v>
      </c>
      <c r="E3575" t="str">
        <f>"$ 14,038"</f>
        <v>$ 14,038</v>
      </c>
      <c r="F3575">
        <v>287</v>
      </c>
    </row>
    <row r="3576" spans="1:6">
      <c r="A3576" t="s">
        <v>3576</v>
      </c>
      <c r="B3576" t="str">
        <f t="shared" si="133"/>
        <v>0.00182%</v>
      </c>
      <c r="C3576" t="s">
        <v>10</v>
      </c>
      <c r="D3576" t="s">
        <v>10</v>
      </c>
      <c r="E3576" t="str">
        <f>"$ 14,034"</f>
        <v>$ 14,034</v>
      </c>
      <c r="F3576">
        <v>264</v>
      </c>
    </row>
    <row r="3577" spans="1:6">
      <c r="A3577" t="s">
        <v>3577</v>
      </c>
      <c r="B3577" t="str">
        <f t="shared" si="133"/>
        <v>0.00182%</v>
      </c>
      <c r="C3577" t="s">
        <v>10</v>
      </c>
      <c r="D3577" t="s">
        <v>10</v>
      </c>
      <c r="E3577" t="str">
        <f>"$ 14,063"</f>
        <v>$ 14,063</v>
      </c>
      <c r="F3577" s="1">
        <v>7869</v>
      </c>
    </row>
    <row r="3578" spans="1:6">
      <c r="A3578" t="s">
        <v>3578</v>
      </c>
      <c r="B3578" t="str">
        <f t="shared" si="133"/>
        <v>0.00182%</v>
      </c>
      <c r="C3578" t="s">
        <v>10</v>
      </c>
      <c r="D3578" t="s">
        <v>10</v>
      </c>
      <c r="E3578" t="str">
        <f>"$ 14,022"</f>
        <v>$ 14,022</v>
      </c>
      <c r="F3578">
        <v>357</v>
      </c>
    </row>
    <row r="3579" spans="1:6">
      <c r="A3579" t="s">
        <v>3579</v>
      </c>
      <c r="B3579" t="str">
        <f t="shared" si="133"/>
        <v>0.00182%</v>
      </c>
      <c r="C3579" t="s">
        <v>10</v>
      </c>
      <c r="D3579" t="s">
        <v>10</v>
      </c>
      <c r="E3579" t="str">
        <f>"$ 14,030"</f>
        <v>$ 14,030</v>
      </c>
      <c r="F3579">
        <v>231</v>
      </c>
    </row>
    <row r="3580" spans="1:6">
      <c r="A3580" t="s">
        <v>3580</v>
      </c>
      <c r="B3580" t="str">
        <f t="shared" si="133"/>
        <v>0.00182%</v>
      </c>
      <c r="C3580" t="s">
        <v>10</v>
      </c>
      <c r="D3580" t="s">
        <v>10</v>
      </c>
      <c r="E3580" t="str">
        <f>"$ 14,052"</f>
        <v>$ 14,052</v>
      </c>
      <c r="F3580">
        <v>726</v>
      </c>
    </row>
    <row r="3581" spans="1:6">
      <c r="A3581" t="s">
        <v>3581</v>
      </c>
      <c r="B3581" t="str">
        <f>"0.00181%"</f>
        <v>0.00181%</v>
      </c>
      <c r="C3581" t="s">
        <v>10</v>
      </c>
      <c r="D3581" t="s">
        <v>10</v>
      </c>
      <c r="E3581" t="str">
        <f>"$ 13,968"</f>
        <v>$ 13,968</v>
      </c>
      <c r="F3581" s="1">
        <v>1122</v>
      </c>
    </row>
    <row r="3582" spans="1:6">
      <c r="A3582" t="s">
        <v>3582</v>
      </c>
      <c r="B3582" t="str">
        <f>"0.00181%"</f>
        <v>0.00181%</v>
      </c>
      <c r="C3582" t="s">
        <v>10</v>
      </c>
      <c r="D3582" t="s">
        <v>10</v>
      </c>
      <c r="E3582" t="str">
        <f>"$ 14,012"</f>
        <v>$ 14,012</v>
      </c>
      <c r="F3582">
        <v>831</v>
      </c>
    </row>
    <row r="3583" spans="1:6">
      <c r="A3583" t="s">
        <v>3583</v>
      </c>
      <c r="B3583" t="str">
        <f>"0.00181%"</f>
        <v>0.00181%</v>
      </c>
      <c r="C3583" t="s">
        <v>10</v>
      </c>
      <c r="D3583" t="s">
        <v>10</v>
      </c>
      <c r="E3583" t="str">
        <f>"$ 14,012"</f>
        <v>$ 14,012</v>
      </c>
      <c r="F3583">
        <v>973</v>
      </c>
    </row>
    <row r="3584" spans="1:6">
      <c r="A3584" t="s">
        <v>3584</v>
      </c>
      <c r="B3584" t="str">
        <f>"0.00181%"</f>
        <v>0.00181%</v>
      </c>
      <c r="C3584" t="s">
        <v>10</v>
      </c>
      <c r="D3584" t="s">
        <v>10</v>
      </c>
      <c r="E3584" t="str">
        <f>"$ 13,993"</f>
        <v>$ 13,993</v>
      </c>
      <c r="F3584" s="1">
        <v>4303</v>
      </c>
    </row>
    <row r="3585" spans="1:6">
      <c r="A3585" t="s">
        <v>3585</v>
      </c>
      <c r="B3585" t="str">
        <f>"0.00181%"</f>
        <v>0.00181%</v>
      </c>
      <c r="C3585" t="s">
        <v>10</v>
      </c>
      <c r="D3585" t="s">
        <v>10</v>
      </c>
      <c r="E3585" t="str">
        <f>"$ 13,995"</f>
        <v>$ 13,995</v>
      </c>
      <c r="F3585">
        <v>807</v>
      </c>
    </row>
    <row r="3586" spans="1:6">
      <c r="A3586" t="s">
        <v>3586</v>
      </c>
      <c r="B3586" t="str">
        <f t="shared" ref="B3586:B3599" si="134">"0.00180%"</f>
        <v>0.00180%</v>
      </c>
      <c r="C3586" t="s">
        <v>10</v>
      </c>
      <c r="D3586" t="s">
        <v>10</v>
      </c>
      <c r="E3586" t="str">
        <f>"$ 13,914"</f>
        <v>$ 13,914</v>
      </c>
      <c r="F3586" s="1">
        <v>1227</v>
      </c>
    </row>
    <row r="3587" spans="1:6">
      <c r="A3587" t="s">
        <v>3587</v>
      </c>
      <c r="B3587" t="str">
        <f t="shared" si="134"/>
        <v>0.00180%</v>
      </c>
      <c r="C3587" t="s">
        <v>10</v>
      </c>
      <c r="D3587" t="s">
        <v>10</v>
      </c>
      <c r="E3587" t="str">
        <f>"$ 13,915"</f>
        <v>$ 13,915</v>
      </c>
      <c r="F3587" s="1">
        <v>1230</v>
      </c>
    </row>
    <row r="3588" spans="1:6">
      <c r="A3588" t="s">
        <v>3588</v>
      </c>
      <c r="B3588" t="str">
        <f t="shared" si="134"/>
        <v>0.00180%</v>
      </c>
      <c r="C3588" t="s">
        <v>10</v>
      </c>
      <c r="D3588" t="s">
        <v>10</v>
      </c>
      <c r="E3588" t="str">
        <f>"$ 13,914"</f>
        <v>$ 13,914</v>
      </c>
      <c r="F3588">
        <v>297</v>
      </c>
    </row>
    <row r="3589" spans="1:6">
      <c r="A3589" t="s">
        <v>3589</v>
      </c>
      <c r="B3589" t="str">
        <f t="shared" si="134"/>
        <v>0.00180%</v>
      </c>
      <c r="C3589" t="s">
        <v>10</v>
      </c>
      <c r="D3589" t="s">
        <v>10</v>
      </c>
      <c r="E3589" t="str">
        <f>"$ 13,876"</f>
        <v>$ 13,876</v>
      </c>
      <c r="F3589" s="1">
        <v>10385</v>
      </c>
    </row>
    <row r="3590" spans="1:6">
      <c r="A3590" t="s">
        <v>3590</v>
      </c>
      <c r="B3590" t="str">
        <f t="shared" si="134"/>
        <v>0.00180%</v>
      </c>
      <c r="C3590" t="s">
        <v>10</v>
      </c>
      <c r="D3590" t="s">
        <v>10</v>
      </c>
      <c r="E3590" t="str">
        <f>"$ 13,930"</f>
        <v>$ 13,930</v>
      </c>
      <c r="F3590">
        <v>161</v>
      </c>
    </row>
    <row r="3591" spans="1:6">
      <c r="A3591" t="s">
        <v>3591</v>
      </c>
      <c r="B3591" t="str">
        <f t="shared" si="134"/>
        <v>0.00180%</v>
      </c>
      <c r="C3591" t="s">
        <v>10</v>
      </c>
      <c r="D3591" t="s">
        <v>10</v>
      </c>
      <c r="E3591" t="str">
        <f>"$ 13,887"</f>
        <v>$ 13,887</v>
      </c>
      <c r="F3591">
        <v>71</v>
      </c>
    </row>
    <row r="3592" spans="1:6">
      <c r="A3592" t="s">
        <v>3592</v>
      </c>
      <c r="B3592" t="str">
        <f t="shared" si="134"/>
        <v>0.00180%</v>
      </c>
      <c r="C3592" t="s">
        <v>10</v>
      </c>
      <c r="D3592" t="s">
        <v>10</v>
      </c>
      <c r="E3592" t="str">
        <f>"$ 13,930"</f>
        <v>$ 13,930</v>
      </c>
      <c r="F3592">
        <v>592</v>
      </c>
    </row>
    <row r="3593" spans="1:6">
      <c r="A3593" t="s">
        <v>3593</v>
      </c>
      <c r="B3593" t="str">
        <f t="shared" si="134"/>
        <v>0.00180%</v>
      </c>
      <c r="C3593" t="s">
        <v>10</v>
      </c>
      <c r="D3593" t="s">
        <v>10</v>
      </c>
      <c r="E3593" t="str">
        <f>"$ 13,936"</f>
        <v>$ 13,936</v>
      </c>
      <c r="F3593" s="1">
        <v>3764</v>
      </c>
    </row>
    <row r="3594" spans="1:6">
      <c r="A3594" t="s">
        <v>3594</v>
      </c>
      <c r="B3594" t="str">
        <f t="shared" si="134"/>
        <v>0.00180%</v>
      </c>
      <c r="C3594" t="s">
        <v>10</v>
      </c>
      <c r="D3594" t="s">
        <v>10</v>
      </c>
      <c r="E3594" t="str">
        <f>"$ 13,926"</f>
        <v>$ 13,926</v>
      </c>
      <c r="F3594" s="1">
        <v>2182</v>
      </c>
    </row>
    <row r="3595" spans="1:6">
      <c r="A3595" t="s">
        <v>3595</v>
      </c>
      <c r="B3595" t="str">
        <f t="shared" si="134"/>
        <v>0.00180%</v>
      </c>
      <c r="C3595" t="s">
        <v>10</v>
      </c>
      <c r="D3595" t="s">
        <v>10</v>
      </c>
      <c r="E3595" t="str">
        <f>"$ 13,872"</f>
        <v>$ 13,872</v>
      </c>
      <c r="F3595" s="1">
        <v>46619</v>
      </c>
    </row>
    <row r="3596" spans="1:6">
      <c r="A3596" t="s">
        <v>3596</v>
      </c>
      <c r="B3596" t="str">
        <f t="shared" si="134"/>
        <v>0.00180%</v>
      </c>
      <c r="C3596" t="s">
        <v>10</v>
      </c>
      <c r="D3596" t="s">
        <v>10</v>
      </c>
      <c r="E3596" t="str">
        <f>"$ 13,867"</f>
        <v>$ 13,867</v>
      </c>
      <c r="F3596">
        <v>210</v>
      </c>
    </row>
    <row r="3597" spans="1:6">
      <c r="A3597" t="s">
        <v>3597</v>
      </c>
      <c r="B3597" t="str">
        <f t="shared" si="134"/>
        <v>0.00180%</v>
      </c>
      <c r="C3597" t="s">
        <v>10</v>
      </c>
      <c r="D3597" t="s">
        <v>10</v>
      </c>
      <c r="E3597" t="str">
        <f>"$ 13,894"</f>
        <v>$ 13,894</v>
      </c>
      <c r="F3597" s="1">
        <v>3774</v>
      </c>
    </row>
    <row r="3598" spans="1:6">
      <c r="A3598" t="s">
        <v>3598</v>
      </c>
      <c r="B3598" t="str">
        <f t="shared" si="134"/>
        <v>0.00180%</v>
      </c>
      <c r="C3598" t="s">
        <v>10</v>
      </c>
      <c r="D3598" t="s">
        <v>10</v>
      </c>
      <c r="E3598" t="str">
        <f>"$ 13,907"</f>
        <v>$ 13,907</v>
      </c>
      <c r="F3598" s="1">
        <v>1801</v>
      </c>
    </row>
    <row r="3599" spans="1:6">
      <c r="A3599" t="s">
        <v>3599</v>
      </c>
      <c r="B3599" t="str">
        <f t="shared" si="134"/>
        <v>0.00180%</v>
      </c>
      <c r="C3599" t="s">
        <v>10</v>
      </c>
      <c r="D3599" t="s">
        <v>10</v>
      </c>
      <c r="E3599" t="str">
        <f>"$ 13,919"</f>
        <v>$ 13,919</v>
      </c>
      <c r="F3599">
        <v>649</v>
      </c>
    </row>
    <row r="3600" spans="1:6">
      <c r="A3600" t="s">
        <v>3600</v>
      </c>
      <c r="B3600" t="str">
        <f t="shared" ref="B3600:B3607" si="135">"0.00179%"</f>
        <v>0.00179%</v>
      </c>
      <c r="C3600" t="s">
        <v>10</v>
      </c>
      <c r="D3600" t="s">
        <v>10</v>
      </c>
      <c r="E3600" t="str">
        <f>"$ 13,838"</f>
        <v>$ 13,838</v>
      </c>
      <c r="F3600">
        <v>643</v>
      </c>
    </row>
    <row r="3601" spans="1:6">
      <c r="A3601" t="s">
        <v>3601</v>
      </c>
      <c r="B3601" t="str">
        <f t="shared" si="135"/>
        <v>0.00179%</v>
      </c>
      <c r="C3601" t="s">
        <v>10</v>
      </c>
      <c r="D3601" t="s">
        <v>10</v>
      </c>
      <c r="E3601" t="str">
        <f>"$ 13,848"</f>
        <v>$ 13,848</v>
      </c>
      <c r="F3601">
        <v>397</v>
      </c>
    </row>
    <row r="3602" spans="1:6">
      <c r="A3602" t="s">
        <v>3602</v>
      </c>
      <c r="B3602" t="str">
        <f t="shared" si="135"/>
        <v>0.00179%</v>
      </c>
      <c r="C3602" t="s">
        <v>10</v>
      </c>
      <c r="D3602" t="s">
        <v>10</v>
      </c>
      <c r="E3602" t="str">
        <f>"$ 13,806"</f>
        <v>$ 13,806</v>
      </c>
      <c r="F3602" s="1">
        <v>1710</v>
      </c>
    </row>
    <row r="3603" spans="1:6">
      <c r="A3603" t="s">
        <v>3603</v>
      </c>
      <c r="B3603" t="str">
        <f t="shared" si="135"/>
        <v>0.00179%</v>
      </c>
      <c r="C3603" t="s">
        <v>10</v>
      </c>
      <c r="D3603" t="s">
        <v>10</v>
      </c>
      <c r="E3603" t="str">
        <f>"$ 13,850"</f>
        <v>$ 13,850</v>
      </c>
      <c r="F3603">
        <v>749</v>
      </c>
    </row>
    <row r="3604" spans="1:6">
      <c r="A3604" t="s">
        <v>3604</v>
      </c>
      <c r="B3604" t="str">
        <f t="shared" si="135"/>
        <v>0.00179%</v>
      </c>
      <c r="C3604" t="s">
        <v>10</v>
      </c>
      <c r="D3604" t="s">
        <v>10</v>
      </c>
      <c r="E3604" t="str">
        <f>"$ 13,845"</f>
        <v>$ 13,845</v>
      </c>
      <c r="F3604" s="1">
        <v>4288</v>
      </c>
    </row>
    <row r="3605" spans="1:6">
      <c r="A3605" t="s">
        <v>3605</v>
      </c>
      <c r="B3605" t="str">
        <f t="shared" si="135"/>
        <v>0.00179%</v>
      </c>
      <c r="C3605" t="s">
        <v>10</v>
      </c>
      <c r="D3605" t="s">
        <v>10</v>
      </c>
      <c r="E3605" t="str">
        <f>"$ 13,808"</f>
        <v>$ 13,808</v>
      </c>
      <c r="F3605">
        <v>352</v>
      </c>
    </row>
    <row r="3606" spans="1:6">
      <c r="A3606" t="s">
        <v>3606</v>
      </c>
      <c r="B3606" t="str">
        <f t="shared" si="135"/>
        <v>0.00179%</v>
      </c>
      <c r="C3606" t="s">
        <v>10</v>
      </c>
      <c r="D3606" t="s">
        <v>10</v>
      </c>
      <c r="E3606" t="str">
        <f>"$ 13,855"</f>
        <v>$ 13,855</v>
      </c>
      <c r="F3606" s="1">
        <v>1915</v>
      </c>
    </row>
    <row r="3607" spans="1:6">
      <c r="A3607" t="s">
        <v>3607</v>
      </c>
      <c r="B3607" t="str">
        <f t="shared" si="135"/>
        <v>0.00179%</v>
      </c>
      <c r="C3607" t="s">
        <v>10</v>
      </c>
      <c r="D3607" t="s">
        <v>10</v>
      </c>
      <c r="E3607" t="str">
        <f>"$ 13,798"</f>
        <v>$ 13,798</v>
      </c>
      <c r="F3607">
        <v>201</v>
      </c>
    </row>
    <row r="3608" spans="1:6">
      <c r="A3608" t="s">
        <v>3608</v>
      </c>
      <c r="B3608" t="str">
        <f t="shared" ref="B3608:B3622" si="136">"0.00178%"</f>
        <v>0.00178%</v>
      </c>
      <c r="C3608" t="s">
        <v>10</v>
      </c>
      <c r="D3608" t="s">
        <v>10</v>
      </c>
      <c r="E3608" t="str">
        <f>"$ 13,780"</f>
        <v>$ 13,780</v>
      </c>
      <c r="F3608" s="1">
        <v>17980</v>
      </c>
    </row>
    <row r="3609" spans="1:6">
      <c r="A3609" t="s">
        <v>3609</v>
      </c>
      <c r="B3609" t="str">
        <f t="shared" si="136"/>
        <v>0.00178%</v>
      </c>
      <c r="C3609" t="s">
        <v>10</v>
      </c>
      <c r="D3609" t="s">
        <v>10</v>
      </c>
      <c r="E3609" t="str">
        <f>"$ 13,723"</f>
        <v>$ 13,723</v>
      </c>
      <c r="F3609">
        <v>130</v>
      </c>
    </row>
    <row r="3610" spans="1:6">
      <c r="A3610" t="s">
        <v>3610</v>
      </c>
      <c r="B3610" t="str">
        <f t="shared" si="136"/>
        <v>0.00178%</v>
      </c>
      <c r="C3610" t="s">
        <v>10</v>
      </c>
      <c r="D3610" t="s">
        <v>10</v>
      </c>
      <c r="E3610" t="str">
        <f>"$ 13,728"</f>
        <v>$ 13,728</v>
      </c>
      <c r="F3610">
        <v>695</v>
      </c>
    </row>
    <row r="3611" spans="1:6">
      <c r="A3611" t="s">
        <v>3611</v>
      </c>
      <c r="B3611" t="str">
        <f t="shared" si="136"/>
        <v>0.00178%</v>
      </c>
      <c r="C3611" t="s">
        <v>10</v>
      </c>
      <c r="D3611" t="s">
        <v>10</v>
      </c>
      <c r="E3611" t="str">
        <f>"$ 13,738"</f>
        <v>$ 13,738</v>
      </c>
      <c r="F3611">
        <v>754</v>
      </c>
    </row>
    <row r="3612" spans="1:6">
      <c r="A3612" t="s">
        <v>3612</v>
      </c>
      <c r="B3612" t="str">
        <f t="shared" si="136"/>
        <v>0.00178%</v>
      </c>
      <c r="C3612" t="s">
        <v>10</v>
      </c>
      <c r="D3612" t="s">
        <v>10</v>
      </c>
      <c r="E3612" t="str">
        <f>"$ 13,749"</f>
        <v>$ 13,749</v>
      </c>
      <c r="F3612" s="1">
        <v>8432</v>
      </c>
    </row>
    <row r="3613" spans="1:6">
      <c r="A3613" t="s">
        <v>3613</v>
      </c>
      <c r="B3613" t="str">
        <f t="shared" si="136"/>
        <v>0.00178%</v>
      </c>
      <c r="C3613" t="s">
        <v>10</v>
      </c>
      <c r="D3613" t="s">
        <v>10</v>
      </c>
      <c r="E3613" t="str">
        <f>"$ 13,757"</f>
        <v>$ 13,757</v>
      </c>
      <c r="F3613">
        <v>49</v>
      </c>
    </row>
    <row r="3614" spans="1:6">
      <c r="A3614" t="s">
        <v>3614</v>
      </c>
      <c r="B3614" t="str">
        <f t="shared" si="136"/>
        <v>0.00178%</v>
      </c>
      <c r="C3614" t="s">
        <v>10</v>
      </c>
      <c r="D3614" t="s">
        <v>10</v>
      </c>
      <c r="E3614" t="str">
        <f>"$ 13,727"</f>
        <v>$ 13,727</v>
      </c>
      <c r="F3614">
        <v>276</v>
      </c>
    </row>
    <row r="3615" spans="1:6">
      <c r="A3615" t="s">
        <v>3615</v>
      </c>
      <c r="B3615" t="str">
        <f t="shared" si="136"/>
        <v>0.00178%</v>
      </c>
      <c r="C3615" t="s">
        <v>10</v>
      </c>
      <c r="D3615" t="s">
        <v>10</v>
      </c>
      <c r="E3615" t="str">
        <f>"$ 13,739"</f>
        <v>$ 13,739</v>
      </c>
      <c r="F3615" s="1">
        <v>2914</v>
      </c>
    </row>
    <row r="3616" spans="1:6">
      <c r="A3616" t="s">
        <v>3616</v>
      </c>
      <c r="B3616" t="str">
        <f t="shared" si="136"/>
        <v>0.00178%</v>
      </c>
      <c r="C3616" t="s">
        <v>10</v>
      </c>
      <c r="D3616" t="s">
        <v>10</v>
      </c>
      <c r="E3616" t="str">
        <f>"$ 13,754"</f>
        <v>$ 13,754</v>
      </c>
      <c r="F3616" s="1">
        <v>3758</v>
      </c>
    </row>
    <row r="3617" spans="1:6">
      <c r="A3617" t="s">
        <v>3617</v>
      </c>
      <c r="B3617" t="str">
        <f t="shared" si="136"/>
        <v>0.00178%</v>
      </c>
      <c r="C3617" t="s">
        <v>10</v>
      </c>
      <c r="D3617" t="s">
        <v>10</v>
      </c>
      <c r="E3617" t="str">
        <f>"$ 13,733"</f>
        <v>$ 13,733</v>
      </c>
      <c r="F3617">
        <v>240</v>
      </c>
    </row>
    <row r="3618" spans="1:6">
      <c r="A3618" t="s">
        <v>3618</v>
      </c>
      <c r="B3618" t="str">
        <f t="shared" si="136"/>
        <v>0.00178%</v>
      </c>
      <c r="C3618" t="s">
        <v>10</v>
      </c>
      <c r="D3618" t="s">
        <v>10</v>
      </c>
      <c r="E3618" t="str">
        <f>"$ 13,777"</f>
        <v>$ 13,777</v>
      </c>
      <c r="F3618" s="1">
        <v>1728</v>
      </c>
    </row>
    <row r="3619" spans="1:6">
      <c r="A3619" t="s">
        <v>3619</v>
      </c>
      <c r="B3619" t="str">
        <f t="shared" si="136"/>
        <v>0.00178%</v>
      </c>
      <c r="C3619" t="s">
        <v>10</v>
      </c>
      <c r="D3619" t="s">
        <v>10</v>
      </c>
      <c r="E3619" t="str">
        <f>"$ 13,714"</f>
        <v>$ 13,714</v>
      </c>
      <c r="F3619" s="1">
        <v>4365</v>
      </c>
    </row>
    <row r="3620" spans="1:6">
      <c r="A3620" t="s">
        <v>3620</v>
      </c>
      <c r="B3620" t="str">
        <f t="shared" si="136"/>
        <v>0.00178%</v>
      </c>
      <c r="C3620" t="s">
        <v>10</v>
      </c>
      <c r="D3620" t="s">
        <v>10</v>
      </c>
      <c r="E3620" t="str">
        <f>"$ 13,730"</f>
        <v>$ 13,730</v>
      </c>
      <c r="F3620">
        <v>734</v>
      </c>
    </row>
    <row r="3621" spans="1:6">
      <c r="A3621" t="s">
        <v>3621</v>
      </c>
      <c r="B3621" t="str">
        <f t="shared" si="136"/>
        <v>0.00178%</v>
      </c>
      <c r="C3621" t="s">
        <v>10</v>
      </c>
      <c r="D3621" t="s">
        <v>10</v>
      </c>
      <c r="E3621" t="str">
        <f>"$ 13,732"</f>
        <v>$ 13,732</v>
      </c>
      <c r="F3621">
        <v>794</v>
      </c>
    </row>
    <row r="3622" spans="1:6">
      <c r="A3622" t="s">
        <v>3622</v>
      </c>
      <c r="B3622" t="str">
        <f t="shared" si="136"/>
        <v>0.00178%</v>
      </c>
      <c r="C3622" t="s">
        <v>10</v>
      </c>
      <c r="D3622" t="s">
        <v>10</v>
      </c>
      <c r="E3622" t="str">
        <f>"$ 13,707"</f>
        <v>$ 13,707</v>
      </c>
      <c r="F3622">
        <v>433</v>
      </c>
    </row>
    <row r="3623" spans="1:6">
      <c r="A3623" t="s">
        <v>3623</v>
      </c>
      <c r="B3623" t="str">
        <f t="shared" ref="B3623:B3631" si="137">"0.00177%"</f>
        <v>0.00177%</v>
      </c>
      <c r="C3623" t="s">
        <v>10</v>
      </c>
      <c r="D3623" t="s">
        <v>10</v>
      </c>
      <c r="E3623" t="str">
        <f>"$ 13,649"</f>
        <v>$ 13,649</v>
      </c>
      <c r="F3623">
        <v>273</v>
      </c>
    </row>
    <row r="3624" spans="1:6">
      <c r="A3624" t="s">
        <v>3624</v>
      </c>
      <c r="B3624" t="str">
        <f t="shared" si="137"/>
        <v>0.00177%</v>
      </c>
      <c r="C3624" t="s">
        <v>10</v>
      </c>
      <c r="D3624" t="s">
        <v>10</v>
      </c>
      <c r="E3624" t="str">
        <f>"$ 13,681"</f>
        <v>$ 13,681</v>
      </c>
      <c r="F3624">
        <v>12</v>
      </c>
    </row>
    <row r="3625" spans="1:6">
      <c r="A3625" t="s">
        <v>3625</v>
      </c>
      <c r="B3625" t="str">
        <f t="shared" si="137"/>
        <v>0.00177%</v>
      </c>
      <c r="C3625" t="s">
        <v>10</v>
      </c>
      <c r="D3625" t="s">
        <v>10</v>
      </c>
      <c r="E3625" t="str">
        <f>"$ 13,679"</f>
        <v>$ 13,679</v>
      </c>
      <c r="F3625">
        <v>143</v>
      </c>
    </row>
    <row r="3626" spans="1:6">
      <c r="A3626" t="s">
        <v>3626</v>
      </c>
      <c r="B3626" t="str">
        <f t="shared" si="137"/>
        <v>0.00177%</v>
      </c>
      <c r="C3626" t="s">
        <v>10</v>
      </c>
      <c r="D3626" t="s">
        <v>10</v>
      </c>
      <c r="E3626" t="str">
        <f>"$ 13,646"</f>
        <v>$ 13,646</v>
      </c>
      <c r="F3626" s="1">
        <v>1280</v>
      </c>
    </row>
    <row r="3627" spans="1:6">
      <c r="A3627" t="s">
        <v>3627</v>
      </c>
      <c r="B3627" t="str">
        <f t="shared" si="137"/>
        <v>0.00177%</v>
      </c>
      <c r="C3627" t="s">
        <v>10</v>
      </c>
      <c r="D3627" t="s">
        <v>10</v>
      </c>
      <c r="E3627" t="str">
        <f>"$ 13,638"</f>
        <v>$ 13,638</v>
      </c>
      <c r="F3627" s="1">
        <v>2505</v>
      </c>
    </row>
    <row r="3628" spans="1:6">
      <c r="A3628" t="s">
        <v>3628</v>
      </c>
      <c r="B3628" t="str">
        <f t="shared" si="137"/>
        <v>0.00177%</v>
      </c>
      <c r="C3628" t="s">
        <v>10</v>
      </c>
      <c r="D3628" t="s">
        <v>10</v>
      </c>
      <c r="E3628" t="str">
        <f>"$ 13,633"</f>
        <v>$ 13,633</v>
      </c>
      <c r="F3628">
        <v>609</v>
      </c>
    </row>
    <row r="3629" spans="1:6">
      <c r="A3629" t="s">
        <v>3629</v>
      </c>
      <c r="B3629" t="str">
        <f t="shared" si="137"/>
        <v>0.00177%</v>
      </c>
      <c r="C3629" t="s">
        <v>10</v>
      </c>
      <c r="D3629" t="s">
        <v>10</v>
      </c>
      <c r="E3629" t="str">
        <f>"$ 13,681"</f>
        <v>$ 13,681</v>
      </c>
      <c r="F3629">
        <v>613</v>
      </c>
    </row>
    <row r="3630" spans="1:6">
      <c r="A3630" t="s">
        <v>3630</v>
      </c>
      <c r="B3630" t="str">
        <f t="shared" si="137"/>
        <v>0.00177%</v>
      </c>
      <c r="C3630" t="s">
        <v>10</v>
      </c>
      <c r="D3630" t="s">
        <v>10</v>
      </c>
      <c r="E3630" t="str">
        <f>"$ 13,682"</f>
        <v>$ 13,682</v>
      </c>
      <c r="F3630">
        <v>398</v>
      </c>
    </row>
    <row r="3631" spans="1:6">
      <c r="A3631" t="s">
        <v>3631</v>
      </c>
      <c r="B3631" t="str">
        <f t="shared" si="137"/>
        <v>0.00177%</v>
      </c>
      <c r="C3631" t="s">
        <v>10</v>
      </c>
      <c r="D3631" t="s">
        <v>10</v>
      </c>
      <c r="E3631" t="str">
        <f>"$ 13,674"</f>
        <v>$ 13,674</v>
      </c>
      <c r="F3631" s="1">
        <v>1255</v>
      </c>
    </row>
    <row r="3632" spans="1:6">
      <c r="A3632" t="s">
        <v>3632</v>
      </c>
      <c r="B3632" t="str">
        <f t="shared" ref="B3632:B3643" si="138">"0.00176%"</f>
        <v>0.00176%</v>
      </c>
      <c r="C3632" t="s">
        <v>10</v>
      </c>
      <c r="D3632" t="s">
        <v>10</v>
      </c>
      <c r="E3632" t="str">
        <f>"$ 13,570"</f>
        <v>$ 13,570</v>
      </c>
      <c r="F3632" s="1">
        <v>4586</v>
      </c>
    </row>
    <row r="3633" spans="1:6">
      <c r="A3633" t="s">
        <v>3633</v>
      </c>
      <c r="B3633" t="str">
        <f t="shared" si="138"/>
        <v>0.00176%</v>
      </c>
      <c r="C3633" t="s">
        <v>10</v>
      </c>
      <c r="D3633" t="s">
        <v>10</v>
      </c>
      <c r="E3633" t="str">
        <f>"$ 13,578"</f>
        <v>$ 13,578</v>
      </c>
      <c r="F3633">
        <v>253</v>
      </c>
    </row>
    <row r="3634" spans="1:6">
      <c r="A3634" t="s">
        <v>3634</v>
      </c>
      <c r="B3634" t="str">
        <f t="shared" si="138"/>
        <v>0.00176%</v>
      </c>
      <c r="C3634" t="s">
        <v>10</v>
      </c>
      <c r="D3634" t="s">
        <v>10</v>
      </c>
      <c r="E3634" t="str">
        <f>"$ 13,567"</f>
        <v>$ 13,567</v>
      </c>
      <c r="F3634">
        <v>256</v>
      </c>
    </row>
    <row r="3635" spans="1:6">
      <c r="A3635" t="s">
        <v>3635</v>
      </c>
      <c r="B3635" t="str">
        <f t="shared" si="138"/>
        <v>0.00176%</v>
      </c>
      <c r="C3635" t="s">
        <v>10</v>
      </c>
      <c r="D3635" t="s">
        <v>10</v>
      </c>
      <c r="E3635" t="str">
        <f>"$ 13,595"</f>
        <v>$ 13,595</v>
      </c>
      <c r="F3635" s="1">
        <v>7126</v>
      </c>
    </row>
    <row r="3636" spans="1:6">
      <c r="A3636" t="s">
        <v>3636</v>
      </c>
      <c r="B3636" t="str">
        <f t="shared" si="138"/>
        <v>0.00176%</v>
      </c>
      <c r="C3636" t="s">
        <v>10</v>
      </c>
      <c r="D3636" t="s">
        <v>10</v>
      </c>
      <c r="E3636" t="str">
        <f>"$ 13,566"</f>
        <v>$ 13,566</v>
      </c>
      <c r="F3636">
        <v>122</v>
      </c>
    </row>
    <row r="3637" spans="1:6">
      <c r="A3637" t="s">
        <v>3637</v>
      </c>
      <c r="B3637" t="str">
        <f t="shared" si="138"/>
        <v>0.00176%</v>
      </c>
      <c r="C3637" t="s">
        <v>10</v>
      </c>
      <c r="D3637" t="s">
        <v>10</v>
      </c>
      <c r="E3637" t="str">
        <f>"$ 13,568"</f>
        <v>$ 13,568</v>
      </c>
      <c r="F3637">
        <v>106</v>
      </c>
    </row>
    <row r="3638" spans="1:6">
      <c r="A3638" t="s">
        <v>3638</v>
      </c>
      <c r="B3638" t="str">
        <f t="shared" si="138"/>
        <v>0.00176%</v>
      </c>
      <c r="C3638" t="s">
        <v>10</v>
      </c>
      <c r="D3638" t="s">
        <v>10</v>
      </c>
      <c r="E3638" t="str">
        <f>"$ 13,624"</f>
        <v>$ 13,624</v>
      </c>
      <c r="F3638">
        <v>202</v>
      </c>
    </row>
    <row r="3639" spans="1:6">
      <c r="A3639" t="s">
        <v>3639</v>
      </c>
      <c r="B3639" t="str">
        <f t="shared" si="138"/>
        <v>0.00176%</v>
      </c>
      <c r="C3639" t="s">
        <v>10</v>
      </c>
      <c r="D3639" t="s">
        <v>10</v>
      </c>
      <c r="E3639" t="str">
        <f>"$ 13,599"</f>
        <v>$ 13,599</v>
      </c>
      <c r="F3639">
        <v>260</v>
      </c>
    </row>
    <row r="3640" spans="1:6">
      <c r="A3640" t="s">
        <v>3640</v>
      </c>
      <c r="B3640" t="str">
        <f t="shared" si="138"/>
        <v>0.00176%</v>
      </c>
      <c r="C3640" t="s">
        <v>10</v>
      </c>
      <c r="D3640" t="s">
        <v>10</v>
      </c>
      <c r="E3640" t="str">
        <f>"$ 13,621"</f>
        <v>$ 13,621</v>
      </c>
      <c r="F3640">
        <v>874</v>
      </c>
    </row>
    <row r="3641" spans="1:6">
      <c r="A3641" t="s">
        <v>3641</v>
      </c>
      <c r="B3641" t="str">
        <f t="shared" si="138"/>
        <v>0.00176%</v>
      </c>
      <c r="C3641" t="s">
        <v>10</v>
      </c>
      <c r="D3641" t="s">
        <v>10</v>
      </c>
      <c r="E3641" t="str">
        <f>"$ 13,603"</f>
        <v>$ 13,603</v>
      </c>
      <c r="F3641">
        <v>170</v>
      </c>
    </row>
    <row r="3642" spans="1:6">
      <c r="A3642" t="s">
        <v>3642</v>
      </c>
      <c r="B3642" t="str">
        <f t="shared" si="138"/>
        <v>0.00176%</v>
      </c>
      <c r="C3642" t="s">
        <v>10</v>
      </c>
      <c r="D3642" t="s">
        <v>10</v>
      </c>
      <c r="E3642" t="str">
        <f>"$ 13,613"</f>
        <v>$ 13,613</v>
      </c>
      <c r="F3642" s="1">
        <v>5710</v>
      </c>
    </row>
    <row r="3643" spans="1:6">
      <c r="A3643" t="s">
        <v>3643</v>
      </c>
      <c r="B3643" t="str">
        <f t="shared" si="138"/>
        <v>0.00176%</v>
      </c>
      <c r="C3643" t="s">
        <v>10</v>
      </c>
      <c r="D3643" t="s">
        <v>10</v>
      </c>
      <c r="E3643" t="str">
        <f>"$ 13,580"</f>
        <v>$ 13,580</v>
      </c>
      <c r="F3643" s="1">
        <v>8123</v>
      </c>
    </row>
    <row r="3644" spans="1:6">
      <c r="A3644" t="s">
        <v>3644</v>
      </c>
      <c r="B3644" t="str">
        <f t="shared" ref="B3644:B3653" si="139">"0.00175%"</f>
        <v>0.00175%</v>
      </c>
      <c r="C3644" t="s">
        <v>10</v>
      </c>
      <c r="D3644" t="s">
        <v>10</v>
      </c>
      <c r="E3644" t="str">
        <f>"$ 13,478"</f>
        <v>$ 13,478</v>
      </c>
      <c r="F3644">
        <v>247</v>
      </c>
    </row>
    <row r="3645" spans="1:6">
      <c r="A3645" t="s">
        <v>3645</v>
      </c>
      <c r="B3645" t="str">
        <f t="shared" si="139"/>
        <v>0.00175%</v>
      </c>
      <c r="C3645" t="s">
        <v>10</v>
      </c>
      <c r="D3645" t="s">
        <v>10</v>
      </c>
      <c r="E3645" t="str">
        <f>"$ 13,488"</f>
        <v>$ 13,488</v>
      </c>
      <c r="F3645">
        <v>203</v>
      </c>
    </row>
    <row r="3646" spans="1:6">
      <c r="A3646" t="s">
        <v>3646</v>
      </c>
      <c r="B3646" t="str">
        <f t="shared" si="139"/>
        <v>0.00175%</v>
      </c>
      <c r="C3646" t="s">
        <v>10</v>
      </c>
      <c r="D3646" t="s">
        <v>10</v>
      </c>
      <c r="E3646" t="str">
        <f>"$ 13,506"</f>
        <v>$ 13,506</v>
      </c>
      <c r="F3646">
        <v>935</v>
      </c>
    </row>
    <row r="3647" spans="1:6">
      <c r="A3647" t="s">
        <v>3647</v>
      </c>
      <c r="B3647" t="str">
        <f t="shared" si="139"/>
        <v>0.00175%</v>
      </c>
      <c r="C3647" t="s">
        <v>10</v>
      </c>
      <c r="D3647" t="s">
        <v>10</v>
      </c>
      <c r="E3647" t="str">
        <f>"$ 13,477"</f>
        <v>$ 13,477</v>
      </c>
      <c r="F3647">
        <v>345</v>
      </c>
    </row>
    <row r="3648" spans="1:6">
      <c r="A3648" t="s">
        <v>3648</v>
      </c>
      <c r="B3648" t="str">
        <f t="shared" si="139"/>
        <v>0.00175%</v>
      </c>
      <c r="C3648" t="s">
        <v>10</v>
      </c>
      <c r="D3648" t="s">
        <v>10</v>
      </c>
      <c r="E3648" t="str">
        <f>"$ 13,505"</f>
        <v>$ 13,505</v>
      </c>
      <c r="F3648">
        <v>240</v>
      </c>
    </row>
    <row r="3649" spans="1:6">
      <c r="A3649" t="s">
        <v>3649</v>
      </c>
      <c r="B3649" t="str">
        <f t="shared" si="139"/>
        <v>0.00175%</v>
      </c>
      <c r="C3649" t="s">
        <v>10</v>
      </c>
      <c r="D3649" t="s">
        <v>10</v>
      </c>
      <c r="E3649" t="str">
        <f>"$ 13,526"</f>
        <v>$ 13,526</v>
      </c>
      <c r="F3649" s="1">
        <v>1867</v>
      </c>
    </row>
    <row r="3650" spans="1:6">
      <c r="A3650" t="s">
        <v>3650</v>
      </c>
      <c r="B3650" t="str">
        <f t="shared" si="139"/>
        <v>0.00175%</v>
      </c>
      <c r="C3650" t="s">
        <v>10</v>
      </c>
      <c r="D3650" t="s">
        <v>10</v>
      </c>
      <c r="E3650" t="str">
        <f>"$ 13,515"</f>
        <v>$ 13,515</v>
      </c>
      <c r="F3650">
        <v>453</v>
      </c>
    </row>
    <row r="3651" spans="1:6">
      <c r="A3651" t="s">
        <v>3651</v>
      </c>
      <c r="B3651" t="str">
        <f t="shared" si="139"/>
        <v>0.00175%</v>
      </c>
      <c r="C3651" t="s">
        <v>10</v>
      </c>
      <c r="D3651" t="s">
        <v>10</v>
      </c>
      <c r="E3651" t="str">
        <f>"$ 13,498"</f>
        <v>$ 13,498</v>
      </c>
      <c r="F3651">
        <v>163</v>
      </c>
    </row>
    <row r="3652" spans="1:6">
      <c r="A3652" t="s">
        <v>3652</v>
      </c>
      <c r="B3652" t="str">
        <f t="shared" si="139"/>
        <v>0.00175%</v>
      </c>
      <c r="C3652" t="s">
        <v>10</v>
      </c>
      <c r="D3652" t="s">
        <v>10</v>
      </c>
      <c r="E3652" t="str">
        <f>"$ 13,545"</f>
        <v>$ 13,545</v>
      </c>
      <c r="F3652">
        <v>165</v>
      </c>
    </row>
    <row r="3653" spans="1:6">
      <c r="A3653" t="s">
        <v>3653</v>
      </c>
      <c r="B3653" t="str">
        <f t="shared" si="139"/>
        <v>0.00175%</v>
      </c>
      <c r="C3653" t="s">
        <v>10</v>
      </c>
      <c r="D3653" t="s">
        <v>10</v>
      </c>
      <c r="E3653" t="str">
        <f>"$ 13,510"</f>
        <v>$ 13,510</v>
      </c>
      <c r="F3653">
        <v>535</v>
      </c>
    </row>
    <row r="3654" spans="1:6">
      <c r="A3654" t="s">
        <v>3654</v>
      </c>
      <c r="B3654" t="str">
        <f t="shared" ref="B3654:B3663" si="140">"0.00174%"</f>
        <v>0.00174%</v>
      </c>
      <c r="C3654" t="s">
        <v>10</v>
      </c>
      <c r="D3654" t="s">
        <v>10</v>
      </c>
      <c r="E3654" t="str">
        <f>"$ 13,401"</f>
        <v>$ 13,401</v>
      </c>
      <c r="F3654" s="1">
        <v>1139</v>
      </c>
    </row>
    <row r="3655" spans="1:6">
      <c r="A3655" t="s">
        <v>3655</v>
      </c>
      <c r="B3655" t="str">
        <f t="shared" si="140"/>
        <v>0.00174%</v>
      </c>
      <c r="C3655" t="s">
        <v>10</v>
      </c>
      <c r="D3655" t="s">
        <v>10</v>
      </c>
      <c r="E3655" t="str">
        <f>"$ 13,419"</f>
        <v>$ 13,419</v>
      </c>
      <c r="F3655">
        <v>273</v>
      </c>
    </row>
    <row r="3656" spans="1:6">
      <c r="A3656" t="s">
        <v>3656</v>
      </c>
      <c r="B3656" t="str">
        <f t="shared" si="140"/>
        <v>0.00174%</v>
      </c>
      <c r="C3656" t="s">
        <v>10</v>
      </c>
      <c r="D3656" t="s">
        <v>10</v>
      </c>
      <c r="E3656" t="str">
        <f>"$ 13,441"</f>
        <v>$ 13,441</v>
      </c>
      <c r="F3656" s="1">
        <v>2917</v>
      </c>
    </row>
    <row r="3657" spans="1:6">
      <c r="A3657" t="s">
        <v>3657</v>
      </c>
      <c r="B3657" t="str">
        <f t="shared" si="140"/>
        <v>0.00174%</v>
      </c>
      <c r="C3657" t="s">
        <v>10</v>
      </c>
      <c r="D3657" t="s">
        <v>10</v>
      </c>
      <c r="E3657" t="str">
        <f>"$ 13,412"</f>
        <v>$ 13,412</v>
      </c>
      <c r="F3657">
        <v>198</v>
      </c>
    </row>
    <row r="3658" spans="1:6">
      <c r="A3658" t="s">
        <v>3658</v>
      </c>
      <c r="B3658" t="str">
        <f t="shared" si="140"/>
        <v>0.00174%</v>
      </c>
      <c r="C3658" t="s">
        <v>10</v>
      </c>
      <c r="D3658" t="s">
        <v>10</v>
      </c>
      <c r="E3658" t="str">
        <f>"$ 13,457"</f>
        <v>$ 13,457</v>
      </c>
      <c r="F3658">
        <v>168</v>
      </c>
    </row>
    <row r="3659" spans="1:6">
      <c r="A3659" t="s">
        <v>3659</v>
      </c>
      <c r="B3659" t="str">
        <f t="shared" si="140"/>
        <v>0.00174%</v>
      </c>
      <c r="C3659" t="s">
        <v>10</v>
      </c>
      <c r="D3659" t="s">
        <v>10</v>
      </c>
      <c r="E3659" t="str">
        <f>"$ 13,454"</f>
        <v>$ 13,454</v>
      </c>
      <c r="F3659">
        <v>459</v>
      </c>
    </row>
    <row r="3660" spans="1:6">
      <c r="A3660" t="s">
        <v>3660</v>
      </c>
      <c r="B3660" t="str">
        <f t="shared" si="140"/>
        <v>0.00174%</v>
      </c>
      <c r="C3660" t="s">
        <v>10</v>
      </c>
      <c r="D3660" t="s">
        <v>10</v>
      </c>
      <c r="E3660" t="str">
        <f>"$ 13,412"</f>
        <v>$ 13,412</v>
      </c>
      <c r="F3660">
        <v>156</v>
      </c>
    </row>
    <row r="3661" spans="1:6">
      <c r="A3661" t="s">
        <v>3661</v>
      </c>
      <c r="B3661" t="str">
        <f t="shared" si="140"/>
        <v>0.00174%</v>
      </c>
      <c r="C3661" t="s">
        <v>10</v>
      </c>
      <c r="D3661" t="s">
        <v>10</v>
      </c>
      <c r="E3661" t="str">
        <f>"$ 13,405"</f>
        <v>$ 13,405</v>
      </c>
      <c r="F3661" s="1">
        <v>17105</v>
      </c>
    </row>
    <row r="3662" spans="1:6">
      <c r="A3662" t="s">
        <v>3662</v>
      </c>
      <c r="B3662" t="str">
        <f t="shared" si="140"/>
        <v>0.00174%</v>
      </c>
      <c r="C3662" t="s">
        <v>10</v>
      </c>
      <c r="D3662" t="s">
        <v>10</v>
      </c>
      <c r="E3662" t="str">
        <f>"$ 13,461"</f>
        <v>$ 13,461</v>
      </c>
      <c r="F3662" s="1">
        <v>1124843</v>
      </c>
    </row>
    <row r="3663" spans="1:6">
      <c r="A3663" t="s">
        <v>3663</v>
      </c>
      <c r="B3663" t="str">
        <f t="shared" si="140"/>
        <v>0.00174%</v>
      </c>
      <c r="C3663" t="s">
        <v>10</v>
      </c>
      <c r="D3663" t="s">
        <v>10</v>
      </c>
      <c r="E3663" t="str">
        <f>"$ 13,429"</f>
        <v>$ 13,429</v>
      </c>
      <c r="F3663" s="1">
        <v>12849</v>
      </c>
    </row>
    <row r="3664" spans="1:6">
      <c r="A3664" t="s">
        <v>3664</v>
      </c>
      <c r="B3664" t="str">
        <f t="shared" ref="B3664:B3675" si="141">"0.00173%"</f>
        <v>0.00173%</v>
      </c>
      <c r="C3664" t="s">
        <v>10</v>
      </c>
      <c r="D3664" t="s">
        <v>10</v>
      </c>
      <c r="E3664" t="str">
        <f>"$ 13,365"</f>
        <v>$ 13,365</v>
      </c>
      <c r="F3664">
        <v>68</v>
      </c>
    </row>
    <row r="3665" spans="1:6">
      <c r="A3665" t="s">
        <v>3665</v>
      </c>
      <c r="B3665" t="str">
        <f t="shared" si="141"/>
        <v>0.00173%</v>
      </c>
      <c r="C3665" t="s">
        <v>10</v>
      </c>
      <c r="D3665" t="s">
        <v>10</v>
      </c>
      <c r="E3665" t="str">
        <f>"$ 13,322"</f>
        <v>$ 13,322</v>
      </c>
      <c r="F3665">
        <v>680</v>
      </c>
    </row>
    <row r="3666" spans="1:6">
      <c r="A3666" t="s">
        <v>3666</v>
      </c>
      <c r="B3666" t="str">
        <f t="shared" si="141"/>
        <v>0.00173%</v>
      </c>
      <c r="C3666" t="s">
        <v>10</v>
      </c>
      <c r="D3666" t="s">
        <v>10</v>
      </c>
      <c r="E3666" t="str">
        <f>"$ 13,379"</f>
        <v>$ 13,379</v>
      </c>
      <c r="F3666">
        <v>725</v>
      </c>
    </row>
    <row r="3667" spans="1:6">
      <c r="A3667" t="s">
        <v>3667</v>
      </c>
      <c r="B3667" t="str">
        <f t="shared" si="141"/>
        <v>0.00173%</v>
      </c>
      <c r="C3667" t="s">
        <v>10</v>
      </c>
      <c r="D3667" t="s">
        <v>10</v>
      </c>
      <c r="E3667" t="str">
        <f>"$ 13,350"</f>
        <v>$ 13,350</v>
      </c>
      <c r="F3667">
        <v>328</v>
      </c>
    </row>
    <row r="3668" spans="1:6">
      <c r="A3668" t="s">
        <v>3668</v>
      </c>
      <c r="B3668" t="str">
        <f t="shared" si="141"/>
        <v>0.00173%</v>
      </c>
      <c r="C3668" t="s">
        <v>10</v>
      </c>
      <c r="D3668" t="s">
        <v>10</v>
      </c>
      <c r="E3668" t="str">
        <f>"$ 13,390"</f>
        <v>$ 13,390</v>
      </c>
      <c r="F3668">
        <v>181</v>
      </c>
    </row>
    <row r="3669" spans="1:6">
      <c r="A3669" t="s">
        <v>3669</v>
      </c>
      <c r="B3669" t="str">
        <f t="shared" si="141"/>
        <v>0.00173%</v>
      </c>
      <c r="C3669" t="s">
        <v>10</v>
      </c>
      <c r="D3669" t="s">
        <v>10</v>
      </c>
      <c r="E3669" t="str">
        <f>"$ 13,324"</f>
        <v>$ 13,324</v>
      </c>
      <c r="F3669" s="1">
        <v>3375</v>
      </c>
    </row>
    <row r="3670" spans="1:6">
      <c r="A3670" t="s">
        <v>3670</v>
      </c>
      <c r="B3670" t="str">
        <f t="shared" si="141"/>
        <v>0.00173%</v>
      </c>
      <c r="C3670" t="s">
        <v>10</v>
      </c>
      <c r="D3670" t="s">
        <v>10</v>
      </c>
      <c r="E3670" t="str">
        <f>"$ 13,339"</f>
        <v>$ 13,339</v>
      </c>
      <c r="F3670" s="1">
        <v>1701</v>
      </c>
    </row>
    <row r="3671" spans="1:6">
      <c r="A3671" t="s">
        <v>3671</v>
      </c>
      <c r="B3671" t="str">
        <f t="shared" si="141"/>
        <v>0.00173%</v>
      </c>
      <c r="C3671" t="s">
        <v>10</v>
      </c>
      <c r="D3671" t="s">
        <v>10</v>
      </c>
      <c r="E3671" t="str">
        <f>"$ 13,392"</f>
        <v>$ 13,392</v>
      </c>
      <c r="F3671">
        <v>391</v>
      </c>
    </row>
    <row r="3672" spans="1:6">
      <c r="A3672" t="s">
        <v>3672</v>
      </c>
      <c r="B3672" t="str">
        <f t="shared" si="141"/>
        <v>0.00173%</v>
      </c>
      <c r="C3672" t="s">
        <v>10</v>
      </c>
      <c r="D3672" t="s">
        <v>10</v>
      </c>
      <c r="E3672" t="str">
        <f>"$ 13,354"</f>
        <v>$ 13,354</v>
      </c>
      <c r="F3672" s="1">
        <v>44594</v>
      </c>
    </row>
    <row r="3673" spans="1:6">
      <c r="A3673" t="s">
        <v>3673</v>
      </c>
      <c r="B3673" t="str">
        <f t="shared" si="141"/>
        <v>0.00173%</v>
      </c>
      <c r="C3673" t="s">
        <v>10</v>
      </c>
      <c r="D3673" t="s">
        <v>10</v>
      </c>
      <c r="E3673" t="str">
        <f>"$ 13,332"</f>
        <v>$ 13,332</v>
      </c>
      <c r="F3673" s="1">
        <v>61056</v>
      </c>
    </row>
    <row r="3674" spans="1:6">
      <c r="A3674" t="s">
        <v>3674</v>
      </c>
      <c r="B3674" t="str">
        <f t="shared" si="141"/>
        <v>0.00173%</v>
      </c>
      <c r="C3674" t="s">
        <v>10</v>
      </c>
      <c r="D3674" t="s">
        <v>10</v>
      </c>
      <c r="E3674" t="str">
        <f>"$ 13,386"</f>
        <v>$ 13,386</v>
      </c>
      <c r="F3674" s="1">
        <v>2178</v>
      </c>
    </row>
    <row r="3675" spans="1:6">
      <c r="A3675" t="s">
        <v>3675</v>
      </c>
      <c r="B3675" t="str">
        <f t="shared" si="141"/>
        <v>0.00173%</v>
      </c>
      <c r="C3675" t="s">
        <v>10</v>
      </c>
      <c r="D3675" t="s">
        <v>10</v>
      </c>
      <c r="E3675" t="str">
        <f>"$ 13,394"</f>
        <v>$ 13,394</v>
      </c>
      <c r="F3675">
        <v>297</v>
      </c>
    </row>
    <row r="3676" spans="1:6">
      <c r="A3676" t="s">
        <v>3676</v>
      </c>
      <c r="B3676" t="str">
        <f t="shared" ref="B3676:B3688" si="142">"0.00172%"</f>
        <v>0.00172%</v>
      </c>
      <c r="C3676" t="s">
        <v>10</v>
      </c>
      <c r="D3676" t="s">
        <v>10</v>
      </c>
      <c r="E3676" t="str">
        <f>"$ 13,303"</f>
        <v>$ 13,303</v>
      </c>
      <c r="F3676" s="1">
        <v>6358</v>
      </c>
    </row>
    <row r="3677" spans="1:6">
      <c r="A3677" t="s">
        <v>3677</v>
      </c>
      <c r="B3677" t="str">
        <f t="shared" si="142"/>
        <v>0.00172%</v>
      </c>
      <c r="C3677" t="s">
        <v>10</v>
      </c>
      <c r="D3677" t="s">
        <v>10</v>
      </c>
      <c r="E3677" t="str">
        <f>"$ 13,305"</f>
        <v>$ 13,305</v>
      </c>
      <c r="F3677">
        <v>160</v>
      </c>
    </row>
    <row r="3678" spans="1:6">
      <c r="A3678" t="s">
        <v>3678</v>
      </c>
      <c r="B3678" t="str">
        <f t="shared" si="142"/>
        <v>0.00172%</v>
      </c>
      <c r="C3678" t="s">
        <v>10</v>
      </c>
      <c r="D3678" t="s">
        <v>10</v>
      </c>
      <c r="E3678" t="str">
        <f>"$ 13,267"</f>
        <v>$ 13,267</v>
      </c>
      <c r="F3678">
        <v>356</v>
      </c>
    </row>
    <row r="3679" spans="1:6">
      <c r="A3679" t="s">
        <v>3679</v>
      </c>
      <c r="B3679" t="str">
        <f t="shared" si="142"/>
        <v>0.00172%</v>
      </c>
      <c r="C3679" t="s">
        <v>10</v>
      </c>
      <c r="D3679" t="s">
        <v>10</v>
      </c>
      <c r="E3679" t="str">
        <f>"$ 13,281"</f>
        <v>$ 13,281</v>
      </c>
      <c r="F3679" s="1">
        <v>4734</v>
      </c>
    </row>
    <row r="3680" spans="1:6">
      <c r="A3680" t="s">
        <v>3680</v>
      </c>
      <c r="B3680" t="str">
        <f t="shared" si="142"/>
        <v>0.00172%</v>
      </c>
      <c r="C3680" t="s">
        <v>10</v>
      </c>
      <c r="D3680" t="s">
        <v>10</v>
      </c>
      <c r="E3680" t="str">
        <f>"$ 13,248"</f>
        <v>$ 13,248</v>
      </c>
      <c r="F3680">
        <v>272</v>
      </c>
    </row>
    <row r="3681" spans="1:6">
      <c r="A3681" t="s">
        <v>3681</v>
      </c>
      <c r="B3681" t="str">
        <f t="shared" si="142"/>
        <v>0.00172%</v>
      </c>
      <c r="C3681" t="s">
        <v>10</v>
      </c>
      <c r="D3681" t="s">
        <v>10</v>
      </c>
      <c r="E3681" t="str">
        <f>"$ 13,269"</f>
        <v>$ 13,269</v>
      </c>
      <c r="F3681" s="1">
        <v>2300</v>
      </c>
    </row>
    <row r="3682" spans="1:6">
      <c r="A3682" t="s">
        <v>3682</v>
      </c>
      <c r="B3682" t="str">
        <f t="shared" si="142"/>
        <v>0.00172%</v>
      </c>
      <c r="C3682" t="s">
        <v>10</v>
      </c>
      <c r="D3682" t="s">
        <v>10</v>
      </c>
      <c r="E3682" t="str">
        <f>"$ 13,255"</f>
        <v>$ 13,255</v>
      </c>
      <c r="F3682" s="1">
        <v>1105</v>
      </c>
    </row>
    <row r="3683" spans="1:6">
      <c r="A3683" t="s">
        <v>3683</v>
      </c>
      <c r="B3683" t="str">
        <f t="shared" si="142"/>
        <v>0.00172%</v>
      </c>
      <c r="C3683" t="s">
        <v>10</v>
      </c>
      <c r="D3683" t="s">
        <v>10</v>
      </c>
      <c r="E3683" t="str">
        <f>"$ 13,298"</f>
        <v>$ 13,298</v>
      </c>
      <c r="F3683">
        <v>357</v>
      </c>
    </row>
    <row r="3684" spans="1:6">
      <c r="A3684" t="s">
        <v>3684</v>
      </c>
      <c r="B3684" t="str">
        <f t="shared" si="142"/>
        <v>0.00172%</v>
      </c>
      <c r="C3684" t="s">
        <v>10</v>
      </c>
      <c r="D3684" t="s">
        <v>10</v>
      </c>
      <c r="E3684" t="str">
        <f>"$ 13,283"</f>
        <v>$ 13,283</v>
      </c>
      <c r="F3684">
        <v>490</v>
      </c>
    </row>
    <row r="3685" spans="1:6">
      <c r="A3685" t="s">
        <v>3685</v>
      </c>
      <c r="B3685" t="str">
        <f t="shared" si="142"/>
        <v>0.00172%</v>
      </c>
      <c r="C3685" t="s">
        <v>10</v>
      </c>
      <c r="D3685" t="s">
        <v>10</v>
      </c>
      <c r="E3685" t="str">
        <f>"$ 13,302"</f>
        <v>$ 13,302</v>
      </c>
      <c r="F3685">
        <v>381</v>
      </c>
    </row>
    <row r="3686" spans="1:6">
      <c r="A3686" t="s">
        <v>3686</v>
      </c>
      <c r="B3686" t="str">
        <f t="shared" si="142"/>
        <v>0.00172%</v>
      </c>
      <c r="C3686" t="s">
        <v>10</v>
      </c>
      <c r="D3686" t="s">
        <v>10</v>
      </c>
      <c r="E3686" t="str">
        <f>"$ 13,310"</f>
        <v>$ 13,310</v>
      </c>
      <c r="F3686">
        <v>258</v>
      </c>
    </row>
    <row r="3687" spans="1:6">
      <c r="A3687" t="s">
        <v>3687</v>
      </c>
      <c r="B3687" t="str">
        <f t="shared" si="142"/>
        <v>0.00172%</v>
      </c>
      <c r="C3687" t="s">
        <v>10</v>
      </c>
      <c r="D3687" t="s">
        <v>10</v>
      </c>
      <c r="E3687" t="str">
        <f>"$ 13,282"</f>
        <v>$ 13,282</v>
      </c>
      <c r="F3687">
        <v>683</v>
      </c>
    </row>
    <row r="3688" spans="1:6">
      <c r="A3688" t="s">
        <v>3688</v>
      </c>
      <c r="B3688" t="str">
        <f t="shared" si="142"/>
        <v>0.00172%</v>
      </c>
      <c r="C3688" t="s">
        <v>10</v>
      </c>
      <c r="D3688" t="s">
        <v>10</v>
      </c>
      <c r="E3688" t="str">
        <f>"$ 13,309"</f>
        <v>$ 13,309</v>
      </c>
      <c r="F3688" s="1">
        <v>7823</v>
      </c>
    </row>
    <row r="3689" spans="1:6">
      <c r="A3689" t="s">
        <v>3689</v>
      </c>
      <c r="B3689" t="str">
        <f t="shared" ref="B3689:B3701" si="143">"0.00171%"</f>
        <v>0.00171%</v>
      </c>
      <c r="C3689" t="s">
        <v>10</v>
      </c>
      <c r="D3689" t="s">
        <v>10</v>
      </c>
      <c r="E3689" t="str">
        <f>"$ 13,206"</f>
        <v>$ 13,206</v>
      </c>
      <c r="F3689">
        <v>277</v>
      </c>
    </row>
    <row r="3690" spans="1:6">
      <c r="A3690" t="s">
        <v>3690</v>
      </c>
      <c r="B3690" t="str">
        <f t="shared" si="143"/>
        <v>0.00171%</v>
      </c>
      <c r="C3690" t="s">
        <v>10</v>
      </c>
      <c r="D3690" t="s">
        <v>10</v>
      </c>
      <c r="E3690" t="str">
        <f>"$ 13,216"</f>
        <v>$ 13,216</v>
      </c>
      <c r="F3690" s="1">
        <v>17554</v>
      </c>
    </row>
    <row r="3691" spans="1:6">
      <c r="A3691" t="s">
        <v>3691</v>
      </c>
      <c r="B3691" t="str">
        <f t="shared" si="143"/>
        <v>0.00171%</v>
      </c>
      <c r="C3691" t="s">
        <v>10</v>
      </c>
      <c r="D3691" t="s">
        <v>10</v>
      </c>
      <c r="E3691" t="str">
        <f>"$ 13,185"</f>
        <v>$ 13,185</v>
      </c>
      <c r="F3691" s="1">
        <v>2024</v>
      </c>
    </row>
    <row r="3692" spans="1:6">
      <c r="A3692" t="s">
        <v>3692</v>
      </c>
      <c r="B3692" t="str">
        <f t="shared" si="143"/>
        <v>0.00171%</v>
      </c>
      <c r="C3692" t="s">
        <v>10</v>
      </c>
      <c r="D3692" t="s">
        <v>10</v>
      </c>
      <c r="E3692" t="str">
        <f>"$ 13,200"</f>
        <v>$ 13,200</v>
      </c>
      <c r="F3692">
        <v>346</v>
      </c>
    </row>
    <row r="3693" spans="1:6">
      <c r="A3693" t="s">
        <v>3693</v>
      </c>
      <c r="B3693" t="str">
        <f t="shared" si="143"/>
        <v>0.00171%</v>
      </c>
      <c r="C3693" t="s">
        <v>10</v>
      </c>
      <c r="D3693" t="s">
        <v>10</v>
      </c>
      <c r="E3693" t="str">
        <f>"$ 13,233"</f>
        <v>$ 13,233</v>
      </c>
      <c r="F3693">
        <v>274</v>
      </c>
    </row>
    <row r="3694" spans="1:6">
      <c r="A3694" t="s">
        <v>3694</v>
      </c>
      <c r="B3694" t="str">
        <f t="shared" si="143"/>
        <v>0.00171%</v>
      </c>
      <c r="C3694" t="s">
        <v>10</v>
      </c>
      <c r="D3694" t="s">
        <v>10</v>
      </c>
      <c r="E3694" t="str">
        <f>"$ 13,236"</f>
        <v>$ 13,236</v>
      </c>
      <c r="F3694">
        <v>353</v>
      </c>
    </row>
    <row r="3695" spans="1:6">
      <c r="A3695" t="s">
        <v>3695</v>
      </c>
      <c r="B3695" t="str">
        <f t="shared" si="143"/>
        <v>0.00171%</v>
      </c>
      <c r="C3695" t="s">
        <v>10</v>
      </c>
      <c r="D3695" t="s">
        <v>10</v>
      </c>
      <c r="E3695" t="str">
        <f>"$ 13,235"</f>
        <v>$ 13,235</v>
      </c>
      <c r="F3695">
        <v>231</v>
      </c>
    </row>
    <row r="3696" spans="1:6">
      <c r="A3696" t="s">
        <v>3696</v>
      </c>
      <c r="B3696" t="str">
        <f t="shared" si="143"/>
        <v>0.00171%</v>
      </c>
      <c r="C3696" t="s">
        <v>10</v>
      </c>
      <c r="D3696" t="s">
        <v>10</v>
      </c>
      <c r="E3696" t="str">
        <f>"$ 13,209"</f>
        <v>$ 13,209</v>
      </c>
      <c r="F3696" s="1">
        <v>6928</v>
      </c>
    </row>
    <row r="3697" spans="1:6">
      <c r="A3697" t="s">
        <v>3697</v>
      </c>
      <c r="B3697" t="str">
        <f t="shared" si="143"/>
        <v>0.00171%</v>
      </c>
      <c r="C3697" t="s">
        <v>10</v>
      </c>
      <c r="D3697" t="s">
        <v>10</v>
      </c>
      <c r="E3697" t="str">
        <f>"$ 13,220"</f>
        <v>$ 13,220</v>
      </c>
      <c r="F3697" s="1">
        <v>1925</v>
      </c>
    </row>
    <row r="3698" spans="1:6">
      <c r="A3698" t="s">
        <v>3698</v>
      </c>
      <c r="B3698" t="str">
        <f t="shared" si="143"/>
        <v>0.00171%</v>
      </c>
      <c r="C3698" t="s">
        <v>10</v>
      </c>
      <c r="D3698" t="s">
        <v>10</v>
      </c>
      <c r="E3698" t="str">
        <f>"$ 13,218"</f>
        <v>$ 13,218</v>
      </c>
      <c r="F3698">
        <v>517</v>
      </c>
    </row>
    <row r="3699" spans="1:6">
      <c r="A3699" t="s">
        <v>3699</v>
      </c>
      <c r="B3699" t="str">
        <f t="shared" si="143"/>
        <v>0.00171%</v>
      </c>
      <c r="C3699" t="s">
        <v>10</v>
      </c>
      <c r="D3699" t="s">
        <v>10</v>
      </c>
      <c r="E3699" t="str">
        <f>"$ 13,197"</f>
        <v>$ 13,197</v>
      </c>
      <c r="F3699">
        <v>566</v>
      </c>
    </row>
    <row r="3700" spans="1:6">
      <c r="A3700" t="s">
        <v>3700</v>
      </c>
      <c r="B3700" t="str">
        <f t="shared" si="143"/>
        <v>0.00171%</v>
      </c>
      <c r="C3700" t="s">
        <v>10</v>
      </c>
      <c r="D3700" t="s">
        <v>10</v>
      </c>
      <c r="E3700" t="str">
        <f>"$ 13,232"</f>
        <v>$ 13,232</v>
      </c>
      <c r="F3700">
        <v>402</v>
      </c>
    </row>
    <row r="3701" spans="1:6">
      <c r="A3701" t="s">
        <v>3701</v>
      </c>
      <c r="B3701" t="str">
        <f t="shared" si="143"/>
        <v>0.00171%</v>
      </c>
      <c r="C3701" t="s">
        <v>10</v>
      </c>
      <c r="D3701" t="s">
        <v>10</v>
      </c>
      <c r="E3701" t="str">
        <f>"$ 13,196"</f>
        <v>$ 13,196</v>
      </c>
      <c r="F3701">
        <v>179</v>
      </c>
    </row>
    <row r="3702" spans="1:6">
      <c r="A3702" t="s">
        <v>3702</v>
      </c>
      <c r="B3702" t="str">
        <f t="shared" ref="B3702:B3713" si="144">"0.00170%"</f>
        <v>0.00170%</v>
      </c>
      <c r="C3702" t="s">
        <v>10</v>
      </c>
      <c r="D3702" t="s">
        <v>10</v>
      </c>
      <c r="E3702" t="str">
        <f>"$ 13,103"</f>
        <v>$ 13,103</v>
      </c>
      <c r="F3702" s="1">
        <v>55267</v>
      </c>
    </row>
    <row r="3703" spans="1:6">
      <c r="A3703" t="s">
        <v>3703</v>
      </c>
      <c r="B3703" t="str">
        <f t="shared" si="144"/>
        <v>0.00170%</v>
      </c>
      <c r="C3703" t="s">
        <v>10</v>
      </c>
      <c r="D3703" t="s">
        <v>10</v>
      </c>
      <c r="E3703" t="str">
        <f>"$ 13,120"</f>
        <v>$ 13,120</v>
      </c>
      <c r="F3703">
        <v>225</v>
      </c>
    </row>
    <row r="3704" spans="1:6">
      <c r="A3704" t="s">
        <v>3704</v>
      </c>
      <c r="B3704" t="str">
        <f t="shared" si="144"/>
        <v>0.00170%</v>
      </c>
      <c r="C3704" t="s">
        <v>10</v>
      </c>
      <c r="D3704" t="s">
        <v>10</v>
      </c>
      <c r="E3704" t="str">
        <f>"$ 13,156"</f>
        <v>$ 13,156</v>
      </c>
      <c r="F3704">
        <v>55</v>
      </c>
    </row>
    <row r="3705" spans="1:6">
      <c r="A3705" t="s">
        <v>3705</v>
      </c>
      <c r="B3705" t="str">
        <f t="shared" si="144"/>
        <v>0.00170%</v>
      </c>
      <c r="C3705" t="s">
        <v>10</v>
      </c>
      <c r="D3705" t="s">
        <v>10</v>
      </c>
      <c r="E3705" t="str">
        <f>"$ 13,152"</f>
        <v>$ 13,152</v>
      </c>
      <c r="F3705" s="1">
        <v>1036</v>
      </c>
    </row>
    <row r="3706" spans="1:6">
      <c r="A3706" t="s">
        <v>3706</v>
      </c>
      <c r="B3706" t="str">
        <f t="shared" si="144"/>
        <v>0.00170%</v>
      </c>
      <c r="C3706" t="s">
        <v>10</v>
      </c>
      <c r="D3706" t="s">
        <v>10</v>
      </c>
      <c r="E3706" t="str">
        <f>"$ 13,149"</f>
        <v>$ 13,149</v>
      </c>
      <c r="F3706">
        <v>683</v>
      </c>
    </row>
    <row r="3707" spans="1:6">
      <c r="A3707" t="s">
        <v>3707</v>
      </c>
      <c r="B3707" t="str">
        <f t="shared" si="144"/>
        <v>0.00170%</v>
      </c>
      <c r="C3707" t="s">
        <v>10</v>
      </c>
      <c r="D3707" t="s">
        <v>10</v>
      </c>
      <c r="E3707" t="str">
        <f>"$ 13,132"</f>
        <v>$ 13,132</v>
      </c>
      <c r="F3707" s="1">
        <v>9972</v>
      </c>
    </row>
    <row r="3708" spans="1:6">
      <c r="A3708" t="s">
        <v>3708</v>
      </c>
      <c r="B3708" t="str">
        <f t="shared" si="144"/>
        <v>0.00170%</v>
      </c>
      <c r="C3708" t="s">
        <v>10</v>
      </c>
      <c r="D3708" t="s">
        <v>10</v>
      </c>
      <c r="E3708" t="str">
        <f>"$ 13,101"</f>
        <v>$ 13,101</v>
      </c>
      <c r="F3708">
        <v>122</v>
      </c>
    </row>
    <row r="3709" spans="1:6">
      <c r="A3709" t="s">
        <v>3709</v>
      </c>
      <c r="B3709" t="str">
        <f t="shared" si="144"/>
        <v>0.00170%</v>
      </c>
      <c r="C3709" t="s">
        <v>10</v>
      </c>
      <c r="D3709" t="s">
        <v>10</v>
      </c>
      <c r="E3709" t="str">
        <f>"$ 13,111"</f>
        <v>$ 13,111</v>
      </c>
      <c r="F3709" s="1">
        <v>19814</v>
      </c>
    </row>
    <row r="3710" spans="1:6">
      <c r="A3710" t="s">
        <v>3710</v>
      </c>
      <c r="B3710" t="str">
        <f t="shared" si="144"/>
        <v>0.00170%</v>
      </c>
      <c r="C3710" t="s">
        <v>10</v>
      </c>
      <c r="D3710" t="s">
        <v>10</v>
      </c>
      <c r="E3710" t="str">
        <f>"$ 13,117"</f>
        <v>$ 13,117</v>
      </c>
      <c r="F3710" s="1">
        <v>3596</v>
      </c>
    </row>
    <row r="3711" spans="1:6">
      <c r="A3711" t="s">
        <v>3711</v>
      </c>
      <c r="B3711" t="str">
        <f t="shared" si="144"/>
        <v>0.00170%</v>
      </c>
      <c r="C3711" t="s">
        <v>10</v>
      </c>
      <c r="D3711" t="s">
        <v>10</v>
      </c>
      <c r="E3711" t="str">
        <f>"$ 13,163"</f>
        <v>$ 13,163</v>
      </c>
      <c r="F3711">
        <v>290</v>
      </c>
    </row>
    <row r="3712" spans="1:6">
      <c r="A3712" t="s">
        <v>3712</v>
      </c>
      <c r="B3712" t="str">
        <f t="shared" si="144"/>
        <v>0.00170%</v>
      </c>
      <c r="C3712" t="s">
        <v>10</v>
      </c>
      <c r="D3712" t="s">
        <v>10</v>
      </c>
      <c r="E3712" t="str">
        <f>"$ 13,117"</f>
        <v>$ 13,117</v>
      </c>
      <c r="F3712" s="1">
        <v>3546</v>
      </c>
    </row>
    <row r="3713" spans="1:6">
      <c r="A3713" t="s">
        <v>3713</v>
      </c>
      <c r="B3713" t="str">
        <f t="shared" si="144"/>
        <v>0.00170%</v>
      </c>
      <c r="C3713" t="s">
        <v>10</v>
      </c>
      <c r="D3713" t="s">
        <v>10</v>
      </c>
      <c r="E3713" t="str">
        <f>"$ 13,128"</f>
        <v>$ 13,128</v>
      </c>
      <c r="F3713" s="1">
        <v>20202</v>
      </c>
    </row>
    <row r="3714" spans="1:6">
      <c r="A3714" t="s">
        <v>3714</v>
      </c>
      <c r="B3714" t="str">
        <f t="shared" ref="B3714:B3729" si="145">"0.00169%"</f>
        <v>0.00169%</v>
      </c>
      <c r="C3714" t="s">
        <v>10</v>
      </c>
      <c r="D3714" t="s">
        <v>10</v>
      </c>
      <c r="E3714" t="str">
        <f>"$ 13,055"</f>
        <v>$ 13,055</v>
      </c>
      <c r="F3714">
        <v>316</v>
      </c>
    </row>
    <row r="3715" spans="1:6">
      <c r="A3715" t="s">
        <v>3715</v>
      </c>
      <c r="B3715" t="str">
        <f t="shared" si="145"/>
        <v>0.00169%</v>
      </c>
      <c r="C3715" t="s">
        <v>10</v>
      </c>
      <c r="D3715" t="s">
        <v>10</v>
      </c>
      <c r="E3715" t="str">
        <f>"$ 13,015"</f>
        <v>$ 13,015</v>
      </c>
      <c r="F3715" s="1">
        <v>3082</v>
      </c>
    </row>
    <row r="3716" spans="1:6">
      <c r="A3716" t="s">
        <v>3716</v>
      </c>
      <c r="B3716" t="str">
        <f t="shared" si="145"/>
        <v>0.00169%</v>
      </c>
      <c r="C3716" t="s">
        <v>10</v>
      </c>
      <c r="D3716" t="s">
        <v>10</v>
      </c>
      <c r="E3716" t="str">
        <f>"$ 13,028"</f>
        <v>$ 13,028</v>
      </c>
      <c r="F3716" s="1">
        <v>2508</v>
      </c>
    </row>
    <row r="3717" spans="1:6">
      <c r="A3717" t="s">
        <v>3717</v>
      </c>
      <c r="B3717" t="str">
        <f t="shared" si="145"/>
        <v>0.00169%</v>
      </c>
      <c r="C3717" t="s">
        <v>10</v>
      </c>
      <c r="D3717" t="s">
        <v>10</v>
      </c>
      <c r="E3717" t="str">
        <f>"$ 13,012"</f>
        <v>$ 13,012</v>
      </c>
      <c r="F3717">
        <v>194</v>
      </c>
    </row>
    <row r="3718" spans="1:6">
      <c r="A3718" t="s">
        <v>3718</v>
      </c>
      <c r="B3718" t="str">
        <f t="shared" si="145"/>
        <v>0.00169%</v>
      </c>
      <c r="C3718" t="s">
        <v>10</v>
      </c>
      <c r="D3718" t="s">
        <v>10</v>
      </c>
      <c r="E3718" t="str">
        <f>"$ 13,082"</f>
        <v>$ 13,082</v>
      </c>
      <c r="F3718" s="1">
        <v>1661</v>
      </c>
    </row>
    <row r="3719" spans="1:6">
      <c r="A3719" t="s">
        <v>3719</v>
      </c>
      <c r="B3719" t="str">
        <f t="shared" si="145"/>
        <v>0.00169%</v>
      </c>
      <c r="C3719" t="s">
        <v>10</v>
      </c>
      <c r="D3719" t="s">
        <v>10</v>
      </c>
      <c r="E3719" t="str">
        <f>"$ 13,037"</f>
        <v>$ 13,037</v>
      </c>
      <c r="F3719" s="1">
        <v>5269</v>
      </c>
    </row>
    <row r="3720" spans="1:6">
      <c r="A3720" t="s">
        <v>3720</v>
      </c>
      <c r="B3720" t="str">
        <f t="shared" si="145"/>
        <v>0.00169%</v>
      </c>
      <c r="C3720" t="s">
        <v>10</v>
      </c>
      <c r="D3720" t="s">
        <v>10</v>
      </c>
      <c r="E3720" t="str">
        <f>"$ 13,045"</f>
        <v>$ 13,045</v>
      </c>
      <c r="F3720" s="1">
        <v>1405</v>
      </c>
    </row>
    <row r="3721" spans="1:6">
      <c r="A3721" t="s">
        <v>3721</v>
      </c>
      <c r="B3721" t="str">
        <f t="shared" si="145"/>
        <v>0.00169%</v>
      </c>
      <c r="C3721" t="s">
        <v>10</v>
      </c>
      <c r="D3721" t="s">
        <v>10</v>
      </c>
      <c r="E3721" t="str">
        <f>"$ 13,067"</f>
        <v>$ 13,067</v>
      </c>
      <c r="F3721">
        <v>212</v>
      </c>
    </row>
    <row r="3722" spans="1:6">
      <c r="A3722" t="s">
        <v>3722</v>
      </c>
      <c r="B3722" t="str">
        <f t="shared" si="145"/>
        <v>0.00169%</v>
      </c>
      <c r="C3722" t="s">
        <v>10</v>
      </c>
      <c r="D3722" t="s">
        <v>10</v>
      </c>
      <c r="E3722" t="str">
        <f>"$ 13,067"</f>
        <v>$ 13,067</v>
      </c>
      <c r="F3722" s="1">
        <v>60416</v>
      </c>
    </row>
    <row r="3723" spans="1:6">
      <c r="A3723" t="s">
        <v>3723</v>
      </c>
      <c r="B3723" t="str">
        <f t="shared" si="145"/>
        <v>0.00169%</v>
      </c>
      <c r="C3723" t="s">
        <v>10</v>
      </c>
      <c r="D3723" t="s">
        <v>10</v>
      </c>
      <c r="E3723" t="str">
        <f>"$ 13,037"</f>
        <v>$ 13,037</v>
      </c>
      <c r="F3723" s="1">
        <v>3264</v>
      </c>
    </row>
    <row r="3724" spans="1:6">
      <c r="A3724" t="s">
        <v>3724</v>
      </c>
      <c r="B3724" t="str">
        <f t="shared" si="145"/>
        <v>0.00169%</v>
      </c>
      <c r="C3724" t="s">
        <v>10</v>
      </c>
      <c r="D3724" t="s">
        <v>10</v>
      </c>
      <c r="E3724" t="str">
        <f>"$ 13,087"</f>
        <v>$ 13,087</v>
      </c>
      <c r="F3724" s="1">
        <v>2188</v>
      </c>
    </row>
    <row r="3725" spans="1:6">
      <c r="A3725" t="s">
        <v>3725</v>
      </c>
      <c r="B3725" t="str">
        <f t="shared" si="145"/>
        <v>0.00169%</v>
      </c>
      <c r="C3725" t="s">
        <v>10</v>
      </c>
      <c r="D3725" t="s">
        <v>10</v>
      </c>
      <c r="E3725" t="str">
        <f>"$ 13,087"</f>
        <v>$ 13,087</v>
      </c>
      <c r="F3725">
        <v>560</v>
      </c>
    </row>
    <row r="3726" spans="1:6">
      <c r="A3726" t="s">
        <v>3726</v>
      </c>
      <c r="B3726" t="str">
        <f t="shared" si="145"/>
        <v>0.00169%</v>
      </c>
      <c r="C3726" t="s">
        <v>10</v>
      </c>
      <c r="D3726" t="s">
        <v>10</v>
      </c>
      <c r="E3726" t="str">
        <f>"$ 13,070"</f>
        <v>$ 13,070</v>
      </c>
      <c r="F3726" s="1">
        <v>1320</v>
      </c>
    </row>
    <row r="3727" spans="1:6">
      <c r="A3727" t="s">
        <v>3727</v>
      </c>
      <c r="B3727" t="str">
        <f t="shared" si="145"/>
        <v>0.00169%</v>
      </c>
      <c r="C3727" t="s">
        <v>10</v>
      </c>
      <c r="D3727" t="s">
        <v>10</v>
      </c>
      <c r="E3727" t="str">
        <f>"$ 13,032"</f>
        <v>$ 13,032</v>
      </c>
      <c r="F3727">
        <v>511</v>
      </c>
    </row>
    <row r="3728" spans="1:6">
      <c r="A3728" t="s">
        <v>3728</v>
      </c>
      <c r="B3728" t="str">
        <f t="shared" si="145"/>
        <v>0.00169%</v>
      </c>
      <c r="C3728" t="s">
        <v>10</v>
      </c>
      <c r="D3728" t="s">
        <v>10</v>
      </c>
      <c r="E3728" t="str">
        <f>"$ 13,028"</f>
        <v>$ 13,028</v>
      </c>
      <c r="F3728">
        <v>379</v>
      </c>
    </row>
    <row r="3729" spans="1:6">
      <c r="A3729" t="s">
        <v>3729</v>
      </c>
      <c r="B3729" t="str">
        <f t="shared" si="145"/>
        <v>0.00169%</v>
      </c>
      <c r="C3729" t="s">
        <v>10</v>
      </c>
      <c r="D3729" t="s">
        <v>10</v>
      </c>
      <c r="E3729" t="str">
        <f>"$ 13,014"</f>
        <v>$ 13,014</v>
      </c>
      <c r="F3729">
        <v>959</v>
      </c>
    </row>
    <row r="3730" spans="1:6">
      <c r="A3730" t="s">
        <v>3730</v>
      </c>
      <c r="B3730" t="str">
        <f t="shared" ref="B3730:B3741" si="146">"0.00168%"</f>
        <v>0.00168%</v>
      </c>
      <c r="C3730" t="s">
        <v>10</v>
      </c>
      <c r="D3730" t="s">
        <v>10</v>
      </c>
      <c r="E3730" t="str">
        <f>"$ 12,949"</f>
        <v>$ 12,949</v>
      </c>
      <c r="F3730" s="1">
        <v>7287</v>
      </c>
    </row>
    <row r="3731" spans="1:6">
      <c r="A3731" t="s">
        <v>3731</v>
      </c>
      <c r="B3731" t="str">
        <f t="shared" si="146"/>
        <v>0.00168%</v>
      </c>
      <c r="C3731" t="s">
        <v>10</v>
      </c>
      <c r="D3731" t="s">
        <v>10</v>
      </c>
      <c r="E3731" t="str">
        <f>"$ 13,003"</f>
        <v>$ 13,003</v>
      </c>
      <c r="F3731">
        <v>379</v>
      </c>
    </row>
    <row r="3732" spans="1:6">
      <c r="A3732" t="s">
        <v>3732</v>
      </c>
      <c r="B3732" t="str">
        <f t="shared" si="146"/>
        <v>0.00168%</v>
      </c>
      <c r="C3732" t="s">
        <v>10</v>
      </c>
      <c r="D3732" t="s">
        <v>10</v>
      </c>
      <c r="E3732" t="str">
        <f>"$ 12,982"</f>
        <v>$ 12,982</v>
      </c>
      <c r="F3732" s="1">
        <v>1122</v>
      </c>
    </row>
    <row r="3733" spans="1:6">
      <c r="A3733" t="s">
        <v>3733</v>
      </c>
      <c r="B3733" t="str">
        <f t="shared" si="146"/>
        <v>0.00168%</v>
      </c>
      <c r="C3733" t="s">
        <v>10</v>
      </c>
      <c r="D3733" t="s">
        <v>10</v>
      </c>
      <c r="E3733" t="str">
        <f>"$ 12,956"</f>
        <v>$ 12,956</v>
      </c>
      <c r="F3733">
        <v>289</v>
      </c>
    </row>
    <row r="3734" spans="1:6">
      <c r="A3734" t="s">
        <v>3734</v>
      </c>
      <c r="B3734" t="str">
        <f t="shared" si="146"/>
        <v>0.00168%</v>
      </c>
      <c r="C3734" t="s">
        <v>10</v>
      </c>
      <c r="D3734" t="s">
        <v>10</v>
      </c>
      <c r="E3734" t="str">
        <f>"$ 12,954"</f>
        <v>$ 12,954</v>
      </c>
      <c r="F3734">
        <v>395</v>
      </c>
    </row>
    <row r="3735" spans="1:6">
      <c r="A3735" t="s">
        <v>3735</v>
      </c>
      <c r="B3735" t="str">
        <f t="shared" si="146"/>
        <v>0.00168%</v>
      </c>
      <c r="C3735" t="s">
        <v>10</v>
      </c>
      <c r="D3735" t="s">
        <v>10</v>
      </c>
      <c r="E3735" t="str">
        <f>"$ 12,978"</f>
        <v>$ 12,978</v>
      </c>
      <c r="F3735">
        <v>243</v>
      </c>
    </row>
    <row r="3736" spans="1:6">
      <c r="A3736" t="s">
        <v>3736</v>
      </c>
      <c r="B3736" t="str">
        <f t="shared" si="146"/>
        <v>0.00168%</v>
      </c>
      <c r="C3736" t="s">
        <v>10</v>
      </c>
      <c r="D3736" t="s">
        <v>10</v>
      </c>
      <c r="E3736" t="str">
        <f>"$ 12,946"</f>
        <v>$ 12,946</v>
      </c>
      <c r="F3736">
        <v>446</v>
      </c>
    </row>
    <row r="3737" spans="1:6">
      <c r="A3737" t="s">
        <v>3737</v>
      </c>
      <c r="B3737" t="str">
        <f t="shared" si="146"/>
        <v>0.00168%</v>
      </c>
      <c r="C3737" t="s">
        <v>10</v>
      </c>
      <c r="D3737" t="s">
        <v>10</v>
      </c>
      <c r="E3737" t="str">
        <f>"$ 12,965"</f>
        <v>$ 12,965</v>
      </c>
      <c r="F3737">
        <v>957</v>
      </c>
    </row>
    <row r="3738" spans="1:6">
      <c r="A3738" t="s">
        <v>3738</v>
      </c>
      <c r="B3738" t="str">
        <f t="shared" si="146"/>
        <v>0.00168%</v>
      </c>
      <c r="C3738" t="s">
        <v>10</v>
      </c>
      <c r="D3738" t="s">
        <v>10</v>
      </c>
      <c r="E3738" t="str">
        <f>"$ 12,957"</f>
        <v>$ 12,957</v>
      </c>
      <c r="F3738">
        <v>156</v>
      </c>
    </row>
    <row r="3739" spans="1:6">
      <c r="A3739" t="s">
        <v>3739</v>
      </c>
      <c r="B3739" t="str">
        <f t="shared" si="146"/>
        <v>0.00168%</v>
      </c>
      <c r="C3739" t="s">
        <v>10</v>
      </c>
      <c r="D3739" t="s">
        <v>10</v>
      </c>
      <c r="E3739" t="str">
        <f>"$ 12,965"</f>
        <v>$ 12,965</v>
      </c>
      <c r="F3739" s="1">
        <v>17321</v>
      </c>
    </row>
    <row r="3740" spans="1:6">
      <c r="A3740" t="s">
        <v>3740</v>
      </c>
      <c r="B3740" t="str">
        <f t="shared" si="146"/>
        <v>0.00168%</v>
      </c>
      <c r="C3740" t="s">
        <v>10</v>
      </c>
      <c r="D3740" t="s">
        <v>10</v>
      </c>
      <c r="E3740" t="str">
        <f>"$ 12,983"</f>
        <v>$ 12,983</v>
      </c>
      <c r="F3740" s="1">
        <v>5084</v>
      </c>
    </row>
    <row r="3741" spans="1:6">
      <c r="A3741" t="s">
        <v>3741</v>
      </c>
      <c r="B3741" t="str">
        <f t="shared" si="146"/>
        <v>0.00168%</v>
      </c>
      <c r="C3741" t="s">
        <v>10</v>
      </c>
      <c r="D3741" t="s">
        <v>10</v>
      </c>
      <c r="E3741" t="str">
        <f>"$ 13,007"</f>
        <v>$ 13,007</v>
      </c>
      <c r="F3741">
        <v>365</v>
      </c>
    </row>
    <row r="3742" spans="1:6">
      <c r="A3742" t="s">
        <v>3742</v>
      </c>
      <c r="B3742" t="str">
        <f t="shared" ref="B3742:B3751" si="147">"0.00167%"</f>
        <v>0.00167%</v>
      </c>
      <c r="C3742" t="s">
        <v>10</v>
      </c>
      <c r="D3742" t="s">
        <v>10</v>
      </c>
      <c r="E3742" t="str">
        <f>"$ 12,923"</f>
        <v>$ 12,923</v>
      </c>
      <c r="F3742">
        <v>99</v>
      </c>
    </row>
    <row r="3743" spans="1:6">
      <c r="A3743" t="s">
        <v>3743</v>
      </c>
      <c r="B3743" t="str">
        <f t="shared" si="147"/>
        <v>0.00167%</v>
      </c>
      <c r="C3743" t="s">
        <v>10</v>
      </c>
      <c r="D3743" t="s">
        <v>10</v>
      </c>
      <c r="E3743" t="str">
        <f>"$ 12,928"</f>
        <v>$ 12,928</v>
      </c>
      <c r="F3743" s="1">
        <v>10249</v>
      </c>
    </row>
    <row r="3744" spans="1:6">
      <c r="A3744" t="s">
        <v>3744</v>
      </c>
      <c r="B3744" t="str">
        <f t="shared" si="147"/>
        <v>0.00167%</v>
      </c>
      <c r="C3744" t="s">
        <v>10</v>
      </c>
      <c r="D3744" t="s">
        <v>10</v>
      </c>
      <c r="E3744" t="str">
        <f>"$ 12,906"</f>
        <v>$ 12,906</v>
      </c>
      <c r="F3744">
        <v>107</v>
      </c>
    </row>
    <row r="3745" spans="1:6">
      <c r="A3745" t="s">
        <v>3745</v>
      </c>
      <c r="B3745" t="str">
        <f t="shared" si="147"/>
        <v>0.00167%</v>
      </c>
      <c r="C3745" t="s">
        <v>10</v>
      </c>
      <c r="D3745" t="s">
        <v>10</v>
      </c>
      <c r="E3745" t="str">
        <f>"$ 12,908"</f>
        <v>$ 12,908</v>
      </c>
      <c r="F3745">
        <v>174</v>
      </c>
    </row>
    <row r="3746" spans="1:6">
      <c r="A3746" t="s">
        <v>3746</v>
      </c>
      <c r="B3746" t="str">
        <f t="shared" si="147"/>
        <v>0.00167%</v>
      </c>
      <c r="C3746" t="s">
        <v>10</v>
      </c>
      <c r="D3746" t="s">
        <v>10</v>
      </c>
      <c r="E3746" t="str">
        <f>"$ 12,878"</f>
        <v>$ 12,878</v>
      </c>
      <c r="F3746">
        <v>30</v>
      </c>
    </row>
    <row r="3747" spans="1:6">
      <c r="A3747" t="s">
        <v>3747</v>
      </c>
      <c r="B3747" t="str">
        <f t="shared" si="147"/>
        <v>0.00167%</v>
      </c>
      <c r="C3747" t="s">
        <v>10</v>
      </c>
      <c r="D3747" t="s">
        <v>10</v>
      </c>
      <c r="E3747" t="str">
        <f>"$ 12,876"</f>
        <v>$ 12,876</v>
      </c>
      <c r="F3747">
        <v>293</v>
      </c>
    </row>
    <row r="3748" spans="1:6">
      <c r="A3748" t="s">
        <v>3748</v>
      </c>
      <c r="B3748" t="str">
        <f t="shared" si="147"/>
        <v>0.00167%</v>
      </c>
      <c r="C3748" t="s">
        <v>10</v>
      </c>
      <c r="D3748" t="s">
        <v>10</v>
      </c>
      <c r="E3748" t="str">
        <f>"$ 12,872"</f>
        <v>$ 12,872</v>
      </c>
      <c r="F3748">
        <v>219</v>
      </c>
    </row>
    <row r="3749" spans="1:6">
      <c r="A3749" t="s">
        <v>3749</v>
      </c>
      <c r="B3749" t="str">
        <f t="shared" si="147"/>
        <v>0.00167%</v>
      </c>
      <c r="C3749" t="s">
        <v>10</v>
      </c>
      <c r="D3749" t="s">
        <v>10</v>
      </c>
      <c r="E3749" t="str">
        <f>"$ 12,913"</f>
        <v>$ 12,913</v>
      </c>
      <c r="F3749">
        <v>458</v>
      </c>
    </row>
    <row r="3750" spans="1:6">
      <c r="A3750" t="s">
        <v>3750</v>
      </c>
      <c r="B3750" t="str">
        <f t="shared" si="147"/>
        <v>0.00167%</v>
      </c>
      <c r="C3750" t="s">
        <v>10</v>
      </c>
      <c r="D3750" t="s">
        <v>10</v>
      </c>
      <c r="E3750" t="str">
        <f>"$ 12,858"</f>
        <v>$ 12,858</v>
      </c>
      <c r="F3750">
        <v>339</v>
      </c>
    </row>
    <row r="3751" spans="1:6">
      <c r="A3751" t="s">
        <v>3751</v>
      </c>
      <c r="B3751" t="str">
        <f t="shared" si="147"/>
        <v>0.00167%</v>
      </c>
      <c r="C3751" t="s">
        <v>10</v>
      </c>
      <c r="D3751" t="s">
        <v>10</v>
      </c>
      <c r="E3751" t="str">
        <f>"$ 12,885"</f>
        <v>$ 12,885</v>
      </c>
      <c r="F3751">
        <v>275</v>
      </c>
    </row>
    <row r="3752" spans="1:6">
      <c r="A3752" t="s">
        <v>3752</v>
      </c>
      <c r="B3752" t="str">
        <f t="shared" ref="B3752:B3759" si="148">"0.00166%"</f>
        <v>0.00166%</v>
      </c>
      <c r="C3752" t="s">
        <v>10</v>
      </c>
      <c r="D3752" t="s">
        <v>10</v>
      </c>
      <c r="E3752" t="str">
        <f>"$ 12,834"</f>
        <v>$ 12,834</v>
      </c>
      <c r="F3752">
        <v>363</v>
      </c>
    </row>
    <row r="3753" spans="1:6">
      <c r="A3753" t="s">
        <v>3753</v>
      </c>
      <c r="B3753" t="str">
        <f t="shared" si="148"/>
        <v>0.00166%</v>
      </c>
      <c r="C3753" t="s">
        <v>10</v>
      </c>
      <c r="D3753" t="s">
        <v>10</v>
      </c>
      <c r="E3753" t="str">
        <f>"$ 12,839"</f>
        <v>$ 12,839</v>
      </c>
      <c r="F3753">
        <v>129</v>
      </c>
    </row>
    <row r="3754" spans="1:6">
      <c r="A3754" t="s">
        <v>3754</v>
      </c>
      <c r="B3754" t="str">
        <f t="shared" si="148"/>
        <v>0.00166%</v>
      </c>
      <c r="C3754" t="s">
        <v>10</v>
      </c>
      <c r="D3754" t="s">
        <v>10</v>
      </c>
      <c r="E3754" t="str">
        <f>"$ 12,834"</f>
        <v>$ 12,834</v>
      </c>
      <c r="F3754" s="1">
        <v>3642</v>
      </c>
    </row>
    <row r="3755" spans="1:6">
      <c r="A3755" t="s">
        <v>3755</v>
      </c>
      <c r="B3755" t="str">
        <f t="shared" si="148"/>
        <v>0.00166%</v>
      </c>
      <c r="C3755" t="s">
        <v>10</v>
      </c>
      <c r="D3755" t="s">
        <v>10</v>
      </c>
      <c r="E3755" t="str">
        <f>"$ 12,785"</f>
        <v>$ 12,785</v>
      </c>
      <c r="F3755">
        <v>297</v>
      </c>
    </row>
    <row r="3756" spans="1:6">
      <c r="A3756" t="s">
        <v>3756</v>
      </c>
      <c r="B3756" t="str">
        <f t="shared" si="148"/>
        <v>0.00166%</v>
      </c>
      <c r="C3756" t="s">
        <v>10</v>
      </c>
      <c r="D3756" t="s">
        <v>10</v>
      </c>
      <c r="E3756" t="str">
        <f>"$ 12,817"</f>
        <v>$ 12,817</v>
      </c>
      <c r="F3756">
        <v>228</v>
      </c>
    </row>
    <row r="3757" spans="1:6">
      <c r="A3757" t="s">
        <v>3757</v>
      </c>
      <c r="B3757" t="str">
        <f t="shared" si="148"/>
        <v>0.00166%</v>
      </c>
      <c r="C3757" t="s">
        <v>10</v>
      </c>
      <c r="D3757" t="s">
        <v>10</v>
      </c>
      <c r="E3757" t="str">
        <f>"$ 12,824"</f>
        <v>$ 12,824</v>
      </c>
      <c r="F3757" s="1">
        <v>2375</v>
      </c>
    </row>
    <row r="3758" spans="1:6">
      <c r="A3758" t="s">
        <v>3758</v>
      </c>
      <c r="B3758" t="str">
        <f t="shared" si="148"/>
        <v>0.00166%</v>
      </c>
      <c r="C3758" t="s">
        <v>10</v>
      </c>
      <c r="D3758" t="s">
        <v>10</v>
      </c>
      <c r="E3758" t="str">
        <f>"$ 12,832"</f>
        <v>$ 12,832</v>
      </c>
      <c r="F3758">
        <v>786</v>
      </c>
    </row>
    <row r="3759" spans="1:6">
      <c r="A3759" t="s">
        <v>3759</v>
      </c>
      <c r="B3759" t="str">
        <f t="shared" si="148"/>
        <v>0.00166%</v>
      </c>
      <c r="C3759" t="s">
        <v>10</v>
      </c>
      <c r="D3759" t="s">
        <v>10</v>
      </c>
      <c r="E3759" t="str">
        <f>"$ 12,789"</f>
        <v>$ 12,789</v>
      </c>
      <c r="F3759" s="1">
        <v>1562</v>
      </c>
    </row>
    <row r="3760" spans="1:6">
      <c r="A3760" t="s">
        <v>3760</v>
      </c>
      <c r="B3760" t="str">
        <f t="shared" ref="B3760:B3774" si="149">"0.00165%"</f>
        <v>0.00165%</v>
      </c>
      <c r="C3760" t="s">
        <v>10</v>
      </c>
      <c r="D3760" t="s">
        <v>10</v>
      </c>
      <c r="E3760" t="str">
        <f>"$ 12,750"</f>
        <v>$ 12,750</v>
      </c>
      <c r="F3760" s="1">
        <v>1640</v>
      </c>
    </row>
    <row r="3761" spans="1:6">
      <c r="A3761" t="s">
        <v>3761</v>
      </c>
      <c r="B3761" t="str">
        <f t="shared" si="149"/>
        <v>0.00165%</v>
      </c>
      <c r="C3761" t="s">
        <v>10</v>
      </c>
      <c r="D3761" t="s">
        <v>10</v>
      </c>
      <c r="E3761" t="str">
        <f>"$ 12,705"</f>
        <v>$ 12,705</v>
      </c>
      <c r="F3761" s="1">
        <v>2506</v>
      </c>
    </row>
    <row r="3762" spans="1:6">
      <c r="A3762" t="s">
        <v>3762</v>
      </c>
      <c r="B3762" t="str">
        <f t="shared" si="149"/>
        <v>0.00165%</v>
      </c>
      <c r="C3762" t="s">
        <v>10</v>
      </c>
      <c r="D3762" t="s">
        <v>10</v>
      </c>
      <c r="E3762" t="str">
        <f>"$ 12,774"</f>
        <v>$ 12,774</v>
      </c>
      <c r="F3762" s="1">
        <v>1180</v>
      </c>
    </row>
    <row r="3763" spans="1:6">
      <c r="A3763" t="s">
        <v>3763</v>
      </c>
      <c r="B3763" t="str">
        <f t="shared" si="149"/>
        <v>0.00165%</v>
      </c>
      <c r="C3763" t="s">
        <v>10</v>
      </c>
      <c r="D3763" t="s">
        <v>10</v>
      </c>
      <c r="E3763" t="str">
        <f>"$ 12,711"</f>
        <v>$ 12,711</v>
      </c>
      <c r="F3763">
        <v>200</v>
      </c>
    </row>
    <row r="3764" spans="1:6">
      <c r="A3764" t="s">
        <v>3764</v>
      </c>
      <c r="B3764" t="str">
        <f t="shared" si="149"/>
        <v>0.00165%</v>
      </c>
      <c r="C3764" t="s">
        <v>10</v>
      </c>
      <c r="D3764" t="s">
        <v>10</v>
      </c>
      <c r="E3764" t="str">
        <f>"$ 12,757"</f>
        <v>$ 12,757</v>
      </c>
      <c r="F3764">
        <v>182</v>
      </c>
    </row>
    <row r="3765" spans="1:6">
      <c r="A3765" t="s">
        <v>3765</v>
      </c>
      <c r="B3765" t="str">
        <f t="shared" si="149"/>
        <v>0.00165%</v>
      </c>
      <c r="C3765" t="s">
        <v>10</v>
      </c>
      <c r="D3765" t="s">
        <v>10</v>
      </c>
      <c r="E3765" t="str">
        <f>"$ 12,734"</f>
        <v>$ 12,734</v>
      </c>
      <c r="F3765">
        <v>264</v>
      </c>
    </row>
    <row r="3766" spans="1:6">
      <c r="A3766" t="s">
        <v>3766</v>
      </c>
      <c r="B3766" t="str">
        <f t="shared" si="149"/>
        <v>0.00165%</v>
      </c>
      <c r="C3766" t="s">
        <v>10</v>
      </c>
      <c r="D3766" t="s">
        <v>10</v>
      </c>
      <c r="E3766" t="str">
        <f>"$ 12,752"</f>
        <v>$ 12,752</v>
      </c>
      <c r="F3766">
        <v>311</v>
      </c>
    </row>
    <row r="3767" spans="1:6">
      <c r="A3767" t="s">
        <v>3767</v>
      </c>
      <c r="B3767" t="str">
        <f t="shared" si="149"/>
        <v>0.00165%</v>
      </c>
      <c r="C3767" t="s">
        <v>10</v>
      </c>
      <c r="D3767" t="s">
        <v>10</v>
      </c>
      <c r="E3767" t="str">
        <f>"$ 12,742"</f>
        <v>$ 12,742</v>
      </c>
      <c r="F3767">
        <v>529</v>
      </c>
    </row>
    <row r="3768" spans="1:6">
      <c r="A3768" t="s">
        <v>3768</v>
      </c>
      <c r="B3768" t="str">
        <f t="shared" si="149"/>
        <v>0.00165%</v>
      </c>
      <c r="C3768" t="s">
        <v>10</v>
      </c>
      <c r="D3768" t="s">
        <v>10</v>
      </c>
      <c r="E3768" t="str">
        <f>"$ 12,734"</f>
        <v>$ 12,734</v>
      </c>
      <c r="F3768">
        <v>323</v>
      </c>
    </row>
    <row r="3769" spans="1:6">
      <c r="A3769" t="s">
        <v>3769</v>
      </c>
      <c r="B3769" t="str">
        <f t="shared" si="149"/>
        <v>0.00165%</v>
      </c>
      <c r="C3769" t="s">
        <v>10</v>
      </c>
      <c r="D3769" t="s">
        <v>10</v>
      </c>
      <c r="E3769" t="str">
        <f>"$ 12,719"</f>
        <v>$ 12,719</v>
      </c>
      <c r="F3769">
        <v>175</v>
      </c>
    </row>
    <row r="3770" spans="1:6">
      <c r="A3770" t="s">
        <v>3770</v>
      </c>
      <c r="B3770" t="str">
        <f t="shared" si="149"/>
        <v>0.00165%</v>
      </c>
      <c r="C3770" t="s">
        <v>10</v>
      </c>
      <c r="D3770" t="s">
        <v>10</v>
      </c>
      <c r="E3770" t="str">
        <f>"$ 12,779"</f>
        <v>$ 12,779</v>
      </c>
      <c r="F3770" s="1">
        <v>2748</v>
      </c>
    </row>
    <row r="3771" spans="1:6">
      <c r="A3771" t="s">
        <v>3771</v>
      </c>
      <c r="B3771" t="str">
        <f t="shared" si="149"/>
        <v>0.00165%</v>
      </c>
      <c r="C3771" t="s">
        <v>10</v>
      </c>
      <c r="D3771" t="s">
        <v>10</v>
      </c>
      <c r="E3771" t="str">
        <f>"$ 12,716"</f>
        <v>$ 12,716</v>
      </c>
      <c r="F3771">
        <v>996</v>
      </c>
    </row>
    <row r="3772" spans="1:6">
      <c r="A3772" t="s">
        <v>3772</v>
      </c>
      <c r="B3772" t="str">
        <f t="shared" si="149"/>
        <v>0.00165%</v>
      </c>
      <c r="C3772" t="s">
        <v>10</v>
      </c>
      <c r="D3772" t="s">
        <v>10</v>
      </c>
      <c r="E3772" t="str">
        <f>"$ 12,759"</f>
        <v>$ 12,759</v>
      </c>
      <c r="F3772" s="1">
        <v>5985</v>
      </c>
    </row>
    <row r="3773" spans="1:6">
      <c r="A3773" t="s">
        <v>3773</v>
      </c>
      <c r="B3773" t="str">
        <f t="shared" si="149"/>
        <v>0.00165%</v>
      </c>
      <c r="C3773" t="s">
        <v>10</v>
      </c>
      <c r="D3773" t="s">
        <v>10</v>
      </c>
      <c r="E3773" t="str">
        <f>"$ 12,733"</f>
        <v>$ 12,733</v>
      </c>
      <c r="F3773">
        <v>581</v>
      </c>
    </row>
    <row r="3774" spans="1:6">
      <c r="A3774" t="s">
        <v>3774</v>
      </c>
      <c r="B3774" t="str">
        <f t="shared" si="149"/>
        <v>0.00165%</v>
      </c>
      <c r="C3774" t="s">
        <v>10</v>
      </c>
      <c r="D3774" t="s">
        <v>10</v>
      </c>
      <c r="E3774" t="str">
        <f>"$ 12,748"</f>
        <v>$ 12,748</v>
      </c>
      <c r="F3774" s="1">
        <v>12329</v>
      </c>
    </row>
    <row r="3775" spans="1:6">
      <c r="A3775" t="s">
        <v>3775</v>
      </c>
      <c r="B3775" t="str">
        <f t="shared" ref="B3775:B3793" si="150">"0.00164%"</f>
        <v>0.00164%</v>
      </c>
      <c r="C3775" t="s">
        <v>10</v>
      </c>
      <c r="D3775" t="s">
        <v>10</v>
      </c>
      <c r="E3775" t="str">
        <f>"$ 12,650"</f>
        <v>$ 12,650</v>
      </c>
      <c r="F3775">
        <v>265</v>
      </c>
    </row>
    <row r="3776" spans="1:6">
      <c r="A3776" t="s">
        <v>3776</v>
      </c>
      <c r="B3776" t="str">
        <f t="shared" si="150"/>
        <v>0.00164%</v>
      </c>
      <c r="C3776" t="s">
        <v>10</v>
      </c>
      <c r="D3776" t="s">
        <v>10</v>
      </c>
      <c r="E3776" t="str">
        <f>"$ 12,685"</f>
        <v>$ 12,685</v>
      </c>
      <c r="F3776">
        <v>726</v>
      </c>
    </row>
    <row r="3777" spans="1:6">
      <c r="A3777" t="s">
        <v>3777</v>
      </c>
      <c r="B3777" t="str">
        <f t="shared" si="150"/>
        <v>0.00164%</v>
      </c>
      <c r="C3777" t="s">
        <v>10</v>
      </c>
      <c r="D3777" t="s">
        <v>10</v>
      </c>
      <c r="E3777" t="str">
        <f>"$ 12,674"</f>
        <v>$ 12,674</v>
      </c>
      <c r="F3777">
        <v>35</v>
      </c>
    </row>
    <row r="3778" spans="1:6">
      <c r="A3778" t="s">
        <v>3778</v>
      </c>
      <c r="B3778" t="str">
        <f t="shared" si="150"/>
        <v>0.00164%</v>
      </c>
      <c r="C3778" t="s">
        <v>10</v>
      </c>
      <c r="D3778" t="s">
        <v>10</v>
      </c>
      <c r="E3778" t="str">
        <f>"$ 12,663"</f>
        <v>$ 12,663</v>
      </c>
      <c r="F3778">
        <v>102</v>
      </c>
    </row>
    <row r="3779" spans="1:6">
      <c r="A3779" t="s">
        <v>3779</v>
      </c>
      <c r="B3779" t="str">
        <f t="shared" si="150"/>
        <v>0.00164%</v>
      </c>
      <c r="C3779" t="s">
        <v>10</v>
      </c>
      <c r="D3779" t="s">
        <v>10</v>
      </c>
      <c r="E3779" t="str">
        <f>"$ 12,701"</f>
        <v>$ 12,701</v>
      </c>
      <c r="F3779">
        <v>561</v>
      </c>
    </row>
    <row r="3780" spans="1:6">
      <c r="A3780" t="s">
        <v>3780</v>
      </c>
      <c r="B3780" t="str">
        <f t="shared" si="150"/>
        <v>0.00164%</v>
      </c>
      <c r="C3780" t="s">
        <v>10</v>
      </c>
      <c r="D3780" t="s">
        <v>10</v>
      </c>
      <c r="E3780" t="str">
        <f>"$ 12,626"</f>
        <v>$ 12,626</v>
      </c>
      <c r="F3780">
        <v>412</v>
      </c>
    </row>
    <row r="3781" spans="1:6">
      <c r="A3781" t="s">
        <v>3781</v>
      </c>
      <c r="B3781" t="str">
        <f t="shared" si="150"/>
        <v>0.00164%</v>
      </c>
      <c r="C3781" t="s">
        <v>10</v>
      </c>
      <c r="D3781" t="s">
        <v>10</v>
      </c>
      <c r="E3781" t="str">
        <f>"$ 12,692"</f>
        <v>$ 12,692</v>
      </c>
      <c r="F3781">
        <v>29</v>
      </c>
    </row>
    <row r="3782" spans="1:6">
      <c r="A3782" t="s">
        <v>3782</v>
      </c>
      <c r="B3782" t="str">
        <f t="shared" si="150"/>
        <v>0.00164%</v>
      </c>
      <c r="C3782" t="s">
        <v>10</v>
      </c>
      <c r="D3782" t="s">
        <v>10</v>
      </c>
      <c r="E3782" t="str">
        <f>"$ 12,686"</f>
        <v>$ 12,686</v>
      </c>
      <c r="F3782">
        <v>147</v>
      </c>
    </row>
    <row r="3783" spans="1:6">
      <c r="A3783" t="s">
        <v>3783</v>
      </c>
      <c r="B3783" t="str">
        <f t="shared" si="150"/>
        <v>0.00164%</v>
      </c>
      <c r="C3783" t="s">
        <v>10</v>
      </c>
      <c r="D3783" t="s">
        <v>10</v>
      </c>
      <c r="E3783" t="str">
        <f>"$ 12,655"</f>
        <v>$ 12,655</v>
      </c>
      <c r="F3783" s="1">
        <v>1259</v>
      </c>
    </row>
    <row r="3784" spans="1:6">
      <c r="A3784" t="s">
        <v>3784</v>
      </c>
      <c r="B3784" t="str">
        <f t="shared" si="150"/>
        <v>0.00164%</v>
      </c>
      <c r="C3784" t="s">
        <v>10</v>
      </c>
      <c r="D3784" t="s">
        <v>10</v>
      </c>
      <c r="E3784" t="str">
        <f>"$ 12,664"</f>
        <v>$ 12,664</v>
      </c>
      <c r="F3784">
        <v>107</v>
      </c>
    </row>
    <row r="3785" spans="1:6">
      <c r="A3785" t="s">
        <v>3785</v>
      </c>
      <c r="B3785" t="str">
        <f t="shared" si="150"/>
        <v>0.00164%</v>
      </c>
      <c r="C3785" t="s">
        <v>10</v>
      </c>
      <c r="D3785" t="s">
        <v>10</v>
      </c>
      <c r="E3785" t="str">
        <f>"$ 12,628"</f>
        <v>$ 12,628</v>
      </c>
      <c r="F3785">
        <v>409</v>
      </c>
    </row>
    <row r="3786" spans="1:6">
      <c r="A3786" t="s">
        <v>3786</v>
      </c>
      <c r="B3786" t="str">
        <f t="shared" si="150"/>
        <v>0.00164%</v>
      </c>
      <c r="C3786" t="s">
        <v>10</v>
      </c>
      <c r="D3786" t="s">
        <v>10</v>
      </c>
      <c r="E3786" t="str">
        <f>"$ 12,665"</f>
        <v>$ 12,665</v>
      </c>
      <c r="F3786" s="1">
        <v>1070</v>
      </c>
    </row>
    <row r="3787" spans="1:6">
      <c r="A3787" t="s">
        <v>3787</v>
      </c>
      <c r="B3787" t="str">
        <f t="shared" si="150"/>
        <v>0.00164%</v>
      </c>
      <c r="C3787" t="s">
        <v>10</v>
      </c>
      <c r="D3787" t="s">
        <v>10</v>
      </c>
      <c r="E3787" t="str">
        <f>"$ 12,686"</f>
        <v>$ 12,686</v>
      </c>
      <c r="F3787" s="1">
        <v>9486</v>
      </c>
    </row>
    <row r="3788" spans="1:6">
      <c r="A3788" t="s">
        <v>3788</v>
      </c>
      <c r="B3788" t="str">
        <f t="shared" si="150"/>
        <v>0.00164%</v>
      </c>
      <c r="C3788" t="s">
        <v>10</v>
      </c>
      <c r="D3788" t="s">
        <v>10</v>
      </c>
      <c r="E3788" t="str">
        <f>"$ 12,641"</f>
        <v>$ 12,641</v>
      </c>
      <c r="F3788" s="1">
        <v>1699</v>
      </c>
    </row>
    <row r="3789" spans="1:6">
      <c r="A3789" t="s">
        <v>3789</v>
      </c>
      <c r="B3789" t="str">
        <f t="shared" si="150"/>
        <v>0.00164%</v>
      </c>
      <c r="C3789" t="s">
        <v>10</v>
      </c>
      <c r="D3789" t="s">
        <v>10</v>
      </c>
      <c r="E3789" t="str">
        <f>"$ 12,669"</f>
        <v>$ 12,669</v>
      </c>
      <c r="F3789">
        <v>860</v>
      </c>
    </row>
    <row r="3790" spans="1:6">
      <c r="A3790" t="s">
        <v>3790</v>
      </c>
      <c r="B3790" t="str">
        <f t="shared" si="150"/>
        <v>0.00164%</v>
      </c>
      <c r="C3790" t="s">
        <v>10</v>
      </c>
      <c r="D3790" t="s">
        <v>10</v>
      </c>
      <c r="E3790" t="str">
        <f>"$ 12,627"</f>
        <v>$ 12,627</v>
      </c>
      <c r="F3790" s="1">
        <v>1655</v>
      </c>
    </row>
    <row r="3791" spans="1:6">
      <c r="A3791" t="s">
        <v>3791</v>
      </c>
      <c r="B3791" t="str">
        <f t="shared" si="150"/>
        <v>0.00164%</v>
      </c>
      <c r="C3791" t="s">
        <v>10</v>
      </c>
      <c r="D3791" t="s">
        <v>10</v>
      </c>
      <c r="E3791" t="str">
        <f>"$ 12,677"</f>
        <v>$ 12,677</v>
      </c>
      <c r="F3791">
        <v>143</v>
      </c>
    </row>
    <row r="3792" spans="1:6">
      <c r="A3792" t="s">
        <v>3792</v>
      </c>
      <c r="B3792" t="str">
        <f t="shared" si="150"/>
        <v>0.00164%</v>
      </c>
      <c r="C3792" t="s">
        <v>10</v>
      </c>
      <c r="D3792" t="s">
        <v>10</v>
      </c>
      <c r="E3792" t="str">
        <f>"$ 12,683"</f>
        <v>$ 12,683</v>
      </c>
      <c r="F3792" s="1">
        <v>4458</v>
      </c>
    </row>
    <row r="3793" spans="1:6">
      <c r="A3793" t="s">
        <v>3793</v>
      </c>
      <c r="B3793" t="str">
        <f t="shared" si="150"/>
        <v>0.00164%</v>
      </c>
      <c r="C3793" t="s">
        <v>10</v>
      </c>
      <c r="D3793" t="s">
        <v>10</v>
      </c>
      <c r="E3793" t="str">
        <f>"$ 12,669"</f>
        <v>$ 12,669</v>
      </c>
      <c r="F3793">
        <v>260</v>
      </c>
    </row>
    <row r="3794" spans="1:6">
      <c r="A3794" t="s">
        <v>3794</v>
      </c>
      <c r="B3794" t="str">
        <f t="shared" ref="B3794:B3803" si="151">"0.00163%"</f>
        <v>0.00163%</v>
      </c>
      <c r="C3794" t="s">
        <v>10</v>
      </c>
      <c r="D3794" t="s">
        <v>10</v>
      </c>
      <c r="E3794" t="str">
        <f>"$ 12,623"</f>
        <v>$ 12,623</v>
      </c>
      <c r="F3794" s="1">
        <v>20803</v>
      </c>
    </row>
    <row r="3795" spans="1:6">
      <c r="A3795" t="s">
        <v>3795</v>
      </c>
      <c r="B3795" t="str">
        <f t="shared" si="151"/>
        <v>0.00163%</v>
      </c>
      <c r="C3795" t="s">
        <v>10</v>
      </c>
      <c r="D3795" t="s">
        <v>10</v>
      </c>
      <c r="E3795" t="str">
        <f>"$ 12,617"</f>
        <v>$ 12,617</v>
      </c>
      <c r="F3795">
        <v>258</v>
      </c>
    </row>
    <row r="3796" spans="1:6">
      <c r="A3796" t="s">
        <v>3796</v>
      </c>
      <c r="B3796" t="str">
        <f t="shared" si="151"/>
        <v>0.00163%</v>
      </c>
      <c r="C3796" t="s">
        <v>10</v>
      </c>
      <c r="D3796" t="s">
        <v>10</v>
      </c>
      <c r="E3796" t="str">
        <f>"$ 12,570"</f>
        <v>$ 12,570</v>
      </c>
      <c r="F3796">
        <v>314</v>
      </c>
    </row>
    <row r="3797" spans="1:6">
      <c r="A3797" t="s">
        <v>3797</v>
      </c>
      <c r="B3797" t="str">
        <f t="shared" si="151"/>
        <v>0.00163%</v>
      </c>
      <c r="C3797" t="s">
        <v>10</v>
      </c>
      <c r="D3797" t="s">
        <v>10</v>
      </c>
      <c r="E3797" t="str">
        <f>"$ 12,604"</f>
        <v>$ 12,604</v>
      </c>
      <c r="F3797">
        <v>129</v>
      </c>
    </row>
    <row r="3798" spans="1:6">
      <c r="A3798" t="s">
        <v>3798</v>
      </c>
      <c r="B3798" t="str">
        <f t="shared" si="151"/>
        <v>0.00163%</v>
      </c>
      <c r="C3798" t="s">
        <v>10</v>
      </c>
      <c r="D3798" t="s">
        <v>10</v>
      </c>
      <c r="E3798" t="str">
        <f>"$ 12,557"</f>
        <v>$ 12,557</v>
      </c>
      <c r="F3798">
        <v>417</v>
      </c>
    </row>
    <row r="3799" spans="1:6">
      <c r="A3799" t="s">
        <v>3799</v>
      </c>
      <c r="B3799" t="str">
        <f t="shared" si="151"/>
        <v>0.00163%</v>
      </c>
      <c r="C3799" t="s">
        <v>10</v>
      </c>
      <c r="D3799" t="s">
        <v>10</v>
      </c>
      <c r="E3799" t="str">
        <f>"$ 12,625"</f>
        <v>$ 12,625</v>
      </c>
      <c r="F3799" s="1">
        <v>10840</v>
      </c>
    </row>
    <row r="3800" spans="1:6">
      <c r="A3800" t="s">
        <v>3800</v>
      </c>
      <c r="B3800" t="str">
        <f t="shared" si="151"/>
        <v>0.00163%</v>
      </c>
      <c r="C3800" t="s">
        <v>10</v>
      </c>
      <c r="D3800" t="s">
        <v>10</v>
      </c>
      <c r="E3800" t="str">
        <f>"$ 12,574"</f>
        <v>$ 12,574</v>
      </c>
      <c r="F3800">
        <v>175</v>
      </c>
    </row>
    <row r="3801" spans="1:6">
      <c r="A3801" t="s">
        <v>3801</v>
      </c>
      <c r="B3801" t="str">
        <f t="shared" si="151"/>
        <v>0.00163%</v>
      </c>
      <c r="C3801" t="s">
        <v>10</v>
      </c>
      <c r="D3801" t="s">
        <v>10</v>
      </c>
      <c r="E3801" t="str">
        <f>"$ 12,615"</f>
        <v>$ 12,615</v>
      </c>
      <c r="F3801" s="1">
        <v>2243</v>
      </c>
    </row>
    <row r="3802" spans="1:6">
      <c r="A3802" t="s">
        <v>3802</v>
      </c>
      <c r="B3802" t="str">
        <f t="shared" si="151"/>
        <v>0.00163%</v>
      </c>
      <c r="C3802" t="s">
        <v>10</v>
      </c>
      <c r="D3802" t="s">
        <v>10</v>
      </c>
      <c r="E3802" t="str">
        <f>"$ 12,610"</f>
        <v>$ 12,610</v>
      </c>
      <c r="F3802" s="1">
        <v>11838</v>
      </c>
    </row>
    <row r="3803" spans="1:6">
      <c r="A3803" t="s">
        <v>3803</v>
      </c>
      <c r="B3803" t="str">
        <f t="shared" si="151"/>
        <v>0.00163%</v>
      </c>
      <c r="C3803" t="s">
        <v>10</v>
      </c>
      <c r="D3803" t="s">
        <v>10</v>
      </c>
      <c r="E3803" t="str">
        <f>"$ 12,550"</f>
        <v>$ 12,550</v>
      </c>
      <c r="F3803" s="1">
        <v>5138</v>
      </c>
    </row>
    <row r="3804" spans="1:6">
      <c r="A3804" t="s">
        <v>3804</v>
      </c>
      <c r="B3804" t="str">
        <f t="shared" ref="B3804:B3812" si="152">"0.00162%"</f>
        <v>0.00162%</v>
      </c>
      <c r="C3804" t="s">
        <v>10</v>
      </c>
      <c r="D3804" t="s">
        <v>10</v>
      </c>
      <c r="E3804" t="str">
        <f>"$ 12,525"</f>
        <v>$ 12,525</v>
      </c>
      <c r="F3804">
        <v>956</v>
      </c>
    </row>
    <row r="3805" spans="1:6">
      <c r="A3805" t="s">
        <v>3805</v>
      </c>
      <c r="B3805" t="str">
        <f t="shared" si="152"/>
        <v>0.00162%</v>
      </c>
      <c r="C3805" t="s">
        <v>10</v>
      </c>
      <c r="D3805" t="s">
        <v>10</v>
      </c>
      <c r="E3805" t="str">
        <f>"$ 12,511"</f>
        <v>$ 12,511</v>
      </c>
      <c r="F3805">
        <v>411</v>
      </c>
    </row>
    <row r="3806" spans="1:6">
      <c r="A3806" t="s">
        <v>3806</v>
      </c>
      <c r="B3806" t="str">
        <f t="shared" si="152"/>
        <v>0.00162%</v>
      </c>
      <c r="C3806" t="s">
        <v>10</v>
      </c>
      <c r="D3806" t="s">
        <v>10</v>
      </c>
      <c r="E3806" t="str">
        <f>"$ 12,517"</f>
        <v>$ 12,517</v>
      </c>
      <c r="F3806">
        <v>107</v>
      </c>
    </row>
    <row r="3807" spans="1:6">
      <c r="A3807" t="s">
        <v>3807</v>
      </c>
      <c r="B3807" t="str">
        <f t="shared" si="152"/>
        <v>0.00162%</v>
      </c>
      <c r="C3807" t="s">
        <v>10</v>
      </c>
      <c r="D3807" t="s">
        <v>10</v>
      </c>
      <c r="E3807" t="str">
        <f>"$ 12,503"</f>
        <v>$ 12,503</v>
      </c>
      <c r="F3807">
        <v>940</v>
      </c>
    </row>
    <row r="3808" spans="1:6">
      <c r="A3808" t="s">
        <v>3808</v>
      </c>
      <c r="B3808" t="str">
        <f t="shared" si="152"/>
        <v>0.00162%</v>
      </c>
      <c r="C3808" t="s">
        <v>10</v>
      </c>
      <c r="D3808" t="s">
        <v>10</v>
      </c>
      <c r="E3808" t="str">
        <f>"$ 12,474"</f>
        <v>$ 12,474</v>
      </c>
      <c r="F3808" s="1">
        <v>4769</v>
      </c>
    </row>
    <row r="3809" spans="1:6">
      <c r="A3809" t="s">
        <v>3809</v>
      </c>
      <c r="B3809" t="str">
        <f t="shared" si="152"/>
        <v>0.00162%</v>
      </c>
      <c r="C3809" t="s">
        <v>10</v>
      </c>
      <c r="D3809" t="s">
        <v>10</v>
      </c>
      <c r="E3809" t="str">
        <f>"$ 12,529"</f>
        <v>$ 12,529</v>
      </c>
      <c r="F3809">
        <v>101</v>
      </c>
    </row>
    <row r="3810" spans="1:6">
      <c r="A3810" t="s">
        <v>3810</v>
      </c>
      <c r="B3810" t="str">
        <f t="shared" si="152"/>
        <v>0.00162%</v>
      </c>
      <c r="C3810" t="s">
        <v>10</v>
      </c>
      <c r="D3810" t="s">
        <v>10</v>
      </c>
      <c r="E3810" t="str">
        <f>"$ 12,521"</f>
        <v>$ 12,521</v>
      </c>
      <c r="F3810">
        <v>379</v>
      </c>
    </row>
    <row r="3811" spans="1:6">
      <c r="A3811" t="s">
        <v>3811</v>
      </c>
      <c r="B3811" t="str">
        <f t="shared" si="152"/>
        <v>0.00162%</v>
      </c>
      <c r="C3811" t="s">
        <v>10</v>
      </c>
      <c r="D3811" t="s">
        <v>10</v>
      </c>
      <c r="E3811" t="str">
        <f>"$ 12,482"</f>
        <v>$ 12,482</v>
      </c>
      <c r="F3811">
        <v>168</v>
      </c>
    </row>
    <row r="3812" spans="1:6">
      <c r="A3812" t="s">
        <v>3812</v>
      </c>
      <c r="B3812" t="str">
        <f t="shared" si="152"/>
        <v>0.00162%</v>
      </c>
      <c r="C3812" t="s">
        <v>10</v>
      </c>
      <c r="D3812" t="s">
        <v>10</v>
      </c>
      <c r="E3812" t="str">
        <f>"$ 12,528"</f>
        <v>$ 12,528</v>
      </c>
      <c r="F3812">
        <v>209</v>
      </c>
    </row>
    <row r="3813" spans="1:6">
      <c r="A3813" t="s">
        <v>3813</v>
      </c>
      <c r="B3813" t="str">
        <f t="shared" ref="B3813:B3833" si="153">"0.00161%"</f>
        <v>0.00161%</v>
      </c>
      <c r="C3813" t="s">
        <v>10</v>
      </c>
      <c r="D3813" t="s">
        <v>10</v>
      </c>
      <c r="E3813" t="str">
        <f>"$ 12,396"</f>
        <v>$ 12,396</v>
      </c>
      <c r="F3813" s="1">
        <v>1687</v>
      </c>
    </row>
    <row r="3814" spans="1:6">
      <c r="A3814" t="s">
        <v>3814</v>
      </c>
      <c r="B3814" t="str">
        <f t="shared" si="153"/>
        <v>0.00161%</v>
      </c>
      <c r="C3814" t="s">
        <v>10</v>
      </c>
      <c r="D3814" t="s">
        <v>10</v>
      </c>
      <c r="E3814" t="str">
        <f>"$ 12,431"</f>
        <v>$ 12,431</v>
      </c>
      <c r="F3814">
        <v>519</v>
      </c>
    </row>
    <row r="3815" spans="1:6">
      <c r="A3815" t="s">
        <v>3815</v>
      </c>
      <c r="B3815" t="str">
        <f t="shared" si="153"/>
        <v>0.00161%</v>
      </c>
      <c r="C3815" t="s">
        <v>10</v>
      </c>
      <c r="D3815" t="s">
        <v>10</v>
      </c>
      <c r="E3815" t="str">
        <f>"$ 12,452"</f>
        <v>$ 12,452</v>
      </c>
      <c r="F3815">
        <v>572</v>
      </c>
    </row>
    <row r="3816" spans="1:6">
      <c r="A3816" t="s">
        <v>3816</v>
      </c>
      <c r="B3816" t="str">
        <f t="shared" si="153"/>
        <v>0.00161%</v>
      </c>
      <c r="C3816" t="s">
        <v>10</v>
      </c>
      <c r="D3816" t="s">
        <v>10</v>
      </c>
      <c r="E3816" t="str">
        <f>"$ 12,408"</f>
        <v>$ 12,408</v>
      </c>
      <c r="F3816">
        <v>30</v>
      </c>
    </row>
    <row r="3817" spans="1:6">
      <c r="A3817" t="s">
        <v>3817</v>
      </c>
      <c r="B3817" t="str">
        <f t="shared" si="153"/>
        <v>0.00161%</v>
      </c>
      <c r="C3817" t="s">
        <v>10</v>
      </c>
      <c r="D3817" t="s">
        <v>10</v>
      </c>
      <c r="E3817" t="str">
        <f>"$ 12,429"</f>
        <v>$ 12,429</v>
      </c>
      <c r="F3817" s="1">
        <v>2889</v>
      </c>
    </row>
    <row r="3818" spans="1:6">
      <c r="A3818" t="s">
        <v>3818</v>
      </c>
      <c r="B3818" t="str">
        <f t="shared" si="153"/>
        <v>0.00161%</v>
      </c>
      <c r="C3818" t="s">
        <v>10</v>
      </c>
      <c r="D3818" t="s">
        <v>10</v>
      </c>
      <c r="E3818" t="str">
        <f>"$ 12,413"</f>
        <v>$ 12,413</v>
      </c>
      <c r="F3818">
        <v>443</v>
      </c>
    </row>
    <row r="3819" spans="1:6">
      <c r="A3819" t="s">
        <v>3819</v>
      </c>
      <c r="B3819" t="str">
        <f t="shared" si="153"/>
        <v>0.00161%</v>
      </c>
      <c r="C3819" t="s">
        <v>10</v>
      </c>
      <c r="D3819" t="s">
        <v>10</v>
      </c>
      <c r="E3819" t="str">
        <f>"$ 12,432"</f>
        <v>$ 12,432</v>
      </c>
      <c r="F3819">
        <v>219</v>
      </c>
    </row>
    <row r="3820" spans="1:6">
      <c r="A3820" t="s">
        <v>3820</v>
      </c>
      <c r="B3820" t="str">
        <f t="shared" si="153"/>
        <v>0.00161%</v>
      </c>
      <c r="C3820" t="s">
        <v>10</v>
      </c>
      <c r="D3820" t="s">
        <v>10</v>
      </c>
      <c r="E3820" t="str">
        <f>"$ 12,408"</f>
        <v>$ 12,408</v>
      </c>
      <c r="F3820">
        <v>148</v>
      </c>
    </row>
    <row r="3821" spans="1:6">
      <c r="A3821" t="s">
        <v>3821</v>
      </c>
      <c r="B3821" t="str">
        <f t="shared" si="153"/>
        <v>0.00161%</v>
      </c>
      <c r="C3821" t="s">
        <v>10</v>
      </c>
      <c r="D3821" t="s">
        <v>10</v>
      </c>
      <c r="E3821" t="str">
        <f>"$ 12,396"</f>
        <v>$ 12,396</v>
      </c>
      <c r="F3821">
        <v>165</v>
      </c>
    </row>
    <row r="3822" spans="1:6">
      <c r="A3822" t="s">
        <v>3822</v>
      </c>
      <c r="B3822" t="str">
        <f t="shared" si="153"/>
        <v>0.00161%</v>
      </c>
      <c r="C3822" t="s">
        <v>10</v>
      </c>
      <c r="D3822" t="s">
        <v>10</v>
      </c>
      <c r="E3822" t="str">
        <f>"$ 12,455"</f>
        <v>$ 12,455</v>
      </c>
      <c r="F3822">
        <v>303</v>
      </c>
    </row>
    <row r="3823" spans="1:6">
      <c r="A3823" t="s">
        <v>3823</v>
      </c>
      <c r="B3823" t="str">
        <f t="shared" si="153"/>
        <v>0.00161%</v>
      </c>
      <c r="C3823" t="s">
        <v>10</v>
      </c>
      <c r="D3823" t="s">
        <v>10</v>
      </c>
      <c r="E3823" t="str">
        <f>"$ 12,402"</f>
        <v>$ 12,402</v>
      </c>
      <c r="F3823" s="1">
        <v>1023</v>
      </c>
    </row>
    <row r="3824" spans="1:6">
      <c r="A3824" t="s">
        <v>3824</v>
      </c>
      <c r="B3824" t="str">
        <f t="shared" si="153"/>
        <v>0.00161%</v>
      </c>
      <c r="C3824" t="s">
        <v>10</v>
      </c>
      <c r="D3824" t="s">
        <v>10</v>
      </c>
      <c r="E3824" t="str">
        <f>"$ 12,430"</f>
        <v>$ 12,430</v>
      </c>
      <c r="F3824" s="1">
        <v>1070</v>
      </c>
    </row>
    <row r="3825" spans="1:6">
      <c r="A3825" t="s">
        <v>3825</v>
      </c>
      <c r="B3825" t="str">
        <f t="shared" si="153"/>
        <v>0.00161%</v>
      </c>
      <c r="C3825" t="s">
        <v>10</v>
      </c>
      <c r="D3825" t="s">
        <v>10</v>
      </c>
      <c r="E3825" t="str">
        <f>"$ 12,432"</f>
        <v>$ 12,432</v>
      </c>
      <c r="F3825" s="1">
        <v>4487</v>
      </c>
    </row>
    <row r="3826" spans="1:6">
      <c r="A3826" t="s">
        <v>3826</v>
      </c>
      <c r="B3826" t="str">
        <f t="shared" si="153"/>
        <v>0.00161%</v>
      </c>
      <c r="C3826" t="s">
        <v>10</v>
      </c>
      <c r="D3826" t="s">
        <v>10</v>
      </c>
      <c r="E3826" t="str">
        <f>"$ 12,419"</f>
        <v>$ 12,419</v>
      </c>
      <c r="F3826">
        <v>105</v>
      </c>
    </row>
    <row r="3827" spans="1:6">
      <c r="A3827" t="s">
        <v>3827</v>
      </c>
      <c r="B3827" t="str">
        <f t="shared" si="153"/>
        <v>0.00161%</v>
      </c>
      <c r="C3827" t="s">
        <v>10</v>
      </c>
      <c r="D3827" t="s">
        <v>10</v>
      </c>
      <c r="E3827" t="str">
        <f>"$ 12,455"</f>
        <v>$ 12,455</v>
      </c>
      <c r="F3827">
        <v>642</v>
      </c>
    </row>
    <row r="3828" spans="1:6">
      <c r="A3828" t="s">
        <v>3828</v>
      </c>
      <c r="B3828" t="str">
        <f t="shared" si="153"/>
        <v>0.00161%</v>
      </c>
      <c r="C3828" t="s">
        <v>10</v>
      </c>
      <c r="D3828" t="s">
        <v>10</v>
      </c>
      <c r="E3828" t="str">
        <f>"$ 12,459"</f>
        <v>$ 12,459</v>
      </c>
      <c r="F3828">
        <v>351</v>
      </c>
    </row>
    <row r="3829" spans="1:6">
      <c r="A3829" t="s">
        <v>3829</v>
      </c>
      <c r="B3829" t="str">
        <f t="shared" si="153"/>
        <v>0.00161%</v>
      </c>
      <c r="C3829" t="s">
        <v>10</v>
      </c>
      <c r="D3829" t="s">
        <v>10</v>
      </c>
      <c r="E3829" t="str">
        <f>"$ 12,410"</f>
        <v>$ 12,410</v>
      </c>
      <c r="F3829" s="1">
        <v>3777</v>
      </c>
    </row>
    <row r="3830" spans="1:6">
      <c r="A3830" t="s">
        <v>3830</v>
      </c>
      <c r="B3830" t="str">
        <f t="shared" si="153"/>
        <v>0.00161%</v>
      </c>
      <c r="C3830" t="s">
        <v>10</v>
      </c>
      <c r="D3830" t="s">
        <v>10</v>
      </c>
      <c r="E3830" t="str">
        <f>"$ 12,452"</f>
        <v>$ 12,452</v>
      </c>
      <c r="F3830">
        <v>191</v>
      </c>
    </row>
    <row r="3831" spans="1:6">
      <c r="A3831" t="s">
        <v>3831</v>
      </c>
      <c r="B3831" t="str">
        <f t="shared" si="153"/>
        <v>0.00161%</v>
      </c>
      <c r="C3831" t="s">
        <v>10</v>
      </c>
      <c r="D3831" t="s">
        <v>10</v>
      </c>
      <c r="E3831" t="str">
        <f>"$ 12,430"</f>
        <v>$ 12,430</v>
      </c>
      <c r="F3831" s="1">
        <v>10310</v>
      </c>
    </row>
    <row r="3832" spans="1:6">
      <c r="A3832" t="s">
        <v>3832</v>
      </c>
      <c r="B3832" t="str">
        <f t="shared" si="153"/>
        <v>0.00161%</v>
      </c>
      <c r="C3832" t="s">
        <v>10</v>
      </c>
      <c r="D3832" t="s">
        <v>10</v>
      </c>
      <c r="E3832" t="str">
        <f>"$ 12,447"</f>
        <v>$ 12,447</v>
      </c>
      <c r="F3832">
        <v>641</v>
      </c>
    </row>
    <row r="3833" spans="1:6">
      <c r="A3833" t="s">
        <v>3833</v>
      </c>
      <c r="B3833" t="str">
        <f t="shared" si="153"/>
        <v>0.00161%</v>
      </c>
      <c r="C3833" t="s">
        <v>10</v>
      </c>
      <c r="D3833" t="s">
        <v>10</v>
      </c>
      <c r="E3833" t="str">
        <f>"$ 12,441"</f>
        <v>$ 12,441</v>
      </c>
      <c r="F3833">
        <v>96</v>
      </c>
    </row>
    <row r="3834" spans="1:6">
      <c r="A3834" t="s">
        <v>3834</v>
      </c>
      <c r="B3834" t="str">
        <f t="shared" ref="B3834:B3853" si="154">"0.00160%"</f>
        <v>0.00160%</v>
      </c>
      <c r="C3834" t="s">
        <v>10</v>
      </c>
      <c r="D3834" t="s">
        <v>10</v>
      </c>
      <c r="E3834" t="str">
        <f>"$ 12,387"</f>
        <v>$ 12,387</v>
      </c>
      <c r="F3834">
        <v>135</v>
      </c>
    </row>
    <row r="3835" spans="1:6">
      <c r="A3835" t="s">
        <v>3835</v>
      </c>
      <c r="B3835" t="str">
        <f t="shared" si="154"/>
        <v>0.00160%</v>
      </c>
      <c r="C3835" t="s">
        <v>10</v>
      </c>
      <c r="D3835" t="s">
        <v>10</v>
      </c>
      <c r="E3835" t="str">
        <f>"$ 12,317"</f>
        <v>$ 12,317</v>
      </c>
      <c r="F3835">
        <v>217</v>
      </c>
    </row>
    <row r="3836" spans="1:6">
      <c r="A3836" t="s">
        <v>3836</v>
      </c>
      <c r="B3836" t="str">
        <f t="shared" si="154"/>
        <v>0.00160%</v>
      </c>
      <c r="C3836" t="s">
        <v>10</v>
      </c>
      <c r="D3836" t="s">
        <v>10</v>
      </c>
      <c r="E3836" t="str">
        <f>"$ 12,344"</f>
        <v>$ 12,344</v>
      </c>
      <c r="F3836" s="1">
        <v>1137</v>
      </c>
    </row>
    <row r="3837" spans="1:6">
      <c r="A3837" t="s">
        <v>3837</v>
      </c>
      <c r="B3837" t="str">
        <f t="shared" si="154"/>
        <v>0.00160%</v>
      </c>
      <c r="C3837" t="s">
        <v>10</v>
      </c>
      <c r="D3837" t="s">
        <v>10</v>
      </c>
      <c r="E3837" t="str">
        <f>"$ 12,336"</f>
        <v>$ 12,336</v>
      </c>
      <c r="F3837">
        <v>198</v>
      </c>
    </row>
    <row r="3838" spans="1:6">
      <c r="A3838" t="s">
        <v>3838</v>
      </c>
      <c r="B3838" t="str">
        <f t="shared" si="154"/>
        <v>0.00160%</v>
      </c>
      <c r="C3838" t="s">
        <v>10</v>
      </c>
      <c r="D3838" t="s">
        <v>10</v>
      </c>
      <c r="E3838" t="str">
        <f>"$ 12,361"</f>
        <v>$ 12,361</v>
      </c>
      <c r="F3838">
        <v>110</v>
      </c>
    </row>
    <row r="3839" spans="1:6">
      <c r="A3839" t="s">
        <v>3839</v>
      </c>
      <c r="B3839" t="str">
        <f t="shared" si="154"/>
        <v>0.00160%</v>
      </c>
      <c r="C3839" t="s">
        <v>10</v>
      </c>
      <c r="D3839" t="s">
        <v>10</v>
      </c>
      <c r="E3839" t="str">
        <f>"$ 12,366"</f>
        <v>$ 12,366</v>
      </c>
      <c r="F3839" s="1">
        <v>1669</v>
      </c>
    </row>
    <row r="3840" spans="1:6">
      <c r="A3840" t="s">
        <v>3840</v>
      </c>
      <c r="B3840" t="str">
        <f t="shared" si="154"/>
        <v>0.00160%</v>
      </c>
      <c r="C3840" t="s">
        <v>10</v>
      </c>
      <c r="D3840" t="s">
        <v>10</v>
      </c>
      <c r="E3840" t="str">
        <f>"$ 12,352"</f>
        <v>$ 12,352</v>
      </c>
      <c r="F3840" s="1">
        <v>1023</v>
      </c>
    </row>
    <row r="3841" spans="1:6">
      <c r="A3841" t="s">
        <v>3841</v>
      </c>
      <c r="B3841" t="str">
        <f t="shared" si="154"/>
        <v>0.00160%</v>
      </c>
      <c r="C3841" t="s">
        <v>10</v>
      </c>
      <c r="D3841" t="s">
        <v>10</v>
      </c>
      <c r="E3841" t="str">
        <f>"$ 12,383"</f>
        <v>$ 12,383</v>
      </c>
      <c r="F3841" s="1">
        <v>13528</v>
      </c>
    </row>
    <row r="3842" spans="1:6">
      <c r="A3842" t="s">
        <v>3842</v>
      </c>
      <c r="B3842" t="str">
        <f t="shared" si="154"/>
        <v>0.00160%</v>
      </c>
      <c r="C3842" t="s">
        <v>10</v>
      </c>
      <c r="D3842" t="s">
        <v>10</v>
      </c>
      <c r="E3842" t="str">
        <f>"$ 12,345"</f>
        <v>$ 12,345</v>
      </c>
      <c r="F3842">
        <v>742</v>
      </c>
    </row>
    <row r="3843" spans="1:6">
      <c r="A3843" t="s">
        <v>3843</v>
      </c>
      <c r="B3843" t="str">
        <f t="shared" si="154"/>
        <v>0.00160%</v>
      </c>
      <c r="C3843" t="s">
        <v>10</v>
      </c>
      <c r="D3843" t="s">
        <v>10</v>
      </c>
      <c r="E3843" t="str">
        <f>"$ 12,376"</f>
        <v>$ 12,376</v>
      </c>
      <c r="F3843" s="1">
        <v>2007</v>
      </c>
    </row>
    <row r="3844" spans="1:6">
      <c r="A3844" t="s">
        <v>3844</v>
      </c>
      <c r="B3844" t="str">
        <f t="shared" si="154"/>
        <v>0.00160%</v>
      </c>
      <c r="C3844" t="s">
        <v>10</v>
      </c>
      <c r="D3844" t="s">
        <v>10</v>
      </c>
      <c r="E3844" t="str">
        <f>"$ 12,358"</f>
        <v>$ 12,358</v>
      </c>
      <c r="F3844">
        <v>946</v>
      </c>
    </row>
    <row r="3845" spans="1:6">
      <c r="A3845" t="s">
        <v>3845</v>
      </c>
      <c r="B3845" t="str">
        <f t="shared" si="154"/>
        <v>0.00160%</v>
      </c>
      <c r="C3845" t="s">
        <v>10</v>
      </c>
      <c r="D3845" t="s">
        <v>10</v>
      </c>
      <c r="E3845" t="str">
        <f>"$ 12,380"</f>
        <v>$ 12,380</v>
      </c>
      <c r="F3845" s="1">
        <v>2675</v>
      </c>
    </row>
    <row r="3846" spans="1:6">
      <c r="A3846" t="s">
        <v>3846</v>
      </c>
      <c r="B3846" t="str">
        <f t="shared" si="154"/>
        <v>0.00160%</v>
      </c>
      <c r="C3846" t="s">
        <v>10</v>
      </c>
      <c r="D3846" t="s">
        <v>10</v>
      </c>
      <c r="E3846" t="str">
        <f>"$ 12,332"</f>
        <v>$ 12,332</v>
      </c>
      <c r="F3846" s="1">
        <v>2326</v>
      </c>
    </row>
    <row r="3847" spans="1:6">
      <c r="A3847" t="s">
        <v>3847</v>
      </c>
      <c r="B3847" t="str">
        <f t="shared" si="154"/>
        <v>0.00160%</v>
      </c>
      <c r="C3847" t="s">
        <v>10</v>
      </c>
      <c r="D3847" t="s">
        <v>10</v>
      </c>
      <c r="E3847" t="str">
        <f>"$ 12,374"</f>
        <v>$ 12,374</v>
      </c>
      <c r="F3847">
        <v>230</v>
      </c>
    </row>
    <row r="3848" spans="1:6">
      <c r="A3848" t="s">
        <v>3848</v>
      </c>
      <c r="B3848" t="str">
        <f t="shared" si="154"/>
        <v>0.00160%</v>
      </c>
      <c r="C3848" t="s">
        <v>10</v>
      </c>
      <c r="D3848" t="s">
        <v>10</v>
      </c>
      <c r="E3848" t="str">
        <f>"$ 12,317"</f>
        <v>$ 12,317</v>
      </c>
      <c r="F3848">
        <v>206</v>
      </c>
    </row>
    <row r="3849" spans="1:6">
      <c r="A3849" t="s">
        <v>3849</v>
      </c>
      <c r="B3849" t="str">
        <f t="shared" si="154"/>
        <v>0.00160%</v>
      </c>
      <c r="C3849" t="s">
        <v>10</v>
      </c>
      <c r="D3849" t="s">
        <v>10</v>
      </c>
      <c r="E3849" t="str">
        <f>"$ 12,337"</f>
        <v>$ 12,337</v>
      </c>
      <c r="F3849">
        <v>696</v>
      </c>
    </row>
    <row r="3850" spans="1:6">
      <c r="A3850" t="s">
        <v>3850</v>
      </c>
      <c r="B3850" t="str">
        <f t="shared" si="154"/>
        <v>0.00160%</v>
      </c>
      <c r="C3850" t="s">
        <v>10</v>
      </c>
      <c r="D3850" t="s">
        <v>10</v>
      </c>
      <c r="E3850" t="str">
        <f>"$ 12,369"</f>
        <v>$ 12,369</v>
      </c>
      <c r="F3850">
        <v>135</v>
      </c>
    </row>
    <row r="3851" spans="1:6">
      <c r="A3851" t="s">
        <v>3851</v>
      </c>
      <c r="B3851" t="str">
        <f t="shared" si="154"/>
        <v>0.00160%</v>
      </c>
      <c r="C3851" t="s">
        <v>10</v>
      </c>
      <c r="D3851" t="s">
        <v>10</v>
      </c>
      <c r="E3851" t="str">
        <f>"$ 12,347"</f>
        <v>$ 12,347</v>
      </c>
      <c r="F3851">
        <v>173</v>
      </c>
    </row>
    <row r="3852" spans="1:6">
      <c r="A3852" t="s">
        <v>3852</v>
      </c>
      <c r="B3852" t="str">
        <f t="shared" si="154"/>
        <v>0.00160%</v>
      </c>
      <c r="C3852" t="s">
        <v>10</v>
      </c>
      <c r="D3852" t="s">
        <v>10</v>
      </c>
      <c r="E3852" t="str">
        <f>"$ 12,318"</f>
        <v>$ 12,318</v>
      </c>
      <c r="F3852" s="1">
        <v>2318</v>
      </c>
    </row>
    <row r="3853" spans="1:6">
      <c r="A3853" t="s">
        <v>3853</v>
      </c>
      <c r="B3853" t="str">
        <f t="shared" si="154"/>
        <v>0.00160%</v>
      </c>
      <c r="C3853" t="s">
        <v>10</v>
      </c>
      <c r="D3853" t="s">
        <v>10</v>
      </c>
      <c r="E3853" t="str">
        <f>"$ 12,383"</f>
        <v>$ 12,383</v>
      </c>
      <c r="F3853" s="1">
        <v>3702</v>
      </c>
    </row>
    <row r="3854" spans="1:6">
      <c r="A3854" t="s">
        <v>3854</v>
      </c>
      <c r="B3854" t="str">
        <f t="shared" ref="B3854:B3862" si="155">"0.00159%"</f>
        <v>0.00159%</v>
      </c>
      <c r="C3854" t="s">
        <v>10</v>
      </c>
      <c r="D3854" t="s">
        <v>10</v>
      </c>
      <c r="E3854" t="str">
        <f>"$ 12,244"</f>
        <v>$ 12,244</v>
      </c>
      <c r="F3854">
        <v>280</v>
      </c>
    </row>
    <row r="3855" spans="1:6">
      <c r="A3855" t="s">
        <v>3855</v>
      </c>
      <c r="B3855" t="str">
        <f t="shared" si="155"/>
        <v>0.00159%</v>
      </c>
      <c r="C3855" t="s">
        <v>10</v>
      </c>
      <c r="D3855" t="s">
        <v>10</v>
      </c>
      <c r="E3855" t="str">
        <f>"$ 12,242"</f>
        <v>$ 12,242</v>
      </c>
      <c r="F3855" s="1">
        <v>1669</v>
      </c>
    </row>
    <row r="3856" spans="1:6">
      <c r="A3856" t="s">
        <v>3856</v>
      </c>
      <c r="B3856" t="str">
        <f t="shared" si="155"/>
        <v>0.00159%</v>
      </c>
      <c r="C3856" t="s">
        <v>10</v>
      </c>
      <c r="D3856" t="s">
        <v>10</v>
      </c>
      <c r="E3856" t="str">
        <f>"$ 12,259"</f>
        <v>$ 12,259</v>
      </c>
      <c r="F3856">
        <v>683</v>
      </c>
    </row>
    <row r="3857" spans="1:6">
      <c r="A3857" t="s">
        <v>3857</v>
      </c>
      <c r="B3857" t="str">
        <f t="shared" si="155"/>
        <v>0.00159%</v>
      </c>
      <c r="C3857" t="s">
        <v>10</v>
      </c>
      <c r="D3857" t="s">
        <v>10</v>
      </c>
      <c r="E3857" t="str">
        <f>"$ 12,252"</f>
        <v>$ 12,252</v>
      </c>
      <c r="F3857">
        <v>242</v>
      </c>
    </row>
    <row r="3858" spans="1:6">
      <c r="A3858" t="s">
        <v>3858</v>
      </c>
      <c r="B3858" t="str">
        <f t="shared" si="155"/>
        <v>0.00159%</v>
      </c>
      <c r="C3858" t="s">
        <v>10</v>
      </c>
      <c r="D3858" t="s">
        <v>10</v>
      </c>
      <c r="E3858" t="str">
        <f>"$ 12,313"</f>
        <v>$ 12,313</v>
      </c>
      <c r="F3858">
        <v>771</v>
      </c>
    </row>
    <row r="3859" spans="1:6">
      <c r="A3859" t="s">
        <v>3859</v>
      </c>
      <c r="B3859" t="str">
        <f t="shared" si="155"/>
        <v>0.00159%</v>
      </c>
      <c r="C3859" t="s">
        <v>10</v>
      </c>
      <c r="D3859" t="s">
        <v>10</v>
      </c>
      <c r="E3859" t="str">
        <f>"$ 12,284"</f>
        <v>$ 12,284</v>
      </c>
      <c r="F3859" s="1">
        <v>12765</v>
      </c>
    </row>
    <row r="3860" spans="1:6">
      <c r="A3860" t="s">
        <v>3860</v>
      </c>
      <c r="B3860" t="str">
        <f t="shared" si="155"/>
        <v>0.00159%</v>
      </c>
      <c r="C3860" t="s">
        <v>10</v>
      </c>
      <c r="D3860" t="s">
        <v>10</v>
      </c>
      <c r="E3860" t="str">
        <f>"$ 12,296"</f>
        <v>$ 12,296</v>
      </c>
      <c r="F3860">
        <v>241</v>
      </c>
    </row>
    <row r="3861" spans="1:6">
      <c r="A3861" t="s">
        <v>3861</v>
      </c>
      <c r="B3861" t="str">
        <f t="shared" si="155"/>
        <v>0.00159%</v>
      </c>
      <c r="C3861" t="s">
        <v>10</v>
      </c>
      <c r="D3861" t="s">
        <v>10</v>
      </c>
      <c r="E3861" t="str">
        <f>"$ 12,303"</f>
        <v>$ 12,303</v>
      </c>
      <c r="F3861">
        <v>444</v>
      </c>
    </row>
    <row r="3862" spans="1:6">
      <c r="A3862" t="s">
        <v>3862</v>
      </c>
      <c r="B3862" t="str">
        <f t="shared" si="155"/>
        <v>0.00159%</v>
      </c>
      <c r="C3862" t="s">
        <v>10</v>
      </c>
      <c r="D3862" t="s">
        <v>10</v>
      </c>
      <c r="E3862" t="str">
        <f>"$ 12,313"</f>
        <v>$ 12,313</v>
      </c>
      <c r="F3862" s="1">
        <v>10559</v>
      </c>
    </row>
    <row r="3863" spans="1:6">
      <c r="A3863" t="s">
        <v>3863</v>
      </c>
      <c r="B3863" t="str">
        <f t="shared" ref="B3863:B3869" si="156">"0.00158%"</f>
        <v>0.00158%</v>
      </c>
      <c r="C3863" t="s">
        <v>10</v>
      </c>
      <c r="D3863" t="s">
        <v>10</v>
      </c>
      <c r="E3863" t="str">
        <f>"$ 12,215"</f>
        <v>$ 12,215</v>
      </c>
      <c r="F3863">
        <v>692</v>
      </c>
    </row>
    <row r="3864" spans="1:6">
      <c r="A3864" t="s">
        <v>3864</v>
      </c>
      <c r="B3864" t="str">
        <f t="shared" si="156"/>
        <v>0.00158%</v>
      </c>
      <c r="C3864" t="s">
        <v>10</v>
      </c>
      <c r="D3864" t="s">
        <v>10</v>
      </c>
      <c r="E3864" t="str">
        <f>"$ 12,177"</f>
        <v>$ 12,177</v>
      </c>
      <c r="F3864">
        <v>132</v>
      </c>
    </row>
    <row r="3865" spans="1:6">
      <c r="A3865" t="s">
        <v>3865</v>
      </c>
      <c r="B3865" t="str">
        <f t="shared" si="156"/>
        <v>0.00158%</v>
      </c>
      <c r="C3865" t="s">
        <v>10</v>
      </c>
      <c r="D3865" t="s">
        <v>10</v>
      </c>
      <c r="E3865" t="str">
        <f>"$ 12,234"</f>
        <v>$ 12,234</v>
      </c>
      <c r="F3865">
        <v>262</v>
      </c>
    </row>
    <row r="3866" spans="1:6">
      <c r="A3866" t="s">
        <v>3866</v>
      </c>
      <c r="B3866" t="str">
        <f t="shared" si="156"/>
        <v>0.00158%</v>
      </c>
      <c r="C3866" t="s">
        <v>10</v>
      </c>
      <c r="D3866" t="s">
        <v>10</v>
      </c>
      <c r="E3866" t="str">
        <f>"$ 12,196"</f>
        <v>$ 12,196</v>
      </c>
      <c r="F3866">
        <v>216</v>
      </c>
    </row>
    <row r="3867" spans="1:6">
      <c r="A3867" t="s">
        <v>3867</v>
      </c>
      <c r="B3867" t="str">
        <f t="shared" si="156"/>
        <v>0.00158%</v>
      </c>
      <c r="C3867" t="s">
        <v>10</v>
      </c>
      <c r="D3867" t="s">
        <v>10</v>
      </c>
      <c r="E3867" t="str">
        <f>"$ 12,232"</f>
        <v>$ 12,232</v>
      </c>
      <c r="F3867">
        <v>528</v>
      </c>
    </row>
    <row r="3868" spans="1:6">
      <c r="A3868" t="s">
        <v>3868</v>
      </c>
      <c r="B3868" t="str">
        <f t="shared" si="156"/>
        <v>0.00158%</v>
      </c>
      <c r="C3868" t="s">
        <v>10</v>
      </c>
      <c r="D3868" t="s">
        <v>10</v>
      </c>
      <c r="E3868" t="str">
        <f>"$ 12,204"</f>
        <v>$ 12,204</v>
      </c>
      <c r="F3868">
        <v>24</v>
      </c>
    </row>
    <row r="3869" spans="1:6">
      <c r="A3869" t="s">
        <v>3869</v>
      </c>
      <c r="B3869" t="str">
        <f t="shared" si="156"/>
        <v>0.00158%</v>
      </c>
      <c r="C3869" t="s">
        <v>10</v>
      </c>
      <c r="D3869" t="s">
        <v>10</v>
      </c>
      <c r="E3869" t="str">
        <f>"$ 12,235"</f>
        <v>$ 12,235</v>
      </c>
      <c r="F3869">
        <v>274</v>
      </c>
    </row>
    <row r="3870" spans="1:6">
      <c r="A3870" t="s">
        <v>3870</v>
      </c>
      <c r="B3870" t="str">
        <f t="shared" ref="B3870:B3880" si="157">"0.00157%"</f>
        <v>0.00157%</v>
      </c>
      <c r="C3870" t="s">
        <v>10</v>
      </c>
      <c r="D3870" t="s">
        <v>10</v>
      </c>
      <c r="E3870" t="str">
        <f>"$ 12,087"</f>
        <v>$ 12,087</v>
      </c>
      <c r="F3870" s="1">
        <v>3970</v>
      </c>
    </row>
    <row r="3871" spans="1:6">
      <c r="A3871" t="s">
        <v>3871</v>
      </c>
      <c r="B3871" t="str">
        <f t="shared" si="157"/>
        <v>0.00157%</v>
      </c>
      <c r="C3871" t="s">
        <v>10</v>
      </c>
      <c r="D3871" t="s">
        <v>10</v>
      </c>
      <c r="E3871" t="str">
        <f>"$ 12,103"</f>
        <v>$ 12,103</v>
      </c>
      <c r="F3871">
        <v>148</v>
      </c>
    </row>
    <row r="3872" spans="1:6">
      <c r="A3872" t="s">
        <v>3872</v>
      </c>
      <c r="B3872" t="str">
        <f t="shared" si="157"/>
        <v>0.00157%</v>
      </c>
      <c r="C3872" t="s">
        <v>10</v>
      </c>
      <c r="D3872" t="s">
        <v>10</v>
      </c>
      <c r="E3872" t="str">
        <f>"$ 12,085"</f>
        <v>$ 12,085</v>
      </c>
      <c r="F3872">
        <v>742</v>
      </c>
    </row>
    <row r="3873" spans="1:6">
      <c r="A3873" t="s">
        <v>3873</v>
      </c>
      <c r="B3873" t="str">
        <f t="shared" si="157"/>
        <v>0.00157%</v>
      </c>
      <c r="C3873" t="s">
        <v>10</v>
      </c>
      <c r="D3873" t="s">
        <v>10</v>
      </c>
      <c r="E3873" t="str">
        <f>"$ 12,087"</f>
        <v>$ 12,087</v>
      </c>
      <c r="F3873">
        <v>535</v>
      </c>
    </row>
    <row r="3874" spans="1:6">
      <c r="A3874" t="s">
        <v>3874</v>
      </c>
      <c r="B3874" t="str">
        <f t="shared" si="157"/>
        <v>0.00157%</v>
      </c>
      <c r="C3874" t="s">
        <v>10</v>
      </c>
      <c r="D3874" t="s">
        <v>10</v>
      </c>
      <c r="E3874" t="str">
        <f>"$ 12,100"</f>
        <v>$ 12,100</v>
      </c>
      <c r="F3874">
        <v>139</v>
      </c>
    </row>
    <row r="3875" spans="1:6">
      <c r="A3875" t="s">
        <v>3875</v>
      </c>
      <c r="B3875" t="str">
        <f t="shared" si="157"/>
        <v>0.00157%</v>
      </c>
      <c r="C3875" t="s">
        <v>10</v>
      </c>
      <c r="D3875" t="s">
        <v>10</v>
      </c>
      <c r="E3875" t="str">
        <f>"$ 12,105"</f>
        <v>$ 12,105</v>
      </c>
      <c r="F3875" s="1">
        <v>8424</v>
      </c>
    </row>
    <row r="3876" spans="1:6">
      <c r="A3876" t="s">
        <v>3876</v>
      </c>
      <c r="B3876" t="str">
        <f t="shared" si="157"/>
        <v>0.00157%</v>
      </c>
      <c r="C3876" t="s">
        <v>10</v>
      </c>
      <c r="D3876" t="s">
        <v>10</v>
      </c>
      <c r="E3876" t="str">
        <f>"$ 12,104"</f>
        <v>$ 12,104</v>
      </c>
      <c r="F3876">
        <v>352</v>
      </c>
    </row>
    <row r="3877" spans="1:6">
      <c r="A3877" t="s">
        <v>3877</v>
      </c>
      <c r="B3877" t="str">
        <f t="shared" si="157"/>
        <v>0.00157%</v>
      </c>
      <c r="C3877" t="s">
        <v>10</v>
      </c>
      <c r="D3877" t="s">
        <v>10</v>
      </c>
      <c r="E3877" t="str">
        <f>"$ 12,144"</f>
        <v>$ 12,144</v>
      </c>
      <c r="F3877">
        <v>704</v>
      </c>
    </row>
    <row r="3878" spans="1:6">
      <c r="A3878" t="s">
        <v>3878</v>
      </c>
      <c r="B3878" t="str">
        <f t="shared" si="157"/>
        <v>0.00157%</v>
      </c>
      <c r="C3878" t="s">
        <v>10</v>
      </c>
      <c r="D3878" t="s">
        <v>10</v>
      </c>
      <c r="E3878" t="str">
        <f>"$ 12,127"</f>
        <v>$ 12,127</v>
      </c>
      <c r="F3878">
        <v>334</v>
      </c>
    </row>
    <row r="3879" spans="1:6">
      <c r="A3879" t="s">
        <v>3879</v>
      </c>
      <c r="B3879" t="str">
        <f t="shared" si="157"/>
        <v>0.00157%</v>
      </c>
      <c r="C3879" t="s">
        <v>10</v>
      </c>
      <c r="D3879" t="s">
        <v>10</v>
      </c>
      <c r="E3879" t="str">
        <f>"$ 12,152"</f>
        <v>$ 12,152</v>
      </c>
      <c r="F3879">
        <v>508</v>
      </c>
    </row>
    <row r="3880" spans="1:6">
      <c r="A3880" t="s">
        <v>3880</v>
      </c>
      <c r="B3880" t="str">
        <f t="shared" si="157"/>
        <v>0.00157%</v>
      </c>
      <c r="C3880" t="s">
        <v>10</v>
      </c>
      <c r="D3880" t="s">
        <v>10</v>
      </c>
      <c r="E3880" t="str">
        <f>"$ 12,117"</f>
        <v>$ 12,117</v>
      </c>
      <c r="F3880" s="1">
        <v>5130</v>
      </c>
    </row>
    <row r="3881" spans="1:6">
      <c r="A3881" t="s">
        <v>3881</v>
      </c>
      <c r="B3881" t="str">
        <f t="shared" ref="B3881:B3891" si="158">"0.00156%"</f>
        <v>0.00156%</v>
      </c>
      <c r="C3881" t="s">
        <v>10</v>
      </c>
      <c r="D3881" t="s">
        <v>10</v>
      </c>
      <c r="E3881" t="str">
        <f>"$ 12,013"</f>
        <v>$ 12,013</v>
      </c>
      <c r="F3881">
        <v>333</v>
      </c>
    </row>
    <row r="3882" spans="1:6">
      <c r="A3882" t="s">
        <v>3882</v>
      </c>
      <c r="B3882" t="str">
        <f t="shared" si="158"/>
        <v>0.00156%</v>
      </c>
      <c r="C3882" t="s">
        <v>10</v>
      </c>
      <c r="D3882" t="s">
        <v>10</v>
      </c>
      <c r="E3882" t="str">
        <f>"$ 12,036"</f>
        <v>$ 12,036</v>
      </c>
      <c r="F3882">
        <v>363</v>
      </c>
    </row>
    <row r="3883" spans="1:6">
      <c r="A3883" t="s">
        <v>3883</v>
      </c>
      <c r="B3883" t="str">
        <f t="shared" si="158"/>
        <v>0.00156%</v>
      </c>
      <c r="C3883" t="s">
        <v>10</v>
      </c>
      <c r="D3883" t="s">
        <v>10</v>
      </c>
      <c r="E3883" t="str">
        <f>"$ 12,059"</f>
        <v>$ 12,059</v>
      </c>
      <c r="F3883" s="1">
        <v>1600</v>
      </c>
    </row>
    <row r="3884" spans="1:6">
      <c r="A3884" t="s">
        <v>3884</v>
      </c>
      <c r="B3884" t="str">
        <f t="shared" si="158"/>
        <v>0.00156%</v>
      </c>
      <c r="C3884" t="s">
        <v>10</v>
      </c>
      <c r="D3884" t="s">
        <v>10</v>
      </c>
      <c r="E3884" t="str">
        <f>"$ 12,016"</f>
        <v>$ 12,016</v>
      </c>
      <c r="F3884">
        <v>425</v>
      </c>
    </row>
    <row r="3885" spans="1:6">
      <c r="A3885" t="s">
        <v>3885</v>
      </c>
      <c r="B3885" t="str">
        <f t="shared" si="158"/>
        <v>0.00156%</v>
      </c>
      <c r="C3885" t="s">
        <v>10</v>
      </c>
      <c r="D3885" t="s">
        <v>10</v>
      </c>
      <c r="E3885" t="str">
        <f>"$ 12,026"</f>
        <v>$ 12,026</v>
      </c>
      <c r="F3885">
        <v>209</v>
      </c>
    </row>
    <row r="3886" spans="1:6">
      <c r="A3886" t="s">
        <v>3886</v>
      </c>
      <c r="B3886" t="str">
        <f t="shared" si="158"/>
        <v>0.00156%</v>
      </c>
      <c r="C3886" t="s">
        <v>10</v>
      </c>
      <c r="D3886" t="s">
        <v>10</v>
      </c>
      <c r="E3886" t="str">
        <f>"$ 12,038"</f>
        <v>$ 12,038</v>
      </c>
      <c r="F3886">
        <v>815</v>
      </c>
    </row>
    <row r="3887" spans="1:6">
      <c r="A3887" t="s">
        <v>3887</v>
      </c>
      <c r="B3887" t="str">
        <f t="shared" si="158"/>
        <v>0.00156%</v>
      </c>
      <c r="C3887" t="s">
        <v>10</v>
      </c>
      <c r="D3887" t="s">
        <v>10</v>
      </c>
      <c r="E3887" t="str">
        <f>"$ 12,062"</f>
        <v>$ 12,062</v>
      </c>
      <c r="F3887">
        <v>124</v>
      </c>
    </row>
    <row r="3888" spans="1:6">
      <c r="A3888" t="s">
        <v>3888</v>
      </c>
      <c r="B3888" t="str">
        <f t="shared" si="158"/>
        <v>0.00156%</v>
      </c>
      <c r="C3888" t="s">
        <v>10</v>
      </c>
      <c r="D3888" t="s">
        <v>10</v>
      </c>
      <c r="E3888" t="str">
        <f>"$ 12,074"</f>
        <v>$ 12,074</v>
      </c>
      <c r="F3888" s="1">
        <v>3760</v>
      </c>
    </row>
    <row r="3889" spans="1:6">
      <c r="A3889" t="s">
        <v>3889</v>
      </c>
      <c r="B3889" t="str">
        <f t="shared" si="158"/>
        <v>0.00156%</v>
      </c>
      <c r="C3889" t="s">
        <v>10</v>
      </c>
      <c r="D3889" t="s">
        <v>10</v>
      </c>
      <c r="E3889" t="str">
        <f>"$ 12,022"</f>
        <v>$ 12,022</v>
      </c>
      <c r="F3889">
        <v>170</v>
      </c>
    </row>
    <row r="3890" spans="1:6">
      <c r="A3890" t="s">
        <v>3890</v>
      </c>
      <c r="B3890" t="str">
        <f t="shared" si="158"/>
        <v>0.00156%</v>
      </c>
      <c r="C3890" t="s">
        <v>10</v>
      </c>
      <c r="D3890" t="s">
        <v>10</v>
      </c>
      <c r="E3890" t="str">
        <f>"$ 12,072"</f>
        <v>$ 12,072</v>
      </c>
      <c r="F3890" s="1">
        <v>1122</v>
      </c>
    </row>
    <row r="3891" spans="1:6">
      <c r="A3891" t="s">
        <v>3891</v>
      </c>
      <c r="B3891" t="str">
        <f t="shared" si="158"/>
        <v>0.00156%</v>
      </c>
      <c r="C3891" t="s">
        <v>10</v>
      </c>
      <c r="D3891" t="s">
        <v>10</v>
      </c>
      <c r="E3891" t="str">
        <f>"$ 12,016"</f>
        <v>$ 12,016</v>
      </c>
      <c r="F3891">
        <v>789</v>
      </c>
    </row>
    <row r="3892" spans="1:6">
      <c r="A3892" t="s">
        <v>3892</v>
      </c>
      <c r="B3892" t="str">
        <f t="shared" ref="B3892:B3903" si="159">"0.00155%"</f>
        <v>0.00155%</v>
      </c>
      <c r="C3892" t="s">
        <v>10</v>
      </c>
      <c r="D3892" t="s">
        <v>10</v>
      </c>
      <c r="E3892" t="str">
        <f>"$ 12,000"</f>
        <v>$ 12,000</v>
      </c>
      <c r="F3892" s="1">
        <v>7920</v>
      </c>
    </row>
    <row r="3893" spans="1:6">
      <c r="A3893" t="s">
        <v>3893</v>
      </c>
      <c r="B3893" t="str">
        <f t="shared" si="159"/>
        <v>0.00155%</v>
      </c>
      <c r="C3893" t="s">
        <v>10</v>
      </c>
      <c r="D3893" t="s">
        <v>10</v>
      </c>
      <c r="E3893" t="str">
        <f>"$ 12,001"</f>
        <v>$ 12,001</v>
      </c>
      <c r="F3893" s="1">
        <v>2622</v>
      </c>
    </row>
    <row r="3894" spans="1:6">
      <c r="A3894" t="s">
        <v>3894</v>
      </c>
      <c r="B3894" t="str">
        <f t="shared" si="159"/>
        <v>0.00155%</v>
      </c>
      <c r="C3894" t="s">
        <v>10</v>
      </c>
      <c r="D3894" t="s">
        <v>10</v>
      </c>
      <c r="E3894" t="str">
        <f>"$ 11,990"</f>
        <v>$ 11,990</v>
      </c>
      <c r="F3894">
        <v>445</v>
      </c>
    </row>
    <row r="3895" spans="1:6">
      <c r="A3895" t="s">
        <v>3895</v>
      </c>
      <c r="B3895" t="str">
        <f t="shared" si="159"/>
        <v>0.00155%</v>
      </c>
      <c r="C3895" t="s">
        <v>10</v>
      </c>
      <c r="D3895" t="s">
        <v>10</v>
      </c>
      <c r="E3895" t="str">
        <f>"$ 11,959"</f>
        <v>$ 11,959</v>
      </c>
      <c r="F3895" s="1">
        <v>1403</v>
      </c>
    </row>
    <row r="3896" spans="1:6">
      <c r="A3896" t="s">
        <v>3896</v>
      </c>
      <c r="B3896" t="str">
        <f t="shared" si="159"/>
        <v>0.00155%</v>
      </c>
      <c r="C3896" t="s">
        <v>10</v>
      </c>
      <c r="D3896" t="s">
        <v>10</v>
      </c>
      <c r="E3896" t="str">
        <f>"$ 12,000"</f>
        <v>$ 12,000</v>
      </c>
      <c r="F3896" s="1">
        <v>2235</v>
      </c>
    </row>
    <row r="3897" spans="1:6">
      <c r="A3897" t="s">
        <v>3897</v>
      </c>
      <c r="B3897" t="str">
        <f t="shared" si="159"/>
        <v>0.00155%</v>
      </c>
      <c r="C3897" t="s">
        <v>10</v>
      </c>
      <c r="D3897" t="s">
        <v>10</v>
      </c>
      <c r="E3897" t="str">
        <f>"$ 11,942"</f>
        <v>$ 11,942</v>
      </c>
      <c r="F3897">
        <v>274</v>
      </c>
    </row>
    <row r="3898" spans="1:6">
      <c r="A3898" t="s">
        <v>3898</v>
      </c>
      <c r="B3898" t="str">
        <f t="shared" si="159"/>
        <v>0.00155%</v>
      </c>
      <c r="C3898" t="s">
        <v>10</v>
      </c>
      <c r="D3898" t="s">
        <v>10</v>
      </c>
      <c r="E3898" t="str">
        <f>"$ 11,945"</f>
        <v>$ 11,945</v>
      </c>
      <c r="F3898">
        <v>763</v>
      </c>
    </row>
    <row r="3899" spans="1:6">
      <c r="A3899" t="s">
        <v>3899</v>
      </c>
      <c r="B3899" t="str">
        <f t="shared" si="159"/>
        <v>0.00155%</v>
      </c>
      <c r="C3899" t="s">
        <v>10</v>
      </c>
      <c r="D3899" t="s">
        <v>10</v>
      </c>
      <c r="E3899" t="str">
        <f>"$ 11,996"</f>
        <v>$ 11,996</v>
      </c>
      <c r="F3899">
        <v>589</v>
      </c>
    </row>
    <row r="3900" spans="1:6">
      <c r="A3900" t="s">
        <v>3900</v>
      </c>
      <c r="B3900" t="str">
        <f t="shared" si="159"/>
        <v>0.00155%</v>
      </c>
      <c r="C3900" t="s">
        <v>10</v>
      </c>
      <c r="D3900" t="s">
        <v>10</v>
      </c>
      <c r="E3900" t="str">
        <f>"$ 11,939"</f>
        <v>$ 11,939</v>
      </c>
      <c r="F3900">
        <v>151</v>
      </c>
    </row>
    <row r="3901" spans="1:6">
      <c r="A3901" t="s">
        <v>3901</v>
      </c>
      <c r="B3901" t="str">
        <f t="shared" si="159"/>
        <v>0.00155%</v>
      </c>
      <c r="C3901" t="s">
        <v>10</v>
      </c>
      <c r="D3901" t="s">
        <v>10</v>
      </c>
      <c r="E3901" t="str">
        <f>"$ 11,965"</f>
        <v>$ 11,965</v>
      </c>
      <c r="F3901" s="1">
        <v>1681</v>
      </c>
    </row>
    <row r="3902" spans="1:6">
      <c r="A3902" t="s">
        <v>3902</v>
      </c>
      <c r="B3902" t="str">
        <f t="shared" si="159"/>
        <v>0.00155%</v>
      </c>
      <c r="C3902" t="s">
        <v>10</v>
      </c>
      <c r="D3902" t="s">
        <v>10</v>
      </c>
      <c r="E3902" t="str">
        <f>"$ 11,940"</f>
        <v>$ 11,940</v>
      </c>
      <c r="F3902" s="1">
        <v>1170</v>
      </c>
    </row>
    <row r="3903" spans="1:6">
      <c r="A3903" t="s">
        <v>3903</v>
      </c>
      <c r="B3903" t="str">
        <f t="shared" si="159"/>
        <v>0.00155%</v>
      </c>
      <c r="C3903" t="s">
        <v>10</v>
      </c>
      <c r="D3903" t="s">
        <v>10</v>
      </c>
      <c r="E3903" t="str">
        <f>"$ 11,952"</f>
        <v>$ 11,952</v>
      </c>
      <c r="F3903">
        <v>407</v>
      </c>
    </row>
    <row r="3904" spans="1:6">
      <c r="A3904" t="s">
        <v>3904</v>
      </c>
      <c r="B3904" t="str">
        <f t="shared" ref="B3904:B3910" si="160">"0.00154%"</f>
        <v>0.00154%</v>
      </c>
      <c r="C3904" t="s">
        <v>10</v>
      </c>
      <c r="D3904" t="s">
        <v>10</v>
      </c>
      <c r="E3904" t="str">
        <f>"$ 11,884"</f>
        <v>$ 11,884</v>
      </c>
      <c r="F3904">
        <v>289</v>
      </c>
    </row>
    <row r="3905" spans="1:6">
      <c r="A3905" t="s">
        <v>3905</v>
      </c>
      <c r="B3905" t="str">
        <f t="shared" si="160"/>
        <v>0.00154%</v>
      </c>
      <c r="C3905" t="s">
        <v>10</v>
      </c>
      <c r="D3905" t="s">
        <v>10</v>
      </c>
      <c r="E3905" t="str">
        <f>"$ 11,870"</f>
        <v>$ 11,870</v>
      </c>
      <c r="F3905">
        <v>295</v>
      </c>
    </row>
    <row r="3906" spans="1:6">
      <c r="A3906" t="s">
        <v>3906</v>
      </c>
      <c r="B3906" t="str">
        <f t="shared" si="160"/>
        <v>0.00154%</v>
      </c>
      <c r="C3906" t="s">
        <v>10</v>
      </c>
      <c r="D3906" t="s">
        <v>10</v>
      </c>
      <c r="E3906" t="str">
        <f>"$ 11,904"</f>
        <v>$ 11,904</v>
      </c>
      <c r="F3906">
        <v>143</v>
      </c>
    </row>
    <row r="3907" spans="1:6">
      <c r="A3907" t="s">
        <v>3907</v>
      </c>
      <c r="B3907" t="str">
        <f t="shared" si="160"/>
        <v>0.00154%</v>
      </c>
      <c r="C3907" t="s">
        <v>10</v>
      </c>
      <c r="D3907" t="s">
        <v>10</v>
      </c>
      <c r="E3907" t="str">
        <f>"$ 11,920"</f>
        <v>$ 11,920</v>
      </c>
      <c r="F3907">
        <v>772</v>
      </c>
    </row>
    <row r="3908" spans="1:6">
      <c r="A3908" t="s">
        <v>3908</v>
      </c>
      <c r="B3908" t="str">
        <f t="shared" si="160"/>
        <v>0.00154%</v>
      </c>
      <c r="C3908" t="s">
        <v>10</v>
      </c>
      <c r="D3908" t="s">
        <v>10</v>
      </c>
      <c r="E3908" t="str">
        <f>"$ 11,867"</f>
        <v>$ 11,867</v>
      </c>
      <c r="F3908">
        <v>507</v>
      </c>
    </row>
    <row r="3909" spans="1:6">
      <c r="A3909" t="s">
        <v>3909</v>
      </c>
      <c r="B3909" t="str">
        <f t="shared" si="160"/>
        <v>0.00154%</v>
      </c>
      <c r="C3909" t="s">
        <v>10</v>
      </c>
      <c r="D3909" t="s">
        <v>10</v>
      </c>
      <c r="E3909" t="str">
        <f>"$ 11,878"</f>
        <v>$ 11,878</v>
      </c>
      <c r="F3909">
        <v>113</v>
      </c>
    </row>
    <row r="3910" spans="1:6">
      <c r="A3910" t="s">
        <v>3910</v>
      </c>
      <c r="B3910" t="str">
        <f t="shared" si="160"/>
        <v>0.00154%</v>
      </c>
      <c r="C3910" t="s">
        <v>10</v>
      </c>
      <c r="D3910" t="s">
        <v>10</v>
      </c>
      <c r="E3910" t="str">
        <f>"$ 11,891"</f>
        <v>$ 11,891</v>
      </c>
      <c r="F3910" s="1">
        <v>7214</v>
      </c>
    </row>
    <row r="3911" spans="1:6">
      <c r="A3911" t="s">
        <v>3911</v>
      </c>
      <c r="B3911" t="str">
        <f t="shared" ref="B3911:B3923" si="161">"0.00153%"</f>
        <v>0.00153%</v>
      </c>
      <c r="C3911" t="s">
        <v>10</v>
      </c>
      <c r="D3911" t="s">
        <v>10</v>
      </c>
      <c r="E3911" t="str">
        <f>"$ 11,808"</f>
        <v>$ 11,808</v>
      </c>
      <c r="F3911">
        <v>193</v>
      </c>
    </row>
    <row r="3912" spans="1:6">
      <c r="A3912" t="s">
        <v>3912</v>
      </c>
      <c r="B3912" t="str">
        <f t="shared" si="161"/>
        <v>0.00153%</v>
      </c>
      <c r="C3912" t="s">
        <v>10</v>
      </c>
      <c r="D3912" t="s">
        <v>10</v>
      </c>
      <c r="E3912" t="str">
        <f>"$ 11,780"</f>
        <v>$ 11,780</v>
      </c>
      <c r="F3912">
        <v>798</v>
      </c>
    </row>
    <row r="3913" spans="1:6">
      <c r="A3913" t="s">
        <v>3913</v>
      </c>
      <c r="B3913" t="str">
        <f t="shared" si="161"/>
        <v>0.00153%</v>
      </c>
      <c r="C3913" t="s">
        <v>10</v>
      </c>
      <c r="D3913" t="s">
        <v>10</v>
      </c>
      <c r="E3913" t="str">
        <f>"$ 11,812"</f>
        <v>$ 11,812</v>
      </c>
      <c r="F3913" s="1">
        <v>2604</v>
      </c>
    </row>
    <row r="3914" spans="1:6">
      <c r="A3914" t="s">
        <v>3914</v>
      </c>
      <c r="B3914" t="str">
        <f t="shared" si="161"/>
        <v>0.00153%</v>
      </c>
      <c r="C3914" t="s">
        <v>10</v>
      </c>
      <c r="D3914" t="s">
        <v>10</v>
      </c>
      <c r="E3914" t="str">
        <f>"$ 11,801"</f>
        <v>$ 11,801</v>
      </c>
      <c r="F3914" s="1">
        <v>2462</v>
      </c>
    </row>
    <row r="3915" spans="1:6">
      <c r="A3915" t="s">
        <v>3915</v>
      </c>
      <c r="B3915" t="str">
        <f t="shared" si="161"/>
        <v>0.00153%</v>
      </c>
      <c r="C3915" t="s">
        <v>10</v>
      </c>
      <c r="D3915" t="s">
        <v>10</v>
      </c>
      <c r="E3915" t="str">
        <f>"$ 11,781"</f>
        <v>$ 11,781</v>
      </c>
      <c r="F3915">
        <v>185</v>
      </c>
    </row>
    <row r="3916" spans="1:6">
      <c r="A3916" t="s">
        <v>3916</v>
      </c>
      <c r="B3916" t="str">
        <f t="shared" si="161"/>
        <v>0.00153%</v>
      </c>
      <c r="C3916" t="s">
        <v>10</v>
      </c>
      <c r="D3916" t="s">
        <v>10</v>
      </c>
      <c r="E3916" t="str">
        <f>"$ 11,831"</f>
        <v>$ 11,831</v>
      </c>
      <c r="F3916">
        <v>76</v>
      </c>
    </row>
    <row r="3917" spans="1:6">
      <c r="A3917" t="s">
        <v>3917</v>
      </c>
      <c r="B3917" t="str">
        <f t="shared" si="161"/>
        <v>0.00153%</v>
      </c>
      <c r="C3917" t="s">
        <v>10</v>
      </c>
      <c r="D3917" t="s">
        <v>10</v>
      </c>
      <c r="E3917" t="str">
        <f>"$ 11,823"</f>
        <v>$ 11,823</v>
      </c>
      <c r="F3917">
        <v>214</v>
      </c>
    </row>
    <row r="3918" spans="1:6">
      <c r="A3918" t="s">
        <v>3918</v>
      </c>
      <c r="B3918" t="str">
        <f t="shared" si="161"/>
        <v>0.00153%</v>
      </c>
      <c r="C3918" t="s">
        <v>10</v>
      </c>
      <c r="D3918" t="s">
        <v>10</v>
      </c>
      <c r="E3918" t="str">
        <f>"$ 11,802"</f>
        <v>$ 11,802</v>
      </c>
      <c r="F3918">
        <v>198</v>
      </c>
    </row>
    <row r="3919" spans="1:6">
      <c r="A3919" t="s">
        <v>3919</v>
      </c>
      <c r="B3919" t="str">
        <f t="shared" si="161"/>
        <v>0.00153%</v>
      </c>
      <c r="C3919" t="s">
        <v>10</v>
      </c>
      <c r="D3919" t="s">
        <v>10</v>
      </c>
      <c r="E3919" t="str">
        <f>"$ 11,802"</f>
        <v>$ 11,802</v>
      </c>
      <c r="F3919">
        <v>841</v>
      </c>
    </row>
    <row r="3920" spans="1:6">
      <c r="A3920" t="s">
        <v>3920</v>
      </c>
      <c r="B3920" t="str">
        <f t="shared" si="161"/>
        <v>0.00153%</v>
      </c>
      <c r="C3920" t="s">
        <v>10</v>
      </c>
      <c r="D3920" t="s">
        <v>10</v>
      </c>
      <c r="E3920" t="str">
        <f>"$ 11,838"</f>
        <v>$ 11,838</v>
      </c>
      <c r="F3920">
        <v>76</v>
      </c>
    </row>
    <row r="3921" spans="1:6">
      <c r="A3921" t="s">
        <v>3921</v>
      </c>
      <c r="B3921" t="str">
        <f t="shared" si="161"/>
        <v>0.00153%</v>
      </c>
      <c r="C3921" t="s">
        <v>10</v>
      </c>
      <c r="D3921" t="s">
        <v>10</v>
      </c>
      <c r="E3921" t="str">
        <f>"$ 11,809"</f>
        <v>$ 11,809</v>
      </c>
      <c r="F3921">
        <v>742</v>
      </c>
    </row>
    <row r="3922" spans="1:6">
      <c r="A3922" t="s">
        <v>3922</v>
      </c>
      <c r="B3922" t="str">
        <f t="shared" si="161"/>
        <v>0.00153%</v>
      </c>
      <c r="C3922" t="s">
        <v>10</v>
      </c>
      <c r="D3922" t="s">
        <v>10</v>
      </c>
      <c r="E3922" t="str">
        <f>"$ 11,808"</f>
        <v>$ 11,808</v>
      </c>
      <c r="F3922">
        <v>399</v>
      </c>
    </row>
    <row r="3923" spans="1:6">
      <c r="A3923" t="s">
        <v>3923</v>
      </c>
      <c r="B3923" t="str">
        <f t="shared" si="161"/>
        <v>0.00153%</v>
      </c>
      <c r="C3923" t="s">
        <v>10</v>
      </c>
      <c r="D3923" t="s">
        <v>10</v>
      </c>
      <c r="E3923" t="str">
        <f>"$ 11,794"</f>
        <v>$ 11,794</v>
      </c>
      <c r="F3923" s="1">
        <v>1882</v>
      </c>
    </row>
    <row r="3924" spans="1:6">
      <c r="A3924" t="s">
        <v>3924</v>
      </c>
      <c r="B3924" t="str">
        <f t="shared" ref="B3924:B3940" si="162">"0.00152%"</f>
        <v>0.00152%</v>
      </c>
      <c r="C3924" t="s">
        <v>10</v>
      </c>
      <c r="D3924" t="s">
        <v>10</v>
      </c>
      <c r="E3924" t="str">
        <f>"$ 11,758"</f>
        <v>$ 11,758</v>
      </c>
      <c r="F3924">
        <v>588</v>
      </c>
    </row>
    <row r="3925" spans="1:6">
      <c r="A3925" t="s">
        <v>3925</v>
      </c>
      <c r="B3925" t="str">
        <f t="shared" si="162"/>
        <v>0.00152%</v>
      </c>
      <c r="C3925" t="s">
        <v>10</v>
      </c>
      <c r="D3925" t="s">
        <v>10</v>
      </c>
      <c r="E3925" t="str">
        <f>"$ 11,707"</f>
        <v>$ 11,707</v>
      </c>
      <c r="F3925">
        <v>214</v>
      </c>
    </row>
    <row r="3926" spans="1:6">
      <c r="A3926" t="s">
        <v>3926</v>
      </c>
      <c r="B3926" t="str">
        <f t="shared" si="162"/>
        <v>0.00152%</v>
      </c>
      <c r="C3926" t="s">
        <v>10</v>
      </c>
      <c r="D3926" t="s">
        <v>10</v>
      </c>
      <c r="E3926" t="str">
        <f>"$ 11,718"</f>
        <v>$ 11,718</v>
      </c>
      <c r="F3926">
        <v>225</v>
      </c>
    </row>
    <row r="3927" spans="1:6">
      <c r="A3927" t="s">
        <v>3927</v>
      </c>
      <c r="B3927" t="str">
        <f t="shared" si="162"/>
        <v>0.00152%</v>
      </c>
      <c r="C3927" t="s">
        <v>10</v>
      </c>
      <c r="D3927" t="s">
        <v>10</v>
      </c>
      <c r="E3927" t="str">
        <f>"$ 11,751"</f>
        <v>$ 11,751</v>
      </c>
      <c r="F3927">
        <v>83</v>
      </c>
    </row>
    <row r="3928" spans="1:6">
      <c r="A3928" t="s">
        <v>3928</v>
      </c>
      <c r="B3928" t="str">
        <f t="shared" si="162"/>
        <v>0.00152%</v>
      </c>
      <c r="C3928" t="s">
        <v>10</v>
      </c>
      <c r="D3928" t="s">
        <v>10</v>
      </c>
      <c r="E3928" t="str">
        <f>"$ 11,715"</f>
        <v>$ 11,715</v>
      </c>
      <c r="F3928" s="1">
        <v>6993</v>
      </c>
    </row>
    <row r="3929" spans="1:6">
      <c r="A3929" t="s">
        <v>3929</v>
      </c>
      <c r="B3929" t="str">
        <f t="shared" si="162"/>
        <v>0.00152%</v>
      </c>
      <c r="C3929" t="s">
        <v>10</v>
      </c>
      <c r="D3929" t="s">
        <v>10</v>
      </c>
      <c r="E3929" t="str">
        <f>"$ 11,731"</f>
        <v>$ 11,731</v>
      </c>
      <c r="F3929">
        <v>466</v>
      </c>
    </row>
    <row r="3930" spans="1:6">
      <c r="A3930" t="s">
        <v>3930</v>
      </c>
      <c r="B3930" t="str">
        <f t="shared" si="162"/>
        <v>0.00152%</v>
      </c>
      <c r="C3930" t="s">
        <v>10</v>
      </c>
      <c r="D3930" t="s">
        <v>10</v>
      </c>
      <c r="E3930" t="str">
        <f>"$ 11,774"</f>
        <v>$ 11,774</v>
      </c>
      <c r="F3930">
        <v>558</v>
      </c>
    </row>
    <row r="3931" spans="1:6">
      <c r="A3931" t="s">
        <v>3931</v>
      </c>
      <c r="B3931" t="str">
        <f t="shared" si="162"/>
        <v>0.00152%</v>
      </c>
      <c r="C3931" t="s">
        <v>10</v>
      </c>
      <c r="D3931" t="s">
        <v>10</v>
      </c>
      <c r="E3931" t="str">
        <f>"$ 11,741"</f>
        <v>$ 11,741</v>
      </c>
      <c r="F3931">
        <v>440</v>
      </c>
    </row>
    <row r="3932" spans="1:6">
      <c r="A3932" t="s">
        <v>3932</v>
      </c>
      <c r="B3932" t="str">
        <f t="shared" si="162"/>
        <v>0.00152%</v>
      </c>
      <c r="C3932" t="s">
        <v>10</v>
      </c>
      <c r="D3932" t="s">
        <v>10</v>
      </c>
      <c r="E3932" t="str">
        <f>"$ 11,702"</f>
        <v>$ 11,702</v>
      </c>
      <c r="F3932">
        <v>129</v>
      </c>
    </row>
    <row r="3933" spans="1:6">
      <c r="A3933" t="s">
        <v>3933</v>
      </c>
      <c r="B3933" t="str">
        <f t="shared" si="162"/>
        <v>0.00152%</v>
      </c>
      <c r="C3933" t="s">
        <v>10</v>
      </c>
      <c r="D3933" t="s">
        <v>10</v>
      </c>
      <c r="E3933" t="str">
        <f>"$ 11,699"</f>
        <v>$ 11,699</v>
      </c>
      <c r="F3933">
        <v>328</v>
      </c>
    </row>
    <row r="3934" spans="1:6">
      <c r="A3934" t="s">
        <v>3934</v>
      </c>
      <c r="B3934" t="str">
        <f t="shared" si="162"/>
        <v>0.00152%</v>
      </c>
      <c r="C3934" t="s">
        <v>10</v>
      </c>
      <c r="D3934" t="s">
        <v>10</v>
      </c>
      <c r="E3934" t="str">
        <f>"$ 11,702"</f>
        <v>$ 11,702</v>
      </c>
      <c r="F3934">
        <v>280</v>
      </c>
    </row>
    <row r="3935" spans="1:6">
      <c r="A3935" t="s">
        <v>3935</v>
      </c>
      <c r="B3935" t="str">
        <f t="shared" si="162"/>
        <v>0.00152%</v>
      </c>
      <c r="C3935" t="s">
        <v>10</v>
      </c>
      <c r="D3935" t="s">
        <v>10</v>
      </c>
      <c r="E3935" t="str">
        <f>"$ 11,729"</f>
        <v>$ 11,729</v>
      </c>
      <c r="F3935">
        <v>901</v>
      </c>
    </row>
    <row r="3936" spans="1:6">
      <c r="A3936" t="s">
        <v>3936</v>
      </c>
      <c r="B3936" t="str">
        <f t="shared" si="162"/>
        <v>0.00152%</v>
      </c>
      <c r="C3936" t="s">
        <v>10</v>
      </c>
      <c r="D3936" t="s">
        <v>10</v>
      </c>
      <c r="E3936" t="str">
        <f>"$ 11,774"</f>
        <v>$ 11,774</v>
      </c>
      <c r="F3936">
        <v>231</v>
      </c>
    </row>
    <row r="3937" spans="1:6">
      <c r="A3937" t="s">
        <v>3937</v>
      </c>
      <c r="B3937" t="str">
        <f t="shared" si="162"/>
        <v>0.00152%</v>
      </c>
      <c r="C3937" t="s">
        <v>10</v>
      </c>
      <c r="D3937" t="s">
        <v>10</v>
      </c>
      <c r="E3937" t="str">
        <f>"$ 11,739"</f>
        <v>$ 11,739</v>
      </c>
      <c r="F3937" s="1">
        <v>2555</v>
      </c>
    </row>
    <row r="3938" spans="1:6">
      <c r="A3938" t="s">
        <v>3938</v>
      </c>
      <c r="B3938" t="str">
        <f t="shared" si="162"/>
        <v>0.00152%</v>
      </c>
      <c r="C3938" t="s">
        <v>10</v>
      </c>
      <c r="D3938" t="s">
        <v>10</v>
      </c>
      <c r="E3938" t="str">
        <f>"$ 11,767"</f>
        <v>$ 11,767</v>
      </c>
      <c r="F3938">
        <v>529</v>
      </c>
    </row>
    <row r="3939" spans="1:6">
      <c r="A3939" t="s">
        <v>3939</v>
      </c>
      <c r="B3939" t="str">
        <f t="shared" si="162"/>
        <v>0.00152%</v>
      </c>
      <c r="C3939" t="s">
        <v>10</v>
      </c>
      <c r="D3939" t="s">
        <v>10</v>
      </c>
      <c r="E3939" t="str">
        <f>"$ 11,706"</f>
        <v>$ 11,706</v>
      </c>
      <c r="F3939">
        <v>403</v>
      </c>
    </row>
    <row r="3940" spans="1:6">
      <c r="A3940" t="s">
        <v>3940</v>
      </c>
      <c r="B3940" t="str">
        <f t="shared" si="162"/>
        <v>0.00152%</v>
      </c>
      <c r="C3940" t="s">
        <v>10</v>
      </c>
      <c r="D3940" t="s">
        <v>10</v>
      </c>
      <c r="E3940" t="str">
        <f>"$ 11,737"</f>
        <v>$ 11,737</v>
      </c>
      <c r="F3940">
        <v>957</v>
      </c>
    </row>
    <row r="3941" spans="1:6">
      <c r="A3941" t="s">
        <v>3941</v>
      </c>
      <c r="B3941" t="str">
        <f t="shared" ref="B3941:B3953" si="163">"0.00151%"</f>
        <v>0.00151%</v>
      </c>
      <c r="C3941" t="s">
        <v>10</v>
      </c>
      <c r="D3941" t="s">
        <v>10</v>
      </c>
      <c r="E3941" t="str">
        <f>"$ 11,623"</f>
        <v>$ 11,623</v>
      </c>
      <c r="F3941">
        <v>168</v>
      </c>
    </row>
    <row r="3942" spans="1:6">
      <c r="A3942" t="s">
        <v>3942</v>
      </c>
      <c r="B3942" t="str">
        <f t="shared" si="163"/>
        <v>0.00151%</v>
      </c>
      <c r="C3942" t="s">
        <v>10</v>
      </c>
      <c r="D3942" t="s">
        <v>10</v>
      </c>
      <c r="E3942" t="str">
        <f>"$ 11,627"</f>
        <v>$ 11,627</v>
      </c>
      <c r="F3942">
        <v>547</v>
      </c>
    </row>
    <row r="3943" spans="1:6">
      <c r="A3943" t="s">
        <v>3943</v>
      </c>
      <c r="B3943" t="str">
        <f t="shared" si="163"/>
        <v>0.00151%</v>
      </c>
      <c r="C3943" t="s">
        <v>10</v>
      </c>
      <c r="D3943" t="s">
        <v>10</v>
      </c>
      <c r="E3943" t="str">
        <f>"$ 11,680"</f>
        <v>$ 11,680</v>
      </c>
      <c r="F3943">
        <v>111</v>
      </c>
    </row>
    <row r="3944" spans="1:6">
      <c r="A3944" t="s">
        <v>3944</v>
      </c>
      <c r="B3944" t="str">
        <f t="shared" si="163"/>
        <v>0.00151%</v>
      </c>
      <c r="C3944" t="s">
        <v>10</v>
      </c>
      <c r="D3944" t="s">
        <v>10</v>
      </c>
      <c r="E3944" t="str">
        <f>"$ 11,658"</f>
        <v>$ 11,658</v>
      </c>
      <c r="F3944" s="1">
        <v>9776</v>
      </c>
    </row>
    <row r="3945" spans="1:6">
      <c r="A3945" t="s">
        <v>3945</v>
      </c>
      <c r="B3945" t="str">
        <f t="shared" si="163"/>
        <v>0.00151%</v>
      </c>
      <c r="C3945" t="s">
        <v>10</v>
      </c>
      <c r="D3945" t="s">
        <v>10</v>
      </c>
      <c r="E3945" t="str">
        <f>"$ 11,683"</f>
        <v>$ 11,683</v>
      </c>
      <c r="F3945">
        <v>264</v>
      </c>
    </row>
    <row r="3946" spans="1:6">
      <c r="A3946" t="s">
        <v>3946</v>
      </c>
      <c r="B3946" t="str">
        <f t="shared" si="163"/>
        <v>0.00151%</v>
      </c>
      <c r="C3946" t="s">
        <v>10</v>
      </c>
      <c r="D3946" t="s">
        <v>10</v>
      </c>
      <c r="E3946" t="str">
        <f>"$ 11,635"</f>
        <v>$ 11,635</v>
      </c>
      <c r="F3946">
        <v>97</v>
      </c>
    </row>
    <row r="3947" spans="1:6">
      <c r="A3947" t="s">
        <v>3947</v>
      </c>
      <c r="B3947" t="str">
        <f t="shared" si="163"/>
        <v>0.00151%</v>
      </c>
      <c r="C3947" t="s">
        <v>10</v>
      </c>
      <c r="D3947" t="s">
        <v>10</v>
      </c>
      <c r="E3947" t="str">
        <f>"$ 11,661"</f>
        <v>$ 11,661</v>
      </c>
      <c r="F3947">
        <v>622</v>
      </c>
    </row>
    <row r="3948" spans="1:6">
      <c r="A3948" t="s">
        <v>3948</v>
      </c>
      <c r="B3948" t="str">
        <f t="shared" si="163"/>
        <v>0.00151%</v>
      </c>
      <c r="C3948" t="s">
        <v>10</v>
      </c>
      <c r="D3948" t="s">
        <v>10</v>
      </c>
      <c r="E3948" t="str">
        <f>"$ 11,667"</f>
        <v>$ 11,667</v>
      </c>
      <c r="F3948">
        <v>365</v>
      </c>
    </row>
    <row r="3949" spans="1:6">
      <c r="A3949" t="s">
        <v>3949</v>
      </c>
      <c r="B3949" t="str">
        <f t="shared" si="163"/>
        <v>0.00151%</v>
      </c>
      <c r="C3949" t="s">
        <v>10</v>
      </c>
      <c r="D3949" t="s">
        <v>10</v>
      </c>
      <c r="E3949" t="str">
        <f>"$ 11,676"</f>
        <v>$ 11,676</v>
      </c>
      <c r="F3949" s="1">
        <v>1617</v>
      </c>
    </row>
    <row r="3950" spans="1:6">
      <c r="A3950" t="s">
        <v>3950</v>
      </c>
      <c r="B3950" t="str">
        <f t="shared" si="163"/>
        <v>0.00151%</v>
      </c>
      <c r="C3950" t="s">
        <v>10</v>
      </c>
      <c r="D3950" t="s">
        <v>10</v>
      </c>
      <c r="E3950" t="str">
        <f>"$ 11,624"</f>
        <v>$ 11,624</v>
      </c>
      <c r="F3950">
        <v>363</v>
      </c>
    </row>
    <row r="3951" spans="1:6">
      <c r="A3951" t="s">
        <v>3951</v>
      </c>
      <c r="B3951" t="str">
        <f t="shared" si="163"/>
        <v>0.00151%</v>
      </c>
      <c r="C3951" t="s">
        <v>10</v>
      </c>
      <c r="D3951" t="s">
        <v>10</v>
      </c>
      <c r="E3951" t="str">
        <f>"$ 11,631"</f>
        <v>$ 11,631</v>
      </c>
      <c r="F3951">
        <v>300</v>
      </c>
    </row>
    <row r="3952" spans="1:6">
      <c r="A3952" t="s">
        <v>3952</v>
      </c>
      <c r="B3952" t="str">
        <f t="shared" si="163"/>
        <v>0.00151%</v>
      </c>
      <c r="C3952" t="s">
        <v>10</v>
      </c>
      <c r="D3952" t="s">
        <v>10</v>
      </c>
      <c r="E3952" t="str">
        <f>"$ 11,673"</f>
        <v>$ 11,673</v>
      </c>
      <c r="F3952">
        <v>231</v>
      </c>
    </row>
    <row r="3953" spans="1:6">
      <c r="A3953" t="s">
        <v>3953</v>
      </c>
      <c r="B3953" t="str">
        <f t="shared" si="163"/>
        <v>0.00151%</v>
      </c>
      <c r="C3953" t="s">
        <v>10</v>
      </c>
      <c r="D3953" t="s">
        <v>10</v>
      </c>
      <c r="E3953" t="str">
        <f>"$ 11,649"</f>
        <v>$ 11,649</v>
      </c>
      <c r="F3953" s="1">
        <v>1999</v>
      </c>
    </row>
    <row r="3954" spans="1:6">
      <c r="A3954" t="s">
        <v>3954</v>
      </c>
      <c r="B3954" t="str">
        <f t="shared" ref="B3954:B3965" si="164">"0.00150%"</f>
        <v>0.00150%</v>
      </c>
      <c r="C3954" t="s">
        <v>10</v>
      </c>
      <c r="D3954" t="s">
        <v>10</v>
      </c>
      <c r="E3954" t="str">
        <f>"$ 11,545"</f>
        <v>$ 11,545</v>
      </c>
      <c r="F3954">
        <v>672</v>
      </c>
    </row>
    <row r="3955" spans="1:6">
      <c r="A3955" t="s">
        <v>3955</v>
      </c>
      <c r="B3955" t="str">
        <f t="shared" si="164"/>
        <v>0.00150%</v>
      </c>
      <c r="C3955" t="s">
        <v>10</v>
      </c>
      <c r="D3955" t="s">
        <v>10</v>
      </c>
      <c r="E3955" t="str">
        <f>"$ 11,583"</f>
        <v>$ 11,583</v>
      </c>
      <c r="F3955" s="1">
        <v>2040</v>
      </c>
    </row>
    <row r="3956" spans="1:6">
      <c r="A3956" t="s">
        <v>3956</v>
      </c>
      <c r="B3956" t="str">
        <f t="shared" si="164"/>
        <v>0.00150%</v>
      </c>
      <c r="C3956" t="s">
        <v>10</v>
      </c>
      <c r="D3956" t="s">
        <v>10</v>
      </c>
      <c r="E3956" t="str">
        <f>"$ 11,549"</f>
        <v>$ 11,549</v>
      </c>
      <c r="F3956">
        <v>497</v>
      </c>
    </row>
    <row r="3957" spans="1:6">
      <c r="A3957" t="s">
        <v>3957</v>
      </c>
      <c r="B3957" t="str">
        <f t="shared" si="164"/>
        <v>0.00150%</v>
      </c>
      <c r="C3957" t="s">
        <v>10</v>
      </c>
      <c r="D3957" t="s">
        <v>10</v>
      </c>
      <c r="E3957" t="str">
        <f>"$ 11,548"</f>
        <v>$ 11,548</v>
      </c>
      <c r="F3957">
        <v>108</v>
      </c>
    </row>
    <row r="3958" spans="1:6">
      <c r="A3958" t="s">
        <v>3958</v>
      </c>
      <c r="B3958" t="str">
        <f t="shared" si="164"/>
        <v>0.00150%</v>
      </c>
      <c r="C3958" t="s">
        <v>10</v>
      </c>
      <c r="D3958" t="s">
        <v>10</v>
      </c>
      <c r="E3958" t="str">
        <f>"$ 11,606"</f>
        <v>$ 11,606</v>
      </c>
      <c r="F3958">
        <v>280</v>
      </c>
    </row>
    <row r="3959" spans="1:6">
      <c r="A3959" t="s">
        <v>3959</v>
      </c>
      <c r="B3959" t="str">
        <f t="shared" si="164"/>
        <v>0.00150%</v>
      </c>
      <c r="C3959" t="s">
        <v>10</v>
      </c>
      <c r="D3959" t="s">
        <v>10</v>
      </c>
      <c r="E3959" t="str">
        <f>"$ 11,584"</f>
        <v>$ 11,584</v>
      </c>
      <c r="F3959">
        <v>949</v>
      </c>
    </row>
    <row r="3960" spans="1:6">
      <c r="A3960" t="s">
        <v>3960</v>
      </c>
      <c r="B3960" t="str">
        <f t="shared" si="164"/>
        <v>0.00150%</v>
      </c>
      <c r="C3960" t="s">
        <v>10</v>
      </c>
      <c r="D3960" t="s">
        <v>10</v>
      </c>
      <c r="E3960" t="str">
        <f>"$ 11,549"</f>
        <v>$ 11,549</v>
      </c>
      <c r="F3960">
        <v>303</v>
      </c>
    </row>
    <row r="3961" spans="1:6">
      <c r="A3961" t="s">
        <v>3961</v>
      </c>
      <c r="B3961" t="str">
        <f t="shared" si="164"/>
        <v>0.00150%</v>
      </c>
      <c r="C3961" t="s">
        <v>10</v>
      </c>
      <c r="D3961" t="s">
        <v>10</v>
      </c>
      <c r="E3961" t="str">
        <f>"$ 11,562"</f>
        <v>$ 11,562</v>
      </c>
      <c r="F3961" s="1">
        <v>10301</v>
      </c>
    </row>
    <row r="3962" spans="1:6">
      <c r="A3962" t="s">
        <v>3962</v>
      </c>
      <c r="B3962" t="str">
        <f t="shared" si="164"/>
        <v>0.00150%</v>
      </c>
      <c r="C3962" t="s">
        <v>10</v>
      </c>
      <c r="D3962" t="s">
        <v>10</v>
      </c>
      <c r="E3962" t="str">
        <f>"$ 11,563"</f>
        <v>$ 11,563</v>
      </c>
      <c r="F3962">
        <v>634</v>
      </c>
    </row>
    <row r="3963" spans="1:6">
      <c r="A3963" t="s">
        <v>3963</v>
      </c>
      <c r="B3963" t="str">
        <f t="shared" si="164"/>
        <v>0.00150%</v>
      </c>
      <c r="C3963" t="s">
        <v>10</v>
      </c>
      <c r="D3963" t="s">
        <v>10</v>
      </c>
      <c r="E3963" t="str">
        <f>"$ 11,603"</f>
        <v>$ 11,603</v>
      </c>
      <c r="F3963" s="1">
        <v>5407</v>
      </c>
    </row>
    <row r="3964" spans="1:6">
      <c r="A3964" t="s">
        <v>3964</v>
      </c>
      <c r="B3964" t="str">
        <f t="shared" si="164"/>
        <v>0.00150%</v>
      </c>
      <c r="C3964" t="s">
        <v>10</v>
      </c>
      <c r="D3964" t="s">
        <v>10</v>
      </c>
      <c r="E3964" t="str">
        <f>"$ 11,588"</f>
        <v>$ 11,588</v>
      </c>
      <c r="F3964">
        <v>897</v>
      </c>
    </row>
    <row r="3965" spans="1:6">
      <c r="A3965" t="s">
        <v>3965</v>
      </c>
      <c r="B3965" t="str">
        <f t="shared" si="164"/>
        <v>0.00150%</v>
      </c>
      <c r="C3965" t="s">
        <v>10</v>
      </c>
      <c r="D3965" t="s">
        <v>10</v>
      </c>
      <c r="E3965" t="str">
        <f>"$ 11,603"</f>
        <v>$ 11,603</v>
      </c>
      <c r="F3965">
        <v>734</v>
      </c>
    </row>
    <row r="3966" spans="1:6">
      <c r="A3966" t="s">
        <v>3966</v>
      </c>
      <c r="B3966" t="str">
        <f t="shared" ref="B3966:B3981" si="165">"0.00149%"</f>
        <v>0.00149%</v>
      </c>
      <c r="C3966" t="s">
        <v>10</v>
      </c>
      <c r="D3966" t="s">
        <v>10</v>
      </c>
      <c r="E3966" t="str">
        <f>"$ 11,528"</f>
        <v>$ 11,528</v>
      </c>
      <c r="F3966" s="1">
        <v>2064</v>
      </c>
    </row>
    <row r="3967" spans="1:6">
      <c r="A3967" t="s">
        <v>3967</v>
      </c>
      <c r="B3967" t="str">
        <f t="shared" si="165"/>
        <v>0.00149%</v>
      </c>
      <c r="C3967" t="s">
        <v>10</v>
      </c>
      <c r="D3967" t="s">
        <v>10</v>
      </c>
      <c r="E3967" t="str">
        <f>"$ 11,522"</f>
        <v>$ 11,522</v>
      </c>
      <c r="F3967">
        <v>445</v>
      </c>
    </row>
    <row r="3968" spans="1:6">
      <c r="A3968" t="s">
        <v>3968</v>
      </c>
      <c r="B3968" t="str">
        <f t="shared" si="165"/>
        <v>0.00149%</v>
      </c>
      <c r="C3968" t="s">
        <v>10</v>
      </c>
      <c r="D3968" t="s">
        <v>10</v>
      </c>
      <c r="E3968" t="str">
        <f>"$ 11,484"</f>
        <v>$ 11,484</v>
      </c>
      <c r="F3968" s="1">
        <v>14567</v>
      </c>
    </row>
    <row r="3969" spans="1:6">
      <c r="A3969" t="s">
        <v>3969</v>
      </c>
      <c r="B3969" t="str">
        <f t="shared" si="165"/>
        <v>0.00149%</v>
      </c>
      <c r="C3969" t="s">
        <v>10</v>
      </c>
      <c r="D3969" t="s">
        <v>10</v>
      </c>
      <c r="E3969" t="str">
        <f>"$ 11,544"</f>
        <v>$ 11,544</v>
      </c>
      <c r="F3969">
        <v>406</v>
      </c>
    </row>
    <row r="3970" spans="1:6">
      <c r="A3970" t="s">
        <v>3970</v>
      </c>
      <c r="B3970" t="str">
        <f t="shared" si="165"/>
        <v>0.00149%</v>
      </c>
      <c r="C3970" t="s">
        <v>10</v>
      </c>
      <c r="D3970" t="s">
        <v>10</v>
      </c>
      <c r="E3970" t="str">
        <f>"$ 11,531"</f>
        <v>$ 11,531</v>
      </c>
      <c r="F3970">
        <v>111</v>
      </c>
    </row>
    <row r="3971" spans="1:6">
      <c r="A3971" t="s">
        <v>3971</v>
      </c>
      <c r="B3971" t="str">
        <f t="shared" si="165"/>
        <v>0.00149%</v>
      </c>
      <c r="C3971" t="s">
        <v>10</v>
      </c>
      <c r="D3971" t="s">
        <v>10</v>
      </c>
      <c r="E3971" t="str">
        <f>"$ 11,476"</f>
        <v>$ 11,476</v>
      </c>
      <c r="F3971">
        <v>264</v>
      </c>
    </row>
    <row r="3972" spans="1:6">
      <c r="A3972" t="s">
        <v>3972</v>
      </c>
      <c r="B3972" t="str">
        <f t="shared" si="165"/>
        <v>0.00149%</v>
      </c>
      <c r="C3972" t="s">
        <v>10</v>
      </c>
      <c r="D3972" t="s">
        <v>10</v>
      </c>
      <c r="E3972" t="str">
        <f>"$ 11,506"</f>
        <v>$ 11,506</v>
      </c>
      <c r="F3972">
        <v>412</v>
      </c>
    </row>
    <row r="3973" spans="1:6">
      <c r="A3973" t="s">
        <v>3973</v>
      </c>
      <c r="B3973" t="str">
        <f t="shared" si="165"/>
        <v>0.00149%</v>
      </c>
      <c r="C3973" t="s">
        <v>10</v>
      </c>
      <c r="D3973" t="s">
        <v>10</v>
      </c>
      <c r="E3973" t="str">
        <f>"$ 11,472"</f>
        <v>$ 11,472</v>
      </c>
      <c r="F3973">
        <v>109</v>
      </c>
    </row>
    <row r="3974" spans="1:6">
      <c r="A3974" t="s">
        <v>3974</v>
      </c>
      <c r="B3974" t="str">
        <f t="shared" si="165"/>
        <v>0.00149%</v>
      </c>
      <c r="C3974" t="s">
        <v>10</v>
      </c>
      <c r="D3974" t="s">
        <v>10</v>
      </c>
      <c r="E3974" t="str">
        <f>"$ 11,516"</f>
        <v>$ 11,516</v>
      </c>
      <c r="F3974">
        <v>305</v>
      </c>
    </row>
    <row r="3975" spans="1:6">
      <c r="A3975" t="s">
        <v>3975</v>
      </c>
      <c r="B3975" t="str">
        <f t="shared" si="165"/>
        <v>0.00149%</v>
      </c>
      <c r="C3975" t="s">
        <v>10</v>
      </c>
      <c r="D3975" t="s">
        <v>10</v>
      </c>
      <c r="E3975" t="str">
        <f>"$ 11,496"</f>
        <v>$ 11,496</v>
      </c>
      <c r="F3975" s="1">
        <v>1814</v>
      </c>
    </row>
    <row r="3976" spans="1:6">
      <c r="A3976" t="s">
        <v>3976</v>
      </c>
      <c r="B3976" t="str">
        <f t="shared" si="165"/>
        <v>0.00149%</v>
      </c>
      <c r="C3976" t="s">
        <v>10</v>
      </c>
      <c r="D3976" t="s">
        <v>10</v>
      </c>
      <c r="E3976" t="str">
        <f>"$ 11,497"</f>
        <v>$ 11,497</v>
      </c>
      <c r="F3976" s="1">
        <v>7317</v>
      </c>
    </row>
    <row r="3977" spans="1:6">
      <c r="A3977" t="s">
        <v>3977</v>
      </c>
      <c r="B3977" t="str">
        <f t="shared" si="165"/>
        <v>0.00149%</v>
      </c>
      <c r="C3977" t="s">
        <v>10</v>
      </c>
      <c r="D3977" t="s">
        <v>10</v>
      </c>
      <c r="E3977" t="str">
        <f>"$ 11,511"</f>
        <v>$ 11,511</v>
      </c>
      <c r="F3977" s="1">
        <v>37016</v>
      </c>
    </row>
    <row r="3978" spans="1:6">
      <c r="A3978" t="s">
        <v>3978</v>
      </c>
      <c r="B3978" t="str">
        <f t="shared" si="165"/>
        <v>0.00149%</v>
      </c>
      <c r="C3978" t="s">
        <v>10</v>
      </c>
      <c r="D3978" t="s">
        <v>10</v>
      </c>
      <c r="E3978" t="str">
        <f>"$ 11,481"</f>
        <v>$ 11,481</v>
      </c>
      <c r="F3978" s="1">
        <v>5325</v>
      </c>
    </row>
    <row r="3979" spans="1:6">
      <c r="A3979" t="s">
        <v>3979</v>
      </c>
      <c r="B3979" t="str">
        <f t="shared" si="165"/>
        <v>0.00149%</v>
      </c>
      <c r="C3979" t="s">
        <v>10</v>
      </c>
      <c r="D3979" t="s">
        <v>10</v>
      </c>
      <c r="E3979" t="str">
        <f>"$ 11,517"</f>
        <v>$ 11,517</v>
      </c>
      <c r="F3979" s="1">
        <v>9763</v>
      </c>
    </row>
    <row r="3980" spans="1:6">
      <c r="A3980" t="s">
        <v>3980</v>
      </c>
      <c r="B3980" t="str">
        <f t="shared" si="165"/>
        <v>0.00149%</v>
      </c>
      <c r="C3980" t="s">
        <v>10</v>
      </c>
      <c r="D3980" t="s">
        <v>10</v>
      </c>
      <c r="E3980" t="str">
        <f>"$ 11,515"</f>
        <v>$ 11,515</v>
      </c>
      <c r="F3980">
        <v>200</v>
      </c>
    </row>
    <row r="3981" spans="1:6">
      <c r="A3981" t="s">
        <v>3981</v>
      </c>
      <c r="B3981" t="str">
        <f t="shared" si="165"/>
        <v>0.00149%</v>
      </c>
      <c r="C3981" t="s">
        <v>10</v>
      </c>
      <c r="D3981" t="s">
        <v>10</v>
      </c>
      <c r="E3981" t="str">
        <f>"$ 11,544"</f>
        <v>$ 11,544</v>
      </c>
      <c r="F3981" s="1">
        <v>3495</v>
      </c>
    </row>
    <row r="3982" spans="1:6">
      <c r="A3982" t="s">
        <v>3982</v>
      </c>
      <c r="B3982" t="str">
        <f t="shared" ref="B3982:B3991" si="166">"0.00148%"</f>
        <v>0.00148%</v>
      </c>
      <c r="C3982" t="s">
        <v>10</v>
      </c>
      <c r="D3982" t="s">
        <v>10</v>
      </c>
      <c r="E3982" t="str">
        <f>"$ 11,460"</f>
        <v>$ 11,460</v>
      </c>
      <c r="F3982">
        <v>330</v>
      </c>
    </row>
    <row r="3983" spans="1:6">
      <c r="A3983" t="s">
        <v>3983</v>
      </c>
      <c r="B3983" t="str">
        <f t="shared" si="166"/>
        <v>0.00148%</v>
      </c>
      <c r="C3983" t="s">
        <v>10</v>
      </c>
      <c r="D3983" t="s">
        <v>10</v>
      </c>
      <c r="E3983" t="str">
        <f>"$ 11,411"</f>
        <v>$ 11,411</v>
      </c>
      <c r="F3983">
        <v>152</v>
      </c>
    </row>
    <row r="3984" spans="1:6">
      <c r="A3984" t="s">
        <v>3984</v>
      </c>
      <c r="B3984" t="str">
        <f t="shared" si="166"/>
        <v>0.00148%</v>
      </c>
      <c r="C3984" t="s">
        <v>10</v>
      </c>
      <c r="D3984" t="s">
        <v>10</v>
      </c>
      <c r="E3984" t="str">
        <f>"$ 11,422"</f>
        <v>$ 11,422</v>
      </c>
      <c r="F3984" s="1">
        <v>18328</v>
      </c>
    </row>
    <row r="3985" spans="1:6">
      <c r="A3985" t="s">
        <v>3985</v>
      </c>
      <c r="B3985" t="str">
        <f t="shared" si="166"/>
        <v>0.00148%</v>
      </c>
      <c r="C3985" t="s">
        <v>10</v>
      </c>
      <c r="D3985" t="s">
        <v>10</v>
      </c>
      <c r="E3985" t="str">
        <f>"$ 11,428"</f>
        <v>$ 11,428</v>
      </c>
      <c r="F3985" s="1">
        <v>12011</v>
      </c>
    </row>
    <row r="3986" spans="1:6">
      <c r="A3986" t="s">
        <v>3986</v>
      </c>
      <c r="B3986" t="str">
        <f t="shared" si="166"/>
        <v>0.00148%</v>
      </c>
      <c r="C3986" t="s">
        <v>10</v>
      </c>
      <c r="D3986" t="s">
        <v>10</v>
      </c>
      <c r="E3986" t="str">
        <f>"$ 11,464"</f>
        <v>$ 11,464</v>
      </c>
      <c r="F3986" s="1">
        <v>9435</v>
      </c>
    </row>
    <row r="3987" spans="1:6">
      <c r="A3987" t="s">
        <v>3987</v>
      </c>
      <c r="B3987" t="str">
        <f t="shared" si="166"/>
        <v>0.00148%</v>
      </c>
      <c r="C3987" t="s">
        <v>10</v>
      </c>
      <c r="D3987" t="s">
        <v>10</v>
      </c>
      <c r="E3987" t="str">
        <f>"$ 11,452"</f>
        <v>$ 11,452</v>
      </c>
      <c r="F3987" s="1">
        <v>1101</v>
      </c>
    </row>
    <row r="3988" spans="1:6">
      <c r="A3988" t="s">
        <v>3988</v>
      </c>
      <c r="B3988" t="str">
        <f t="shared" si="166"/>
        <v>0.00148%</v>
      </c>
      <c r="C3988" t="s">
        <v>10</v>
      </c>
      <c r="D3988" t="s">
        <v>10</v>
      </c>
      <c r="E3988" t="str">
        <f>"$ 11,417"</f>
        <v>$ 11,417</v>
      </c>
      <c r="F3988" s="1">
        <v>4137</v>
      </c>
    </row>
    <row r="3989" spans="1:6">
      <c r="A3989" t="s">
        <v>3989</v>
      </c>
      <c r="B3989" t="str">
        <f t="shared" si="166"/>
        <v>0.00148%</v>
      </c>
      <c r="C3989" t="s">
        <v>10</v>
      </c>
      <c r="D3989" t="s">
        <v>10</v>
      </c>
      <c r="E3989" t="str">
        <f>"$ 11,455"</f>
        <v>$ 11,455</v>
      </c>
      <c r="F3989">
        <v>118</v>
      </c>
    </row>
    <row r="3990" spans="1:6">
      <c r="A3990" t="s">
        <v>3990</v>
      </c>
      <c r="B3990" t="str">
        <f t="shared" si="166"/>
        <v>0.00148%</v>
      </c>
      <c r="C3990" t="s">
        <v>10</v>
      </c>
      <c r="D3990" t="s">
        <v>10</v>
      </c>
      <c r="E3990" t="str">
        <f>"$ 11,422"</f>
        <v>$ 11,422</v>
      </c>
      <c r="F3990" s="1">
        <v>2425</v>
      </c>
    </row>
    <row r="3991" spans="1:6">
      <c r="A3991" t="s">
        <v>3991</v>
      </c>
      <c r="B3991" t="str">
        <f t="shared" si="166"/>
        <v>0.00148%</v>
      </c>
      <c r="C3991" t="s">
        <v>10</v>
      </c>
      <c r="D3991" t="s">
        <v>10</v>
      </c>
      <c r="E3991" t="str">
        <f>"$ 11,409"</f>
        <v>$ 11,409</v>
      </c>
      <c r="F3991">
        <v>721</v>
      </c>
    </row>
    <row r="3992" spans="1:6">
      <c r="A3992" t="s">
        <v>3992</v>
      </c>
      <c r="B3992" t="str">
        <f t="shared" ref="B3992:B4008" si="167">"0.00147%"</f>
        <v>0.00147%</v>
      </c>
      <c r="C3992" t="s">
        <v>10</v>
      </c>
      <c r="D3992" t="s">
        <v>10</v>
      </c>
      <c r="E3992" t="str">
        <f>"$ 11,340"</f>
        <v>$ 11,340</v>
      </c>
      <c r="F3992">
        <v>332</v>
      </c>
    </row>
    <row r="3993" spans="1:6">
      <c r="A3993" t="s">
        <v>3993</v>
      </c>
      <c r="B3993" t="str">
        <f t="shared" si="167"/>
        <v>0.00147%</v>
      </c>
      <c r="C3993" t="s">
        <v>10</v>
      </c>
      <c r="D3993" t="s">
        <v>10</v>
      </c>
      <c r="E3993" t="str">
        <f>"$ 11,376"</f>
        <v>$ 11,376</v>
      </c>
      <c r="F3993">
        <v>75</v>
      </c>
    </row>
    <row r="3994" spans="1:6">
      <c r="A3994" t="s">
        <v>3994</v>
      </c>
      <c r="B3994" t="str">
        <f t="shared" si="167"/>
        <v>0.00147%</v>
      </c>
      <c r="C3994" t="s">
        <v>10</v>
      </c>
      <c r="D3994" t="s">
        <v>10</v>
      </c>
      <c r="E3994" t="str">
        <f>"$ 11,376"</f>
        <v>$ 11,376</v>
      </c>
      <c r="F3994" s="1">
        <v>4307</v>
      </c>
    </row>
    <row r="3995" spans="1:6">
      <c r="A3995" t="s">
        <v>3995</v>
      </c>
      <c r="B3995" t="str">
        <f t="shared" si="167"/>
        <v>0.00147%</v>
      </c>
      <c r="C3995" t="s">
        <v>10</v>
      </c>
      <c r="D3995" t="s">
        <v>10</v>
      </c>
      <c r="E3995" t="str">
        <f>"$ 11,336"</f>
        <v>$ 11,336</v>
      </c>
      <c r="F3995">
        <v>215</v>
      </c>
    </row>
    <row r="3996" spans="1:6">
      <c r="A3996" t="s">
        <v>3996</v>
      </c>
      <c r="B3996" t="str">
        <f t="shared" si="167"/>
        <v>0.00147%</v>
      </c>
      <c r="C3996" t="s">
        <v>10</v>
      </c>
      <c r="D3996" t="s">
        <v>10</v>
      </c>
      <c r="E3996" t="str">
        <f>"$ 11,336"</f>
        <v>$ 11,336</v>
      </c>
      <c r="F3996">
        <v>251</v>
      </c>
    </row>
    <row r="3997" spans="1:6">
      <c r="A3997" t="s">
        <v>3997</v>
      </c>
      <c r="B3997" t="str">
        <f t="shared" si="167"/>
        <v>0.00147%</v>
      </c>
      <c r="C3997" t="s">
        <v>10</v>
      </c>
      <c r="D3997" t="s">
        <v>10</v>
      </c>
      <c r="E3997" t="str">
        <f>"$ 11,327"</f>
        <v>$ 11,327</v>
      </c>
      <c r="F3997" s="1">
        <v>3372</v>
      </c>
    </row>
    <row r="3998" spans="1:6">
      <c r="A3998" t="s">
        <v>3998</v>
      </c>
      <c r="B3998" t="str">
        <f t="shared" si="167"/>
        <v>0.00147%</v>
      </c>
      <c r="C3998" t="s">
        <v>10</v>
      </c>
      <c r="D3998" t="s">
        <v>10</v>
      </c>
      <c r="E3998" t="str">
        <f>"$ 11,387"</f>
        <v>$ 11,387</v>
      </c>
      <c r="F3998" s="1">
        <v>14353</v>
      </c>
    </row>
    <row r="3999" spans="1:6">
      <c r="A3999" t="s">
        <v>3999</v>
      </c>
      <c r="B3999" t="str">
        <f t="shared" si="167"/>
        <v>0.00147%</v>
      </c>
      <c r="C3999" t="s">
        <v>10</v>
      </c>
      <c r="D3999" t="s">
        <v>10</v>
      </c>
      <c r="E3999" t="str">
        <f>"$ 11,337"</f>
        <v>$ 11,337</v>
      </c>
      <c r="F3999">
        <v>102</v>
      </c>
    </row>
    <row r="4000" spans="1:6">
      <c r="A4000" t="s">
        <v>4000</v>
      </c>
      <c r="B4000" t="str">
        <f t="shared" si="167"/>
        <v>0.00147%</v>
      </c>
      <c r="C4000" t="s">
        <v>10</v>
      </c>
      <c r="D4000" t="s">
        <v>10</v>
      </c>
      <c r="E4000" t="str">
        <f>"$ 11,328"</f>
        <v>$ 11,328</v>
      </c>
      <c r="F4000">
        <v>330</v>
      </c>
    </row>
    <row r="4001" spans="1:6">
      <c r="A4001" t="s">
        <v>4001</v>
      </c>
      <c r="B4001" t="str">
        <f t="shared" si="167"/>
        <v>0.00147%</v>
      </c>
      <c r="C4001" t="s">
        <v>10</v>
      </c>
      <c r="D4001" t="s">
        <v>10</v>
      </c>
      <c r="E4001" t="str">
        <f>"$ 11,348"</f>
        <v>$ 11,348</v>
      </c>
      <c r="F4001">
        <v>231</v>
      </c>
    </row>
    <row r="4002" spans="1:6">
      <c r="A4002" t="s">
        <v>4002</v>
      </c>
      <c r="B4002" t="str">
        <f t="shared" si="167"/>
        <v>0.00147%</v>
      </c>
      <c r="C4002" t="s">
        <v>10</v>
      </c>
      <c r="D4002" t="s">
        <v>10</v>
      </c>
      <c r="E4002" t="str">
        <f>"$ 11,356"</f>
        <v>$ 11,356</v>
      </c>
      <c r="F4002">
        <v>165</v>
      </c>
    </row>
    <row r="4003" spans="1:6">
      <c r="A4003" t="s">
        <v>4003</v>
      </c>
      <c r="B4003" t="str">
        <f t="shared" si="167"/>
        <v>0.00147%</v>
      </c>
      <c r="C4003" t="s">
        <v>10</v>
      </c>
      <c r="D4003" t="s">
        <v>10</v>
      </c>
      <c r="E4003" t="str">
        <f>"$ 11,325"</f>
        <v>$ 11,325</v>
      </c>
      <c r="F4003" s="1">
        <v>1263</v>
      </c>
    </row>
    <row r="4004" spans="1:6">
      <c r="A4004" t="s">
        <v>4004</v>
      </c>
      <c r="B4004" t="str">
        <f t="shared" si="167"/>
        <v>0.00147%</v>
      </c>
      <c r="C4004" t="s">
        <v>10</v>
      </c>
      <c r="D4004" t="s">
        <v>10</v>
      </c>
      <c r="E4004" t="str">
        <f>"$ 11,315"</f>
        <v>$ 11,315</v>
      </c>
      <c r="F4004">
        <v>390</v>
      </c>
    </row>
    <row r="4005" spans="1:6">
      <c r="A4005" t="s">
        <v>4005</v>
      </c>
      <c r="B4005" t="str">
        <f t="shared" si="167"/>
        <v>0.00147%</v>
      </c>
      <c r="C4005" t="s">
        <v>10</v>
      </c>
      <c r="D4005" t="s">
        <v>10</v>
      </c>
      <c r="E4005" t="str">
        <f>"$ 11,344"</f>
        <v>$ 11,344</v>
      </c>
      <c r="F4005" s="1">
        <v>2063</v>
      </c>
    </row>
    <row r="4006" spans="1:6">
      <c r="A4006" t="s">
        <v>4006</v>
      </c>
      <c r="B4006" t="str">
        <f t="shared" si="167"/>
        <v>0.00147%</v>
      </c>
      <c r="C4006" t="s">
        <v>10</v>
      </c>
      <c r="D4006" t="s">
        <v>10</v>
      </c>
      <c r="E4006" t="str">
        <f>"$ 11,322"</f>
        <v>$ 11,322</v>
      </c>
      <c r="F4006">
        <v>803</v>
      </c>
    </row>
    <row r="4007" spans="1:6">
      <c r="A4007" t="s">
        <v>4007</v>
      </c>
      <c r="B4007" t="str">
        <f t="shared" si="167"/>
        <v>0.00147%</v>
      </c>
      <c r="C4007" t="s">
        <v>10</v>
      </c>
      <c r="D4007" t="s">
        <v>10</v>
      </c>
      <c r="E4007" t="str">
        <f>"$ 11,323"</f>
        <v>$ 11,323</v>
      </c>
      <c r="F4007" s="1">
        <v>8196</v>
      </c>
    </row>
    <row r="4008" spans="1:6">
      <c r="A4008" t="s">
        <v>4008</v>
      </c>
      <c r="B4008" t="str">
        <f t="shared" si="167"/>
        <v>0.00147%</v>
      </c>
      <c r="C4008" t="s">
        <v>10</v>
      </c>
      <c r="D4008" t="s">
        <v>10</v>
      </c>
      <c r="E4008" t="str">
        <f>"$ 11,387"</f>
        <v>$ 11,387</v>
      </c>
      <c r="F4008">
        <v>719</v>
      </c>
    </row>
    <row r="4009" spans="1:6">
      <c r="A4009" t="s">
        <v>4009</v>
      </c>
      <c r="B4009" t="str">
        <f t="shared" ref="B4009:B4024" si="168">"0.00146%"</f>
        <v>0.00146%</v>
      </c>
      <c r="C4009" t="s">
        <v>10</v>
      </c>
      <c r="D4009" t="s">
        <v>10</v>
      </c>
      <c r="E4009" t="str">
        <f>"$ 11,301"</f>
        <v>$ 11,301</v>
      </c>
      <c r="F4009">
        <v>834</v>
      </c>
    </row>
    <row r="4010" spans="1:6">
      <c r="A4010" t="s">
        <v>4010</v>
      </c>
      <c r="B4010" t="str">
        <f t="shared" si="168"/>
        <v>0.00146%</v>
      </c>
      <c r="C4010" t="s">
        <v>10</v>
      </c>
      <c r="D4010" t="s">
        <v>10</v>
      </c>
      <c r="E4010" t="str">
        <f>"$ 11,276"</f>
        <v>$ 11,276</v>
      </c>
      <c r="F4010">
        <v>595</v>
      </c>
    </row>
    <row r="4011" spans="1:6">
      <c r="A4011" t="s">
        <v>4011</v>
      </c>
      <c r="B4011" t="str">
        <f t="shared" si="168"/>
        <v>0.00146%</v>
      </c>
      <c r="C4011" t="s">
        <v>10</v>
      </c>
      <c r="D4011" t="s">
        <v>10</v>
      </c>
      <c r="E4011" t="str">
        <f>"$ 11,250"</f>
        <v>$ 11,250</v>
      </c>
      <c r="F4011" s="1">
        <v>9073</v>
      </c>
    </row>
    <row r="4012" spans="1:6">
      <c r="A4012" t="s">
        <v>4012</v>
      </c>
      <c r="B4012" t="str">
        <f t="shared" si="168"/>
        <v>0.00146%</v>
      </c>
      <c r="C4012" t="s">
        <v>10</v>
      </c>
      <c r="D4012" t="s">
        <v>10</v>
      </c>
      <c r="E4012" t="str">
        <f>"$ 11,256"</f>
        <v>$ 11,256</v>
      </c>
      <c r="F4012" s="1">
        <v>1720</v>
      </c>
    </row>
    <row r="4013" spans="1:6">
      <c r="A4013" t="s">
        <v>4013</v>
      </c>
      <c r="B4013" t="str">
        <f t="shared" si="168"/>
        <v>0.00146%</v>
      </c>
      <c r="C4013" t="s">
        <v>10</v>
      </c>
      <c r="D4013" t="s">
        <v>10</v>
      </c>
      <c r="E4013" t="str">
        <f>"$ 11,305"</f>
        <v>$ 11,305</v>
      </c>
      <c r="F4013" s="1">
        <v>3887</v>
      </c>
    </row>
    <row r="4014" spans="1:6">
      <c r="A4014" t="s">
        <v>4014</v>
      </c>
      <c r="B4014" t="str">
        <f t="shared" si="168"/>
        <v>0.00146%</v>
      </c>
      <c r="C4014" t="s">
        <v>10</v>
      </c>
      <c r="D4014" t="s">
        <v>10</v>
      </c>
      <c r="E4014" t="str">
        <f>"$ 11,286"</f>
        <v>$ 11,286</v>
      </c>
      <c r="F4014">
        <v>138</v>
      </c>
    </row>
    <row r="4015" spans="1:6">
      <c r="A4015" t="s">
        <v>4015</v>
      </c>
      <c r="B4015" t="str">
        <f t="shared" si="168"/>
        <v>0.00146%</v>
      </c>
      <c r="C4015" t="s">
        <v>10</v>
      </c>
      <c r="D4015" t="s">
        <v>10</v>
      </c>
      <c r="E4015" t="str">
        <f>"$ 11,262"</f>
        <v>$ 11,262</v>
      </c>
      <c r="F4015">
        <v>280</v>
      </c>
    </row>
    <row r="4016" spans="1:6">
      <c r="A4016" t="s">
        <v>4016</v>
      </c>
      <c r="B4016" t="str">
        <f t="shared" si="168"/>
        <v>0.00146%</v>
      </c>
      <c r="C4016" t="s">
        <v>10</v>
      </c>
      <c r="D4016" t="s">
        <v>10</v>
      </c>
      <c r="E4016" t="str">
        <f>"$ 11,244"</f>
        <v>$ 11,244</v>
      </c>
      <c r="F4016">
        <v>188</v>
      </c>
    </row>
    <row r="4017" spans="1:6">
      <c r="A4017" t="s">
        <v>4017</v>
      </c>
      <c r="B4017" t="str">
        <f t="shared" si="168"/>
        <v>0.00146%</v>
      </c>
      <c r="C4017" t="s">
        <v>10</v>
      </c>
      <c r="D4017" t="s">
        <v>10</v>
      </c>
      <c r="E4017" t="str">
        <f>"$ 11,277"</f>
        <v>$ 11,277</v>
      </c>
      <c r="F4017" s="1">
        <v>2969</v>
      </c>
    </row>
    <row r="4018" spans="1:6">
      <c r="A4018" t="s">
        <v>4018</v>
      </c>
      <c r="B4018" t="str">
        <f t="shared" si="168"/>
        <v>0.00146%</v>
      </c>
      <c r="C4018" t="s">
        <v>10</v>
      </c>
      <c r="D4018" t="s">
        <v>10</v>
      </c>
      <c r="E4018" t="str">
        <f>"$ 11,246"</f>
        <v>$ 11,246</v>
      </c>
      <c r="F4018" s="1">
        <v>3807</v>
      </c>
    </row>
    <row r="4019" spans="1:6">
      <c r="A4019" t="s">
        <v>4019</v>
      </c>
      <c r="B4019" t="str">
        <f t="shared" si="168"/>
        <v>0.00146%</v>
      </c>
      <c r="C4019" t="s">
        <v>10</v>
      </c>
      <c r="D4019" t="s">
        <v>10</v>
      </c>
      <c r="E4019" t="str">
        <f>"$ 11,243"</f>
        <v>$ 11,243</v>
      </c>
      <c r="F4019">
        <v>766</v>
      </c>
    </row>
    <row r="4020" spans="1:6">
      <c r="A4020" t="s">
        <v>4020</v>
      </c>
      <c r="B4020" t="str">
        <f t="shared" si="168"/>
        <v>0.00146%</v>
      </c>
      <c r="C4020" t="s">
        <v>10</v>
      </c>
      <c r="D4020" t="s">
        <v>10</v>
      </c>
      <c r="E4020" t="str">
        <f>"$ 11,271"</f>
        <v>$ 11,271</v>
      </c>
      <c r="F4020" s="1">
        <v>5044</v>
      </c>
    </row>
    <row r="4021" spans="1:6">
      <c r="A4021" t="s">
        <v>4021</v>
      </c>
      <c r="B4021" t="str">
        <f t="shared" si="168"/>
        <v>0.00146%</v>
      </c>
      <c r="C4021" t="s">
        <v>10</v>
      </c>
      <c r="D4021" t="s">
        <v>10</v>
      </c>
      <c r="E4021" t="str">
        <f>"$ 11,291"</f>
        <v>$ 11,291</v>
      </c>
      <c r="F4021" s="1">
        <v>2937</v>
      </c>
    </row>
    <row r="4022" spans="1:6">
      <c r="A4022" t="s">
        <v>4022</v>
      </c>
      <c r="B4022" t="str">
        <f t="shared" si="168"/>
        <v>0.00146%</v>
      </c>
      <c r="C4022" t="s">
        <v>10</v>
      </c>
      <c r="D4022" t="s">
        <v>10</v>
      </c>
      <c r="E4022" t="str">
        <f>"$ 11,264"</f>
        <v>$ 11,264</v>
      </c>
      <c r="F4022">
        <v>187</v>
      </c>
    </row>
    <row r="4023" spans="1:6">
      <c r="A4023" t="s">
        <v>4023</v>
      </c>
      <c r="B4023" t="str">
        <f t="shared" si="168"/>
        <v>0.00146%</v>
      </c>
      <c r="C4023" t="s">
        <v>10</v>
      </c>
      <c r="D4023" t="s">
        <v>10</v>
      </c>
      <c r="E4023" t="str">
        <f>"$ 11,280"</f>
        <v>$ 11,280</v>
      </c>
      <c r="F4023">
        <v>199</v>
      </c>
    </row>
    <row r="4024" spans="1:6">
      <c r="A4024" t="s">
        <v>4024</v>
      </c>
      <c r="B4024" t="str">
        <f t="shared" si="168"/>
        <v>0.00146%</v>
      </c>
      <c r="C4024" t="s">
        <v>10</v>
      </c>
      <c r="D4024" t="s">
        <v>10</v>
      </c>
      <c r="E4024" t="str">
        <f>"$ 11,236"</f>
        <v>$ 11,236</v>
      </c>
      <c r="F4024">
        <v>488</v>
      </c>
    </row>
    <row r="4025" spans="1:6">
      <c r="A4025" t="s">
        <v>4025</v>
      </c>
      <c r="B4025" t="str">
        <f t="shared" ref="B4025:B4038" si="169">"0.00145%"</f>
        <v>0.00145%</v>
      </c>
      <c r="C4025" t="s">
        <v>10</v>
      </c>
      <c r="D4025" t="s">
        <v>10</v>
      </c>
      <c r="E4025" t="str">
        <f>"$ 11,226"</f>
        <v>$ 11,226</v>
      </c>
      <c r="F4025">
        <v>473</v>
      </c>
    </row>
    <row r="4026" spans="1:6">
      <c r="A4026" t="s">
        <v>4026</v>
      </c>
      <c r="B4026" t="str">
        <f t="shared" si="169"/>
        <v>0.00145%</v>
      </c>
      <c r="C4026" t="s">
        <v>10</v>
      </c>
      <c r="D4026" t="s">
        <v>10</v>
      </c>
      <c r="E4026" t="str">
        <f>"$ 11,181"</f>
        <v>$ 11,181</v>
      </c>
      <c r="F4026">
        <v>727</v>
      </c>
    </row>
    <row r="4027" spans="1:6">
      <c r="A4027" t="s">
        <v>4027</v>
      </c>
      <c r="B4027" t="str">
        <f t="shared" si="169"/>
        <v>0.00145%</v>
      </c>
      <c r="C4027" t="s">
        <v>10</v>
      </c>
      <c r="D4027" t="s">
        <v>10</v>
      </c>
      <c r="E4027" t="str">
        <f>"$ 11,219"</f>
        <v>$ 11,219</v>
      </c>
      <c r="F4027" s="1">
        <v>13637</v>
      </c>
    </row>
    <row r="4028" spans="1:6">
      <c r="A4028" t="s">
        <v>4028</v>
      </c>
      <c r="B4028" t="str">
        <f t="shared" si="169"/>
        <v>0.00145%</v>
      </c>
      <c r="C4028" t="s">
        <v>10</v>
      </c>
      <c r="D4028" t="s">
        <v>10</v>
      </c>
      <c r="E4028" t="str">
        <f>"$ 11,201"</f>
        <v>$ 11,201</v>
      </c>
      <c r="F4028">
        <v>90</v>
      </c>
    </row>
    <row r="4029" spans="1:6">
      <c r="A4029" t="s">
        <v>4029</v>
      </c>
      <c r="B4029" t="str">
        <f t="shared" si="169"/>
        <v>0.00145%</v>
      </c>
      <c r="C4029" t="s">
        <v>10</v>
      </c>
      <c r="D4029" t="s">
        <v>10</v>
      </c>
      <c r="E4029" t="str">
        <f>"$ 11,161"</f>
        <v>$ 11,161</v>
      </c>
      <c r="F4029">
        <v>200</v>
      </c>
    </row>
    <row r="4030" spans="1:6">
      <c r="A4030" t="s">
        <v>4030</v>
      </c>
      <c r="B4030" t="str">
        <f t="shared" si="169"/>
        <v>0.00145%</v>
      </c>
      <c r="C4030" t="s">
        <v>10</v>
      </c>
      <c r="D4030" t="s">
        <v>10</v>
      </c>
      <c r="E4030" t="str">
        <f>"$ 11,212"</f>
        <v>$ 11,212</v>
      </c>
      <c r="F4030">
        <v>442</v>
      </c>
    </row>
    <row r="4031" spans="1:6">
      <c r="A4031" t="s">
        <v>4031</v>
      </c>
      <c r="B4031" t="str">
        <f t="shared" si="169"/>
        <v>0.00145%</v>
      </c>
      <c r="C4031" t="s">
        <v>10</v>
      </c>
      <c r="D4031" t="s">
        <v>10</v>
      </c>
      <c r="E4031" t="str">
        <f>"$ 11,196"</f>
        <v>$ 11,196</v>
      </c>
      <c r="F4031">
        <v>234</v>
      </c>
    </row>
    <row r="4032" spans="1:6">
      <c r="A4032" t="s">
        <v>4032</v>
      </c>
      <c r="B4032" t="str">
        <f t="shared" si="169"/>
        <v>0.00145%</v>
      </c>
      <c r="C4032" t="s">
        <v>10</v>
      </c>
      <c r="D4032" t="s">
        <v>10</v>
      </c>
      <c r="E4032" t="str">
        <f>"$ 11,221"</f>
        <v>$ 11,221</v>
      </c>
      <c r="F4032">
        <v>264</v>
      </c>
    </row>
    <row r="4033" spans="1:6">
      <c r="A4033" t="s">
        <v>4033</v>
      </c>
      <c r="B4033" t="str">
        <f t="shared" si="169"/>
        <v>0.00145%</v>
      </c>
      <c r="C4033" t="s">
        <v>10</v>
      </c>
      <c r="D4033" t="s">
        <v>10</v>
      </c>
      <c r="E4033" t="str">
        <f>"$ 11,189"</f>
        <v>$ 11,189</v>
      </c>
      <c r="F4033">
        <v>861</v>
      </c>
    </row>
    <row r="4034" spans="1:6">
      <c r="A4034" t="s">
        <v>4034</v>
      </c>
      <c r="B4034" t="str">
        <f t="shared" si="169"/>
        <v>0.00145%</v>
      </c>
      <c r="C4034" t="s">
        <v>10</v>
      </c>
      <c r="D4034" t="s">
        <v>10</v>
      </c>
      <c r="E4034" t="str">
        <f>"$ 11,169"</f>
        <v>$ 11,169</v>
      </c>
      <c r="F4034">
        <v>248</v>
      </c>
    </row>
    <row r="4035" spans="1:6">
      <c r="A4035" t="s">
        <v>4035</v>
      </c>
      <c r="B4035" t="str">
        <f t="shared" si="169"/>
        <v>0.00145%</v>
      </c>
      <c r="C4035" t="s">
        <v>10</v>
      </c>
      <c r="D4035" t="s">
        <v>10</v>
      </c>
      <c r="E4035" t="str">
        <f>"$ 11,169"</f>
        <v>$ 11,169</v>
      </c>
      <c r="F4035">
        <v>837</v>
      </c>
    </row>
    <row r="4036" spans="1:6">
      <c r="A4036" t="s">
        <v>4036</v>
      </c>
      <c r="B4036" t="str">
        <f t="shared" si="169"/>
        <v>0.00145%</v>
      </c>
      <c r="C4036" t="s">
        <v>10</v>
      </c>
      <c r="D4036" t="s">
        <v>10</v>
      </c>
      <c r="E4036" t="str">
        <f>"$ 11,174"</f>
        <v>$ 11,174</v>
      </c>
      <c r="F4036">
        <v>294</v>
      </c>
    </row>
    <row r="4037" spans="1:6">
      <c r="A4037" t="s">
        <v>4037</v>
      </c>
      <c r="B4037" t="str">
        <f t="shared" si="169"/>
        <v>0.00145%</v>
      </c>
      <c r="C4037" t="s">
        <v>10</v>
      </c>
      <c r="D4037" t="s">
        <v>10</v>
      </c>
      <c r="E4037" t="str">
        <f>"$ 11,187"</f>
        <v>$ 11,187</v>
      </c>
      <c r="F4037">
        <v>398</v>
      </c>
    </row>
    <row r="4038" spans="1:6">
      <c r="A4038" t="s">
        <v>4038</v>
      </c>
      <c r="B4038" t="str">
        <f t="shared" si="169"/>
        <v>0.00145%</v>
      </c>
      <c r="C4038" t="s">
        <v>10</v>
      </c>
      <c r="D4038" t="s">
        <v>10</v>
      </c>
      <c r="E4038" t="str">
        <f>"$ 11,222"</f>
        <v>$ 11,222</v>
      </c>
      <c r="F4038">
        <v>539</v>
      </c>
    </row>
    <row r="4039" spans="1:6">
      <c r="A4039" t="s">
        <v>4039</v>
      </c>
      <c r="B4039" t="str">
        <f t="shared" ref="B4039:B4049" si="170">"0.00144%"</f>
        <v>0.00144%</v>
      </c>
      <c r="C4039" t="s">
        <v>10</v>
      </c>
      <c r="D4039" t="s">
        <v>10</v>
      </c>
      <c r="E4039" t="str">
        <f>"$ 11,135"</f>
        <v>$ 11,135</v>
      </c>
      <c r="F4039">
        <v>586</v>
      </c>
    </row>
    <row r="4040" spans="1:6">
      <c r="A4040" t="s">
        <v>4040</v>
      </c>
      <c r="B4040" t="str">
        <f t="shared" si="170"/>
        <v>0.00144%</v>
      </c>
      <c r="C4040" t="s">
        <v>10</v>
      </c>
      <c r="D4040" t="s">
        <v>10</v>
      </c>
      <c r="E4040" t="str">
        <f>"$ 11,141"</f>
        <v>$ 11,141</v>
      </c>
      <c r="F4040">
        <v>113</v>
      </c>
    </row>
    <row r="4041" spans="1:6">
      <c r="A4041" t="s">
        <v>4041</v>
      </c>
      <c r="B4041" t="str">
        <f t="shared" si="170"/>
        <v>0.00144%</v>
      </c>
      <c r="C4041" t="s">
        <v>10</v>
      </c>
      <c r="D4041" t="s">
        <v>10</v>
      </c>
      <c r="E4041" t="str">
        <f>"$ 11,086"</f>
        <v>$ 11,086</v>
      </c>
      <c r="F4041" s="1">
        <v>21274</v>
      </c>
    </row>
    <row r="4042" spans="1:6">
      <c r="A4042" t="s">
        <v>4042</v>
      </c>
      <c r="B4042" t="str">
        <f t="shared" si="170"/>
        <v>0.00144%</v>
      </c>
      <c r="C4042" t="s">
        <v>10</v>
      </c>
      <c r="D4042" t="s">
        <v>10</v>
      </c>
      <c r="E4042" t="str">
        <f>"$ 11,123"</f>
        <v>$ 11,123</v>
      </c>
      <c r="F4042" s="1">
        <v>5844</v>
      </c>
    </row>
    <row r="4043" spans="1:6">
      <c r="A4043" t="s">
        <v>4043</v>
      </c>
      <c r="B4043" t="str">
        <f t="shared" si="170"/>
        <v>0.00144%</v>
      </c>
      <c r="C4043" t="s">
        <v>10</v>
      </c>
      <c r="D4043" t="s">
        <v>10</v>
      </c>
      <c r="E4043" t="str">
        <f>"$ 11,088"</f>
        <v>$ 11,088</v>
      </c>
      <c r="F4043">
        <v>496</v>
      </c>
    </row>
    <row r="4044" spans="1:6">
      <c r="A4044" t="s">
        <v>4044</v>
      </c>
      <c r="B4044" t="str">
        <f t="shared" si="170"/>
        <v>0.00144%</v>
      </c>
      <c r="C4044" t="s">
        <v>10</v>
      </c>
      <c r="D4044" t="s">
        <v>10</v>
      </c>
      <c r="E4044" t="str">
        <f>"$ 11,103"</f>
        <v>$ 11,103</v>
      </c>
      <c r="F4044">
        <v>406</v>
      </c>
    </row>
    <row r="4045" spans="1:6">
      <c r="A4045" t="s">
        <v>4045</v>
      </c>
      <c r="B4045" t="str">
        <f t="shared" si="170"/>
        <v>0.00144%</v>
      </c>
      <c r="C4045" t="s">
        <v>10</v>
      </c>
      <c r="D4045" t="s">
        <v>10</v>
      </c>
      <c r="E4045" t="str">
        <f>"$ 11,156"</f>
        <v>$ 11,156</v>
      </c>
      <c r="F4045" s="1">
        <v>4818</v>
      </c>
    </row>
    <row r="4046" spans="1:6">
      <c r="A4046" t="s">
        <v>4046</v>
      </c>
      <c r="B4046" t="str">
        <f t="shared" si="170"/>
        <v>0.00144%</v>
      </c>
      <c r="C4046" t="s">
        <v>10</v>
      </c>
      <c r="D4046" t="s">
        <v>10</v>
      </c>
      <c r="E4046" t="str">
        <f>"$ 11,093"</f>
        <v>$ 11,093</v>
      </c>
      <c r="F4046">
        <v>154</v>
      </c>
    </row>
    <row r="4047" spans="1:6">
      <c r="A4047" t="s">
        <v>4047</v>
      </c>
      <c r="B4047" t="str">
        <f t="shared" si="170"/>
        <v>0.00144%</v>
      </c>
      <c r="C4047" t="s">
        <v>10</v>
      </c>
      <c r="D4047" t="s">
        <v>10</v>
      </c>
      <c r="E4047" t="str">
        <f>"$ 11,108"</f>
        <v>$ 11,108</v>
      </c>
      <c r="F4047">
        <v>727</v>
      </c>
    </row>
    <row r="4048" spans="1:6">
      <c r="A4048" t="s">
        <v>4048</v>
      </c>
      <c r="B4048" t="str">
        <f t="shared" si="170"/>
        <v>0.00144%</v>
      </c>
      <c r="C4048" t="s">
        <v>10</v>
      </c>
      <c r="D4048" t="s">
        <v>10</v>
      </c>
      <c r="E4048" t="str">
        <f>"$ 11,127"</f>
        <v>$ 11,127</v>
      </c>
      <c r="F4048" s="1">
        <v>3283</v>
      </c>
    </row>
    <row r="4049" spans="1:6">
      <c r="A4049" t="s">
        <v>4049</v>
      </c>
      <c r="B4049" t="str">
        <f t="shared" si="170"/>
        <v>0.00144%</v>
      </c>
      <c r="C4049" t="s">
        <v>10</v>
      </c>
      <c r="D4049" t="s">
        <v>10</v>
      </c>
      <c r="E4049" t="str">
        <f>"$ 11,108"</f>
        <v>$ 11,108</v>
      </c>
      <c r="F4049" s="1">
        <v>5476</v>
      </c>
    </row>
    <row r="4050" spans="1:6">
      <c r="A4050" t="s">
        <v>4050</v>
      </c>
      <c r="B4050" t="str">
        <f t="shared" ref="B4050:B4058" si="171">"0.00143%"</f>
        <v>0.00143%</v>
      </c>
      <c r="C4050" t="s">
        <v>10</v>
      </c>
      <c r="D4050" t="s">
        <v>10</v>
      </c>
      <c r="E4050" t="str">
        <f>"$ 11,026"</f>
        <v>$ 11,026</v>
      </c>
      <c r="F4050" s="1">
        <v>2881</v>
      </c>
    </row>
    <row r="4051" spans="1:6">
      <c r="A4051" t="s">
        <v>4051</v>
      </c>
      <c r="B4051" t="str">
        <f t="shared" si="171"/>
        <v>0.00143%</v>
      </c>
      <c r="C4051" t="s">
        <v>10</v>
      </c>
      <c r="D4051" t="s">
        <v>10</v>
      </c>
      <c r="E4051" t="str">
        <f>"$ 11,020"</f>
        <v>$ 11,020</v>
      </c>
      <c r="F4051">
        <v>379</v>
      </c>
    </row>
    <row r="4052" spans="1:6">
      <c r="A4052" t="s">
        <v>4052</v>
      </c>
      <c r="B4052" t="str">
        <f t="shared" si="171"/>
        <v>0.00143%</v>
      </c>
      <c r="C4052" t="s">
        <v>10</v>
      </c>
      <c r="D4052" t="s">
        <v>10</v>
      </c>
      <c r="E4052" t="str">
        <f>"$ 11,041"</f>
        <v>$ 11,041</v>
      </c>
      <c r="F4052">
        <v>350</v>
      </c>
    </row>
    <row r="4053" spans="1:6">
      <c r="A4053" t="s">
        <v>4053</v>
      </c>
      <c r="B4053" t="str">
        <f t="shared" si="171"/>
        <v>0.00143%</v>
      </c>
      <c r="C4053" t="s">
        <v>10</v>
      </c>
      <c r="D4053" t="s">
        <v>10</v>
      </c>
      <c r="E4053" t="str">
        <f>"$ 11,073"</f>
        <v>$ 11,073</v>
      </c>
      <c r="F4053">
        <v>377</v>
      </c>
    </row>
    <row r="4054" spans="1:6">
      <c r="A4054" t="s">
        <v>4054</v>
      </c>
      <c r="B4054" t="str">
        <f t="shared" si="171"/>
        <v>0.00143%</v>
      </c>
      <c r="C4054" t="s">
        <v>10</v>
      </c>
      <c r="D4054" t="s">
        <v>10</v>
      </c>
      <c r="E4054" t="str">
        <f>"$ 11,078"</f>
        <v>$ 11,078</v>
      </c>
      <c r="F4054">
        <v>357</v>
      </c>
    </row>
    <row r="4055" spans="1:6">
      <c r="A4055" t="s">
        <v>4055</v>
      </c>
      <c r="B4055" t="str">
        <f t="shared" si="171"/>
        <v>0.00143%</v>
      </c>
      <c r="C4055" t="s">
        <v>10</v>
      </c>
      <c r="D4055" t="s">
        <v>10</v>
      </c>
      <c r="E4055" t="str">
        <f>"$ 11,005"</f>
        <v>$ 11,005</v>
      </c>
      <c r="F4055" s="1">
        <v>3278</v>
      </c>
    </row>
    <row r="4056" spans="1:6">
      <c r="A4056" t="s">
        <v>4056</v>
      </c>
      <c r="B4056" t="str">
        <f t="shared" si="171"/>
        <v>0.00143%</v>
      </c>
      <c r="C4056" t="s">
        <v>10</v>
      </c>
      <c r="D4056" t="s">
        <v>10</v>
      </c>
      <c r="E4056" t="str">
        <f>"$ 11,026"</f>
        <v>$ 11,026</v>
      </c>
      <c r="F4056" s="1">
        <v>6780</v>
      </c>
    </row>
    <row r="4057" spans="1:6">
      <c r="A4057" t="s">
        <v>4057</v>
      </c>
      <c r="B4057" t="str">
        <f t="shared" si="171"/>
        <v>0.00143%</v>
      </c>
      <c r="C4057" t="s">
        <v>10</v>
      </c>
      <c r="D4057" t="s">
        <v>10</v>
      </c>
      <c r="E4057" t="str">
        <f>"$ 11,072"</f>
        <v>$ 11,072</v>
      </c>
      <c r="F4057">
        <v>970</v>
      </c>
    </row>
    <row r="4058" spans="1:6">
      <c r="A4058" t="s">
        <v>4058</v>
      </c>
      <c r="B4058" t="str">
        <f t="shared" si="171"/>
        <v>0.00143%</v>
      </c>
      <c r="C4058" t="s">
        <v>10</v>
      </c>
      <c r="D4058" t="s">
        <v>10</v>
      </c>
      <c r="E4058" t="str">
        <f>"$ 11,037"</f>
        <v>$ 11,037</v>
      </c>
      <c r="F4058">
        <v>415</v>
      </c>
    </row>
    <row r="4059" spans="1:6">
      <c r="A4059" t="s">
        <v>4059</v>
      </c>
      <c r="B4059" t="str">
        <f t="shared" ref="B4059:B4078" si="172">"0.00142%"</f>
        <v>0.00142%</v>
      </c>
      <c r="C4059" t="s">
        <v>10</v>
      </c>
      <c r="D4059" t="s">
        <v>10</v>
      </c>
      <c r="E4059" t="str">
        <f>"$ 10,945"</f>
        <v>$ 10,945</v>
      </c>
      <c r="F4059" s="1">
        <v>21656</v>
      </c>
    </row>
    <row r="4060" spans="1:6">
      <c r="A4060" t="s">
        <v>4060</v>
      </c>
      <c r="B4060" t="str">
        <f t="shared" si="172"/>
        <v>0.00142%</v>
      </c>
      <c r="C4060" t="s">
        <v>10</v>
      </c>
      <c r="D4060" t="s">
        <v>10</v>
      </c>
      <c r="E4060" t="str">
        <f>"$ 10,962"</f>
        <v>$ 10,962</v>
      </c>
      <c r="F4060">
        <v>517</v>
      </c>
    </row>
    <row r="4061" spans="1:6">
      <c r="A4061" t="s">
        <v>4061</v>
      </c>
      <c r="B4061" t="str">
        <f t="shared" si="172"/>
        <v>0.00142%</v>
      </c>
      <c r="C4061" t="s">
        <v>10</v>
      </c>
      <c r="D4061" t="s">
        <v>10</v>
      </c>
      <c r="E4061" t="str">
        <f>"$ 10,950"</f>
        <v>$ 10,950</v>
      </c>
      <c r="F4061" s="1">
        <v>2390</v>
      </c>
    </row>
    <row r="4062" spans="1:6">
      <c r="A4062" t="s">
        <v>4062</v>
      </c>
      <c r="B4062" t="str">
        <f t="shared" si="172"/>
        <v>0.00142%</v>
      </c>
      <c r="C4062" t="s">
        <v>10</v>
      </c>
      <c r="D4062" t="s">
        <v>10</v>
      </c>
      <c r="E4062" t="str">
        <f>"$ 11,002"</f>
        <v>$ 11,002</v>
      </c>
      <c r="F4062">
        <v>399</v>
      </c>
    </row>
    <row r="4063" spans="1:6">
      <c r="A4063" t="s">
        <v>4063</v>
      </c>
      <c r="B4063" t="str">
        <f t="shared" si="172"/>
        <v>0.00142%</v>
      </c>
      <c r="C4063" t="s">
        <v>10</v>
      </c>
      <c r="D4063" t="s">
        <v>10</v>
      </c>
      <c r="E4063" t="str">
        <f>"$ 10,958"</f>
        <v>$ 10,958</v>
      </c>
      <c r="F4063">
        <v>412</v>
      </c>
    </row>
    <row r="4064" spans="1:6">
      <c r="A4064" t="s">
        <v>4064</v>
      </c>
      <c r="B4064" t="str">
        <f t="shared" si="172"/>
        <v>0.00142%</v>
      </c>
      <c r="C4064" t="s">
        <v>10</v>
      </c>
      <c r="D4064" t="s">
        <v>10</v>
      </c>
      <c r="E4064" t="str">
        <f>"$ 10,940"</f>
        <v>$ 10,940</v>
      </c>
      <c r="F4064" s="1">
        <v>8444</v>
      </c>
    </row>
    <row r="4065" spans="1:6">
      <c r="A4065" t="s">
        <v>4065</v>
      </c>
      <c r="B4065" t="str">
        <f t="shared" si="172"/>
        <v>0.00142%</v>
      </c>
      <c r="C4065" t="s">
        <v>10</v>
      </c>
      <c r="D4065" t="s">
        <v>10</v>
      </c>
      <c r="E4065" t="str">
        <f>"$ 10,953"</f>
        <v>$ 10,953</v>
      </c>
      <c r="F4065">
        <v>561</v>
      </c>
    </row>
    <row r="4066" spans="1:6">
      <c r="A4066" t="s">
        <v>4066</v>
      </c>
      <c r="B4066" t="str">
        <f t="shared" si="172"/>
        <v>0.00142%</v>
      </c>
      <c r="C4066" t="s">
        <v>10</v>
      </c>
      <c r="D4066" t="s">
        <v>10</v>
      </c>
      <c r="E4066" t="str">
        <f>"$ 11,000"</f>
        <v>$ 11,000</v>
      </c>
      <c r="F4066">
        <v>627</v>
      </c>
    </row>
    <row r="4067" spans="1:6">
      <c r="A4067" t="s">
        <v>4067</v>
      </c>
      <c r="B4067" t="str">
        <f t="shared" si="172"/>
        <v>0.00142%</v>
      </c>
      <c r="C4067" t="s">
        <v>10</v>
      </c>
      <c r="D4067" t="s">
        <v>10</v>
      </c>
      <c r="E4067" t="str">
        <f>"$ 10,939"</f>
        <v>$ 10,939</v>
      </c>
      <c r="F4067" s="1">
        <v>38170</v>
      </c>
    </row>
    <row r="4068" spans="1:6">
      <c r="A4068" t="s">
        <v>4068</v>
      </c>
      <c r="B4068" t="str">
        <f t="shared" si="172"/>
        <v>0.00142%</v>
      </c>
      <c r="C4068" t="s">
        <v>10</v>
      </c>
      <c r="D4068" t="s">
        <v>10</v>
      </c>
      <c r="E4068" t="str">
        <f>"$ 10,953"</f>
        <v>$ 10,953</v>
      </c>
      <c r="F4068">
        <v>118</v>
      </c>
    </row>
    <row r="4069" spans="1:6">
      <c r="A4069" t="s">
        <v>4069</v>
      </c>
      <c r="B4069" t="str">
        <f t="shared" si="172"/>
        <v>0.00142%</v>
      </c>
      <c r="C4069" t="s">
        <v>10</v>
      </c>
      <c r="D4069" t="s">
        <v>10</v>
      </c>
      <c r="E4069" t="str">
        <f>"$ 10,998"</f>
        <v>$ 10,998</v>
      </c>
      <c r="F4069">
        <v>96</v>
      </c>
    </row>
    <row r="4070" spans="1:6">
      <c r="A4070" t="s">
        <v>4070</v>
      </c>
      <c r="B4070" t="str">
        <f t="shared" si="172"/>
        <v>0.00142%</v>
      </c>
      <c r="C4070" t="s">
        <v>10</v>
      </c>
      <c r="D4070" t="s">
        <v>10</v>
      </c>
      <c r="E4070" t="str">
        <f>"$ 10,984"</f>
        <v>$ 10,984</v>
      </c>
      <c r="F4070">
        <v>472</v>
      </c>
    </row>
    <row r="4071" spans="1:6">
      <c r="A4071" t="s">
        <v>4071</v>
      </c>
      <c r="B4071" t="str">
        <f t="shared" si="172"/>
        <v>0.00142%</v>
      </c>
      <c r="C4071" t="s">
        <v>10</v>
      </c>
      <c r="D4071" t="s">
        <v>10</v>
      </c>
      <c r="E4071" t="str">
        <f>"$ 10,936"</f>
        <v>$ 10,936</v>
      </c>
      <c r="F4071" s="1">
        <v>3401</v>
      </c>
    </row>
    <row r="4072" spans="1:6">
      <c r="A4072" t="s">
        <v>4072</v>
      </c>
      <c r="B4072" t="str">
        <f t="shared" si="172"/>
        <v>0.00142%</v>
      </c>
      <c r="C4072" t="s">
        <v>10</v>
      </c>
      <c r="D4072" t="s">
        <v>10</v>
      </c>
      <c r="E4072" t="str">
        <f>"$ 10,991"</f>
        <v>$ 10,991</v>
      </c>
      <c r="F4072" s="1">
        <v>3872</v>
      </c>
    </row>
    <row r="4073" spans="1:6">
      <c r="A4073" t="s">
        <v>4073</v>
      </c>
      <c r="B4073" t="str">
        <f t="shared" si="172"/>
        <v>0.00142%</v>
      </c>
      <c r="C4073" t="s">
        <v>10</v>
      </c>
      <c r="D4073" t="s">
        <v>10</v>
      </c>
      <c r="E4073" t="str">
        <f>"$ 10,947"</f>
        <v>$ 10,947</v>
      </c>
      <c r="F4073">
        <v>742</v>
      </c>
    </row>
    <row r="4074" spans="1:6">
      <c r="A4074" t="s">
        <v>4074</v>
      </c>
      <c r="B4074" t="str">
        <f t="shared" si="172"/>
        <v>0.00142%</v>
      </c>
      <c r="C4074" t="s">
        <v>10</v>
      </c>
      <c r="D4074" t="s">
        <v>10</v>
      </c>
      <c r="E4074" t="str">
        <f>"$ 10,965"</f>
        <v>$ 10,965</v>
      </c>
      <c r="F4074">
        <v>889</v>
      </c>
    </row>
    <row r="4075" spans="1:6">
      <c r="A4075" t="s">
        <v>4075</v>
      </c>
      <c r="B4075" t="str">
        <f t="shared" si="172"/>
        <v>0.00142%</v>
      </c>
      <c r="C4075" t="s">
        <v>10</v>
      </c>
      <c r="D4075" t="s">
        <v>10</v>
      </c>
      <c r="E4075" t="str">
        <f>"$ 10,948"</f>
        <v>$ 10,948</v>
      </c>
      <c r="F4075" s="1">
        <v>20536</v>
      </c>
    </row>
    <row r="4076" spans="1:6">
      <c r="A4076" t="s">
        <v>4076</v>
      </c>
      <c r="B4076" t="str">
        <f t="shared" si="172"/>
        <v>0.00142%</v>
      </c>
      <c r="C4076" t="s">
        <v>10</v>
      </c>
      <c r="D4076" t="s">
        <v>10</v>
      </c>
      <c r="E4076" t="str">
        <f>"$ 10,956"</f>
        <v>$ 10,956</v>
      </c>
      <c r="F4076">
        <v>281</v>
      </c>
    </row>
    <row r="4077" spans="1:6">
      <c r="A4077" t="s">
        <v>4077</v>
      </c>
      <c r="B4077" t="str">
        <f t="shared" si="172"/>
        <v>0.00142%</v>
      </c>
      <c r="C4077" t="s">
        <v>10</v>
      </c>
      <c r="D4077" t="s">
        <v>10</v>
      </c>
      <c r="E4077" t="str">
        <f>"$ 10,983"</f>
        <v>$ 10,983</v>
      </c>
      <c r="F4077">
        <v>292</v>
      </c>
    </row>
    <row r="4078" spans="1:6">
      <c r="A4078" t="s">
        <v>4078</v>
      </c>
      <c r="B4078" t="str">
        <f t="shared" si="172"/>
        <v>0.00142%</v>
      </c>
      <c r="C4078" t="s">
        <v>10</v>
      </c>
      <c r="D4078" t="s">
        <v>10</v>
      </c>
      <c r="E4078" t="str">
        <f>"$ 10,976"</f>
        <v>$ 10,976</v>
      </c>
      <c r="F4078" s="1">
        <v>1814</v>
      </c>
    </row>
    <row r="4079" spans="1:6">
      <c r="A4079" t="s">
        <v>4079</v>
      </c>
      <c r="B4079" t="str">
        <f t="shared" ref="B4079:B4089" si="173">"0.00141%"</f>
        <v>0.00141%</v>
      </c>
      <c r="C4079" t="s">
        <v>10</v>
      </c>
      <c r="D4079" t="s">
        <v>10</v>
      </c>
      <c r="E4079" t="str">
        <f>"$ 10,918"</f>
        <v>$ 10,918</v>
      </c>
      <c r="F4079" s="1">
        <v>1320</v>
      </c>
    </row>
    <row r="4080" spans="1:6">
      <c r="A4080" t="s">
        <v>4080</v>
      </c>
      <c r="B4080" t="str">
        <f t="shared" si="173"/>
        <v>0.00141%</v>
      </c>
      <c r="C4080" t="s">
        <v>10</v>
      </c>
      <c r="D4080" t="s">
        <v>10</v>
      </c>
      <c r="E4080" t="str">
        <f>"$ 10,864"</f>
        <v>$ 10,864</v>
      </c>
      <c r="F4080" s="1">
        <v>7255</v>
      </c>
    </row>
    <row r="4081" spans="1:6">
      <c r="A4081" t="s">
        <v>4081</v>
      </c>
      <c r="B4081" t="str">
        <f t="shared" si="173"/>
        <v>0.00141%</v>
      </c>
      <c r="C4081" t="s">
        <v>10</v>
      </c>
      <c r="D4081" t="s">
        <v>10</v>
      </c>
      <c r="E4081" t="str">
        <f>"$ 10,919"</f>
        <v>$ 10,919</v>
      </c>
      <c r="F4081">
        <v>343</v>
      </c>
    </row>
    <row r="4082" spans="1:6">
      <c r="A4082" t="s">
        <v>4082</v>
      </c>
      <c r="B4082" t="str">
        <f t="shared" si="173"/>
        <v>0.00141%</v>
      </c>
      <c r="C4082" t="s">
        <v>10</v>
      </c>
      <c r="D4082" t="s">
        <v>10</v>
      </c>
      <c r="E4082" t="str">
        <f>"$ 10,877"</f>
        <v>$ 10,877</v>
      </c>
      <c r="F4082" s="1">
        <v>4097</v>
      </c>
    </row>
    <row r="4083" spans="1:6">
      <c r="A4083" t="s">
        <v>4083</v>
      </c>
      <c r="B4083" t="str">
        <f t="shared" si="173"/>
        <v>0.00141%</v>
      </c>
      <c r="C4083" t="s">
        <v>10</v>
      </c>
      <c r="D4083" t="s">
        <v>10</v>
      </c>
      <c r="E4083" t="str">
        <f>"$ 10,897"</f>
        <v>$ 10,897</v>
      </c>
      <c r="F4083" s="1">
        <v>1396</v>
      </c>
    </row>
    <row r="4084" spans="1:6">
      <c r="A4084" t="s">
        <v>4084</v>
      </c>
      <c r="B4084" t="str">
        <f t="shared" si="173"/>
        <v>0.00141%</v>
      </c>
      <c r="C4084" t="s">
        <v>10</v>
      </c>
      <c r="D4084" t="s">
        <v>10</v>
      </c>
      <c r="E4084" t="str">
        <f>"$ 10,910"</f>
        <v>$ 10,910</v>
      </c>
      <c r="F4084">
        <v>330</v>
      </c>
    </row>
    <row r="4085" spans="1:6">
      <c r="A4085" t="s">
        <v>4085</v>
      </c>
      <c r="B4085" t="str">
        <f t="shared" si="173"/>
        <v>0.00141%</v>
      </c>
      <c r="C4085" t="s">
        <v>10</v>
      </c>
      <c r="D4085" t="s">
        <v>10</v>
      </c>
      <c r="E4085" t="str">
        <f>"$ 10,885"</f>
        <v>$ 10,885</v>
      </c>
      <c r="F4085">
        <v>425</v>
      </c>
    </row>
    <row r="4086" spans="1:6">
      <c r="A4086" t="s">
        <v>4086</v>
      </c>
      <c r="B4086" t="str">
        <f t="shared" si="173"/>
        <v>0.00141%</v>
      </c>
      <c r="C4086" t="s">
        <v>10</v>
      </c>
      <c r="D4086" t="s">
        <v>10</v>
      </c>
      <c r="E4086" t="str">
        <f>"$ 10,903"</f>
        <v>$ 10,903</v>
      </c>
      <c r="F4086">
        <v>701</v>
      </c>
    </row>
    <row r="4087" spans="1:6">
      <c r="A4087" t="s">
        <v>4087</v>
      </c>
      <c r="B4087" t="str">
        <f t="shared" si="173"/>
        <v>0.00141%</v>
      </c>
      <c r="C4087" t="s">
        <v>10</v>
      </c>
      <c r="D4087" t="s">
        <v>10</v>
      </c>
      <c r="E4087" t="str">
        <f>"$ 10,926"</f>
        <v>$ 10,926</v>
      </c>
      <c r="F4087" s="1">
        <v>1313</v>
      </c>
    </row>
    <row r="4088" spans="1:6">
      <c r="A4088" t="s">
        <v>4088</v>
      </c>
      <c r="B4088" t="str">
        <f t="shared" si="173"/>
        <v>0.00141%</v>
      </c>
      <c r="C4088" t="s">
        <v>10</v>
      </c>
      <c r="D4088" t="s">
        <v>10</v>
      </c>
      <c r="E4088" t="str">
        <f>"$ 10,902"</f>
        <v>$ 10,902</v>
      </c>
      <c r="F4088">
        <v>365</v>
      </c>
    </row>
    <row r="4089" spans="1:6">
      <c r="A4089" t="s">
        <v>4089</v>
      </c>
      <c r="B4089" t="str">
        <f t="shared" si="173"/>
        <v>0.00141%</v>
      </c>
      <c r="C4089" t="s">
        <v>10</v>
      </c>
      <c r="D4089" t="s">
        <v>10</v>
      </c>
      <c r="E4089" t="str">
        <f>"$ 10,873"</f>
        <v>$ 10,873</v>
      </c>
      <c r="F4089">
        <v>193</v>
      </c>
    </row>
    <row r="4090" spans="1:6">
      <c r="A4090" t="s">
        <v>4090</v>
      </c>
      <c r="B4090" t="str">
        <f t="shared" ref="B4090:B4096" si="174">"0.00140%"</f>
        <v>0.00140%</v>
      </c>
      <c r="C4090" t="s">
        <v>10</v>
      </c>
      <c r="D4090" t="s">
        <v>10</v>
      </c>
      <c r="E4090" t="str">
        <f>"$ 10,810"</f>
        <v>$ 10,810</v>
      </c>
      <c r="F4090">
        <v>259</v>
      </c>
    </row>
    <row r="4091" spans="1:6">
      <c r="A4091" t="s">
        <v>4091</v>
      </c>
      <c r="B4091" t="str">
        <f t="shared" si="174"/>
        <v>0.00140%</v>
      </c>
      <c r="C4091" t="s">
        <v>10</v>
      </c>
      <c r="D4091" t="s">
        <v>10</v>
      </c>
      <c r="E4091" t="str">
        <f>"$ 10,847"</f>
        <v>$ 10,847</v>
      </c>
      <c r="F4091">
        <v>953</v>
      </c>
    </row>
    <row r="4092" spans="1:6">
      <c r="A4092" t="s">
        <v>4092</v>
      </c>
      <c r="B4092" t="str">
        <f t="shared" si="174"/>
        <v>0.00140%</v>
      </c>
      <c r="C4092" t="s">
        <v>10</v>
      </c>
      <c r="D4092" t="s">
        <v>10</v>
      </c>
      <c r="E4092" t="str">
        <f>"$ 10,794"</f>
        <v>$ 10,794</v>
      </c>
      <c r="F4092">
        <v>651</v>
      </c>
    </row>
    <row r="4093" spans="1:6">
      <c r="A4093" t="s">
        <v>4093</v>
      </c>
      <c r="B4093" t="str">
        <f t="shared" si="174"/>
        <v>0.00140%</v>
      </c>
      <c r="C4093" t="s">
        <v>10</v>
      </c>
      <c r="D4093" t="s">
        <v>10</v>
      </c>
      <c r="E4093" t="str">
        <f>"$ 10,794"</f>
        <v>$ 10,794</v>
      </c>
      <c r="F4093">
        <v>197</v>
      </c>
    </row>
    <row r="4094" spans="1:6">
      <c r="A4094" t="s">
        <v>4094</v>
      </c>
      <c r="B4094" t="str">
        <f t="shared" si="174"/>
        <v>0.00140%</v>
      </c>
      <c r="C4094" t="s">
        <v>10</v>
      </c>
      <c r="D4094" t="s">
        <v>10</v>
      </c>
      <c r="E4094" t="str">
        <f>"$ 10,814"</f>
        <v>$ 10,814</v>
      </c>
      <c r="F4094" s="1">
        <v>1218</v>
      </c>
    </row>
    <row r="4095" spans="1:6">
      <c r="A4095" t="s">
        <v>4095</v>
      </c>
      <c r="B4095" t="str">
        <f t="shared" si="174"/>
        <v>0.00140%</v>
      </c>
      <c r="C4095" t="s">
        <v>10</v>
      </c>
      <c r="D4095" t="s">
        <v>10</v>
      </c>
      <c r="E4095" t="str">
        <f>"$ 10,830"</f>
        <v>$ 10,830</v>
      </c>
      <c r="F4095" s="1">
        <v>28043</v>
      </c>
    </row>
    <row r="4096" spans="1:6">
      <c r="A4096" t="s">
        <v>4096</v>
      </c>
      <c r="B4096" t="str">
        <f t="shared" si="174"/>
        <v>0.00140%</v>
      </c>
      <c r="C4096" t="s">
        <v>10</v>
      </c>
      <c r="D4096" t="s">
        <v>10</v>
      </c>
      <c r="E4096" t="str">
        <f>"$ 10,821"</f>
        <v>$ 10,821</v>
      </c>
      <c r="F4096" s="1">
        <v>15509</v>
      </c>
    </row>
    <row r="4097" spans="1:6">
      <c r="A4097" t="s">
        <v>4097</v>
      </c>
      <c r="B4097" t="str">
        <f t="shared" ref="B4097:B4108" si="175">"0.00139%"</f>
        <v>0.00139%</v>
      </c>
      <c r="C4097" t="s">
        <v>10</v>
      </c>
      <c r="D4097" t="s">
        <v>10</v>
      </c>
      <c r="E4097" t="str">
        <f>"$ 10,758"</f>
        <v>$ 10,758</v>
      </c>
      <c r="F4097">
        <v>808</v>
      </c>
    </row>
    <row r="4098" spans="1:6">
      <c r="A4098" t="s">
        <v>4098</v>
      </c>
      <c r="B4098" t="str">
        <f t="shared" si="175"/>
        <v>0.00139%</v>
      </c>
      <c r="C4098" t="s">
        <v>10</v>
      </c>
      <c r="D4098" t="s">
        <v>10</v>
      </c>
      <c r="E4098" t="str">
        <f>"$ 10,760"</f>
        <v>$ 10,760</v>
      </c>
      <c r="F4098" s="1">
        <v>2376</v>
      </c>
    </row>
    <row r="4099" spans="1:6">
      <c r="A4099" t="s">
        <v>4099</v>
      </c>
      <c r="B4099" t="str">
        <f t="shared" si="175"/>
        <v>0.00139%</v>
      </c>
      <c r="C4099" t="s">
        <v>10</v>
      </c>
      <c r="D4099" t="s">
        <v>10</v>
      </c>
      <c r="E4099" t="str">
        <f>"$ 10,720"</f>
        <v>$ 10,720</v>
      </c>
      <c r="F4099" s="1">
        <v>1178</v>
      </c>
    </row>
    <row r="4100" spans="1:6">
      <c r="A4100" t="s">
        <v>4100</v>
      </c>
      <c r="B4100" t="str">
        <f t="shared" si="175"/>
        <v>0.00139%</v>
      </c>
      <c r="C4100" t="s">
        <v>10</v>
      </c>
      <c r="D4100" t="s">
        <v>10</v>
      </c>
      <c r="E4100" t="str">
        <f>"$ 10,698"</f>
        <v>$ 10,698</v>
      </c>
      <c r="F4100">
        <v>627</v>
      </c>
    </row>
    <row r="4101" spans="1:6">
      <c r="A4101" t="s">
        <v>4101</v>
      </c>
      <c r="B4101" t="str">
        <f t="shared" si="175"/>
        <v>0.00139%</v>
      </c>
      <c r="C4101" t="s">
        <v>10</v>
      </c>
      <c r="D4101" t="s">
        <v>10</v>
      </c>
      <c r="E4101" t="str">
        <f>"$ 10,705"</f>
        <v>$ 10,705</v>
      </c>
      <c r="F4101">
        <v>738</v>
      </c>
    </row>
    <row r="4102" spans="1:6">
      <c r="A4102" t="s">
        <v>4102</v>
      </c>
      <c r="B4102" t="str">
        <f t="shared" si="175"/>
        <v>0.00139%</v>
      </c>
      <c r="C4102" t="s">
        <v>10</v>
      </c>
      <c r="D4102" t="s">
        <v>10</v>
      </c>
      <c r="E4102" t="str">
        <f>"$ 10,729"</f>
        <v>$ 10,729</v>
      </c>
      <c r="F4102" s="1">
        <v>1957</v>
      </c>
    </row>
    <row r="4103" spans="1:6">
      <c r="A4103" t="s">
        <v>4103</v>
      </c>
      <c r="B4103" t="str">
        <f t="shared" si="175"/>
        <v>0.00139%</v>
      </c>
      <c r="C4103" t="s">
        <v>10</v>
      </c>
      <c r="D4103" t="s">
        <v>10</v>
      </c>
      <c r="E4103" t="str">
        <f>"$ 10,711"</f>
        <v>$ 10,711</v>
      </c>
      <c r="F4103">
        <v>130</v>
      </c>
    </row>
    <row r="4104" spans="1:6">
      <c r="A4104" t="s">
        <v>4104</v>
      </c>
      <c r="B4104" t="str">
        <f t="shared" si="175"/>
        <v>0.00139%</v>
      </c>
      <c r="C4104" t="s">
        <v>10</v>
      </c>
      <c r="D4104" t="s">
        <v>10</v>
      </c>
      <c r="E4104" t="str">
        <f>"$ 10,704"</f>
        <v>$ 10,704</v>
      </c>
      <c r="F4104">
        <v>575</v>
      </c>
    </row>
    <row r="4105" spans="1:6">
      <c r="A4105" t="s">
        <v>4105</v>
      </c>
      <c r="B4105" t="str">
        <f t="shared" si="175"/>
        <v>0.00139%</v>
      </c>
      <c r="C4105" t="s">
        <v>10</v>
      </c>
      <c r="D4105" t="s">
        <v>10</v>
      </c>
      <c r="E4105" t="str">
        <f>"$ 10,731"</f>
        <v>$ 10,731</v>
      </c>
      <c r="F4105" s="1">
        <v>4484</v>
      </c>
    </row>
    <row r="4106" spans="1:6">
      <c r="A4106" t="s">
        <v>4106</v>
      </c>
      <c r="B4106" t="str">
        <f t="shared" si="175"/>
        <v>0.00139%</v>
      </c>
      <c r="C4106" t="s">
        <v>10</v>
      </c>
      <c r="D4106" t="s">
        <v>10</v>
      </c>
      <c r="E4106" t="str">
        <f>"$ 10,753"</f>
        <v>$ 10,753</v>
      </c>
      <c r="F4106">
        <v>18</v>
      </c>
    </row>
    <row r="4107" spans="1:6">
      <c r="A4107" t="s">
        <v>4107</v>
      </c>
      <c r="B4107" t="str">
        <f t="shared" si="175"/>
        <v>0.00139%</v>
      </c>
      <c r="C4107" t="s">
        <v>10</v>
      </c>
      <c r="D4107" t="s">
        <v>10</v>
      </c>
      <c r="E4107" t="str">
        <f>"$ 10,729"</f>
        <v>$ 10,729</v>
      </c>
      <c r="F4107" s="1">
        <v>1054</v>
      </c>
    </row>
    <row r="4108" spans="1:6">
      <c r="A4108" t="s">
        <v>4108</v>
      </c>
      <c r="B4108" t="str">
        <f t="shared" si="175"/>
        <v>0.00139%</v>
      </c>
      <c r="C4108" t="s">
        <v>10</v>
      </c>
      <c r="D4108" t="s">
        <v>10</v>
      </c>
      <c r="E4108" t="str">
        <f>"$ 10,761"</f>
        <v>$ 10,761</v>
      </c>
      <c r="F4108">
        <v>296</v>
      </c>
    </row>
    <row r="4109" spans="1:6">
      <c r="A4109" t="s">
        <v>4109</v>
      </c>
      <c r="B4109" t="str">
        <f t="shared" ref="B4109:B4121" si="176">"0.00138%"</f>
        <v>0.00138%</v>
      </c>
      <c r="C4109" t="s">
        <v>10</v>
      </c>
      <c r="D4109" t="s">
        <v>10</v>
      </c>
      <c r="E4109" t="str">
        <f>"$ 10,684"</f>
        <v>$ 10,684</v>
      </c>
      <c r="F4109">
        <v>399</v>
      </c>
    </row>
    <row r="4110" spans="1:6">
      <c r="A4110" t="s">
        <v>4110</v>
      </c>
      <c r="B4110" t="str">
        <f t="shared" si="176"/>
        <v>0.00138%</v>
      </c>
      <c r="C4110" t="s">
        <v>10</v>
      </c>
      <c r="D4110" t="s">
        <v>10</v>
      </c>
      <c r="E4110" t="str">
        <f>"$ 10,684"</f>
        <v>$ 10,684</v>
      </c>
      <c r="F4110">
        <v>214</v>
      </c>
    </row>
    <row r="4111" spans="1:6">
      <c r="A4111" t="s">
        <v>4111</v>
      </c>
      <c r="B4111" t="str">
        <f t="shared" si="176"/>
        <v>0.00138%</v>
      </c>
      <c r="C4111" t="s">
        <v>10</v>
      </c>
      <c r="D4111" t="s">
        <v>10</v>
      </c>
      <c r="E4111" t="str">
        <f>"$ 10,629"</f>
        <v>$ 10,629</v>
      </c>
      <c r="F4111">
        <v>515</v>
      </c>
    </row>
    <row r="4112" spans="1:6">
      <c r="A4112" t="s">
        <v>4112</v>
      </c>
      <c r="B4112" t="str">
        <f t="shared" si="176"/>
        <v>0.00138%</v>
      </c>
      <c r="C4112" t="s">
        <v>10</v>
      </c>
      <c r="D4112" t="s">
        <v>10</v>
      </c>
      <c r="E4112" t="str">
        <f>"$ 10,666"</f>
        <v>$ 10,666</v>
      </c>
      <c r="F4112">
        <v>110</v>
      </c>
    </row>
    <row r="4113" spans="1:6">
      <c r="A4113" t="s">
        <v>4113</v>
      </c>
      <c r="B4113" t="str">
        <f t="shared" si="176"/>
        <v>0.00138%</v>
      </c>
      <c r="C4113" t="s">
        <v>10</v>
      </c>
      <c r="D4113" t="s">
        <v>10</v>
      </c>
      <c r="E4113" t="str">
        <f>"$ 10,619"</f>
        <v>$ 10,619</v>
      </c>
      <c r="F4113">
        <v>241</v>
      </c>
    </row>
    <row r="4114" spans="1:6">
      <c r="A4114" t="s">
        <v>4114</v>
      </c>
      <c r="B4114" t="str">
        <f t="shared" si="176"/>
        <v>0.00138%</v>
      </c>
      <c r="C4114" t="s">
        <v>10</v>
      </c>
      <c r="D4114" t="s">
        <v>10</v>
      </c>
      <c r="E4114" t="str">
        <f>"$ 10,659"</f>
        <v>$ 10,659</v>
      </c>
      <c r="F4114">
        <v>69</v>
      </c>
    </row>
    <row r="4115" spans="1:6">
      <c r="A4115" t="s">
        <v>4115</v>
      </c>
      <c r="B4115" t="str">
        <f t="shared" si="176"/>
        <v>0.00138%</v>
      </c>
      <c r="C4115" t="s">
        <v>10</v>
      </c>
      <c r="D4115" t="s">
        <v>10</v>
      </c>
      <c r="E4115" t="str">
        <f>"$ 10,690"</f>
        <v>$ 10,690</v>
      </c>
      <c r="F4115" s="1">
        <v>4803</v>
      </c>
    </row>
    <row r="4116" spans="1:6">
      <c r="A4116" t="s">
        <v>4116</v>
      </c>
      <c r="B4116" t="str">
        <f t="shared" si="176"/>
        <v>0.00138%</v>
      </c>
      <c r="C4116" t="s">
        <v>10</v>
      </c>
      <c r="D4116" t="s">
        <v>10</v>
      </c>
      <c r="E4116" t="str">
        <f>"$ 10,690"</f>
        <v>$ 10,690</v>
      </c>
      <c r="F4116">
        <v>853</v>
      </c>
    </row>
    <row r="4117" spans="1:6">
      <c r="A4117" t="s">
        <v>4117</v>
      </c>
      <c r="B4117" t="str">
        <f t="shared" si="176"/>
        <v>0.00138%</v>
      </c>
      <c r="C4117" t="s">
        <v>10</v>
      </c>
      <c r="D4117" t="s">
        <v>10</v>
      </c>
      <c r="E4117" t="str">
        <f>"$ 10,680"</f>
        <v>$ 10,680</v>
      </c>
      <c r="F4117">
        <v>186</v>
      </c>
    </row>
    <row r="4118" spans="1:6">
      <c r="A4118" t="s">
        <v>4118</v>
      </c>
      <c r="B4118" t="str">
        <f t="shared" si="176"/>
        <v>0.00138%</v>
      </c>
      <c r="C4118" t="s">
        <v>10</v>
      </c>
      <c r="D4118" t="s">
        <v>10</v>
      </c>
      <c r="E4118" t="str">
        <f>"$ 10,683"</f>
        <v>$ 10,683</v>
      </c>
      <c r="F4118" s="1">
        <v>2426</v>
      </c>
    </row>
    <row r="4119" spans="1:6">
      <c r="A4119" t="s">
        <v>4119</v>
      </c>
      <c r="B4119" t="str">
        <f t="shared" si="176"/>
        <v>0.00138%</v>
      </c>
      <c r="C4119" t="s">
        <v>10</v>
      </c>
      <c r="D4119" t="s">
        <v>10</v>
      </c>
      <c r="E4119" t="str">
        <f>"$ 10,648"</f>
        <v>$ 10,648</v>
      </c>
      <c r="F4119" s="1">
        <v>1992</v>
      </c>
    </row>
    <row r="4120" spans="1:6">
      <c r="A4120" t="s">
        <v>4120</v>
      </c>
      <c r="B4120" t="str">
        <f t="shared" si="176"/>
        <v>0.00138%</v>
      </c>
      <c r="C4120" t="s">
        <v>10</v>
      </c>
      <c r="D4120" t="s">
        <v>10</v>
      </c>
      <c r="E4120" t="str">
        <f>"$ 10,650"</f>
        <v>$ 10,650</v>
      </c>
      <c r="F4120">
        <v>99</v>
      </c>
    </row>
    <row r="4121" spans="1:6">
      <c r="A4121" t="s">
        <v>4121</v>
      </c>
      <c r="B4121" t="str">
        <f t="shared" si="176"/>
        <v>0.00138%</v>
      </c>
      <c r="C4121" t="s">
        <v>10</v>
      </c>
      <c r="D4121" t="s">
        <v>10</v>
      </c>
      <c r="E4121" t="str">
        <f>"$ 10,671"</f>
        <v>$ 10,671</v>
      </c>
      <c r="F4121" s="1">
        <v>4443</v>
      </c>
    </row>
    <row r="4122" spans="1:6">
      <c r="A4122" t="s">
        <v>4122</v>
      </c>
      <c r="B4122" t="str">
        <f t="shared" ref="B4122:B4136" si="177">"0.00137%"</f>
        <v>0.00137%</v>
      </c>
      <c r="C4122" t="s">
        <v>10</v>
      </c>
      <c r="D4122" t="s">
        <v>10</v>
      </c>
      <c r="E4122" t="str">
        <f>"$ 10,560"</f>
        <v>$ 10,560</v>
      </c>
      <c r="F4122" s="1">
        <v>41898</v>
      </c>
    </row>
    <row r="4123" spans="1:6">
      <c r="A4123" t="s">
        <v>4123</v>
      </c>
      <c r="B4123" t="str">
        <f t="shared" si="177"/>
        <v>0.00137%</v>
      </c>
      <c r="C4123" t="s">
        <v>10</v>
      </c>
      <c r="D4123" t="s">
        <v>10</v>
      </c>
      <c r="E4123" t="str">
        <f>"$ 10,549"</f>
        <v>$ 10,549</v>
      </c>
      <c r="F4123">
        <v>408</v>
      </c>
    </row>
    <row r="4124" spans="1:6">
      <c r="A4124" t="s">
        <v>4124</v>
      </c>
      <c r="B4124" t="str">
        <f t="shared" si="177"/>
        <v>0.00137%</v>
      </c>
      <c r="C4124" t="s">
        <v>10</v>
      </c>
      <c r="D4124" t="s">
        <v>10</v>
      </c>
      <c r="E4124" t="str">
        <f>"$ 10,616"</f>
        <v>$ 10,616</v>
      </c>
      <c r="F4124">
        <v>607</v>
      </c>
    </row>
    <row r="4125" spans="1:6">
      <c r="A4125" t="s">
        <v>4125</v>
      </c>
      <c r="B4125" t="str">
        <f t="shared" si="177"/>
        <v>0.00137%</v>
      </c>
      <c r="C4125" t="s">
        <v>10</v>
      </c>
      <c r="D4125" t="s">
        <v>10</v>
      </c>
      <c r="E4125" t="str">
        <f>"$ 10,564"</f>
        <v>$ 10,564</v>
      </c>
      <c r="F4125">
        <v>378</v>
      </c>
    </row>
    <row r="4126" spans="1:6">
      <c r="A4126" t="s">
        <v>4126</v>
      </c>
      <c r="B4126" t="str">
        <f t="shared" si="177"/>
        <v>0.00137%</v>
      </c>
      <c r="C4126" t="s">
        <v>10</v>
      </c>
      <c r="D4126" t="s">
        <v>10</v>
      </c>
      <c r="E4126" t="str">
        <f>"$ 10,599"</f>
        <v>$ 10,599</v>
      </c>
      <c r="F4126">
        <v>313</v>
      </c>
    </row>
    <row r="4127" spans="1:6">
      <c r="A4127" t="s">
        <v>4127</v>
      </c>
      <c r="B4127" t="str">
        <f t="shared" si="177"/>
        <v>0.00137%</v>
      </c>
      <c r="C4127" t="s">
        <v>10</v>
      </c>
      <c r="D4127" t="s">
        <v>10</v>
      </c>
      <c r="E4127" t="str">
        <f>"$ 10,589"</f>
        <v>$ 10,589</v>
      </c>
      <c r="F4127" s="1">
        <v>13924</v>
      </c>
    </row>
    <row r="4128" spans="1:6">
      <c r="A4128" t="s">
        <v>4128</v>
      </c>
      <c r="B4128" t="str">
        <f t="shared" si="177"/>
        <v>0.00137%</v>
      </c>
      <c r="C4128" t="s">
        <v>10</v>
      </c>
      <c r="D4128" t="s">
        <v>10</v>
      </c>
      <c r="E4128" t="str">
        <f>"$ 10,603"</f>
        <v>$ 10,603</v>
      </c>
      <c r="F4128">
        <v>49</v>
      </c>
    </row>
    <row r="4129" spans="1:6">
      <c r="A4129" t="s">
        <v>4129</v>
      </c>
      <c r="B4129" t="str">
        <f t="shared" si="177"/>
        <v>0.00137%</v>
      </c>
      <c r="C4129" t="s">
        <v>10</v>
      </c>
      <c r="D4129" t="s">
        <v>10</v>
      </c>
      <c r="E4129" t="str">
        <f>"$ 10,553"</f>
        <v>$ 10,553</v>
      </c>
      <c r="F4129">
        <v>340</v>
      </c>
    </row>
    <row r="4130" spans="1:6">
      <c r="A4130" t="s">
        <v>4130</v>
      </c>
      <c r="B4130" t="str">
        <f t="shared" si="177"/>
        <v>0.00137%</v>
      </c>
      <c r="C4130" t="s">
        <v>10</v>
      </c>
      <c r="D4130" t="s">
        <v>10</v>
      </c>
      <c r="E4130" t="str">
        <f>"$ 10,543"</f>
        <v>$ 10,543</v>
      </c>
      <c r="F4130" s="1">
        <v>1188</v>
      </c>
    </row>
    <row r="4131" spans="1:6">
      <c r="A4131" t="s">
        <v>4131</v>
      </c>
      <c r="B4131" t="str">
        <f t="shared" si="177"/>
        <v>0.00137%</v>
      </c>
      <c r="C4131" t="s">
        <v>10</v>
      </c>
      <c r="D4131" t="s">
        <v>10</v>
      </c>
      <c r="E4131" t="str">
        <f>"$ 10,593"</f>
        <v>$ 10,593</v>
      </c>
      <c r="F4131" s="1">
        <v>125000</v>
      </c>
    </row>
    <row r="4132" spans="1:6">
      <c r="A4132" t="s">
        <v>4132</v>
      </c>
      <c r="B4132" t="str">
        <f t="shared" si="177"/>
        <v>0.00137%</v>
      </c>
      <c r="C4132" t="s">
        <v>10</v>
      </c>
      <c r="D4132" t="s">
        <v>10</v>
      </c>
      <c r="E4132" t="str">
        <f>"$ 10,572"</f>
        <v>$ 10,572</v>
      </c>
      <c r="F4132">
        <v>197</v>
      </c>
    </row>
    <row r="4133" spans="1:6">
      <c r="A4133" t="s">
        <v>4133</v>
      </c>
      <c r="B4133" t="str">
        <f t="shared" si="177"/>
        <v>0.00137%</v>
      </c>
      <c r="C4133" t="s">
        <v>10</v>
      </c>
      <c r="D4133" t="s">
        <v>10</v>
      </c>
      <c r="E4133" t="str">
        <f>"$ 10,548"</f>
        <v>$ 10,548</v>
      </c>
      <c r="F4133">
        <v>737</v>
      </c>
    </row>
    <row r="4134" spans="1:6">
      <c r="A4134" t="s">
        <v>4134</v>
      </c>
      <c r="B4134" t="str">
        <f t="shared" si="177"/>
        <v>0.00137%</v>
      </c>
      <c r="C4134" t="s">
        <v>10</v>
      </c>
      <c r="D4134" t="s">
        <v>10</v>
      </c>
      <c r="E4134" t="str">
        <f>"$ 10,613"</f>
        <v>$ 10,613</v>
      </c>
      <c r="F4134" s="1">
        <v>6335</v>
      </c>
    </row>
    <row r="4135" spans="1:6">
      <c r="A4135" t="s">
        <v>4135</v>
      </c>
      <c r="B4135" t="str">
        <f t="shared" si="177"/>
        <v>0.00137%</v>
      </c>
      <c r="C4135" t="s">
        <v>10</v>
      </c>
      <c r="D4135" t="s">
        <v>10</v>
      </c>
      <c r="E4135" t="str">
        <f>"$ 10,567"</f>
        <v>$ 10,567</v>
      </c>
      <c r="F4135">
        <v>413</v>
      </c>
    </row>
    <row r="4136" spans="1:6">
      <c r="A4136" t="s">
        <v>4136</v>
      </c>
      <c r="B4136" t="str">
        <f t="shared" si="177"/>
        <v>0.00137%</v>
      </c>
      <c r="C4136" t="s">
        <v>10</v>
      </c>
      <c r="D4136" t="s">
        <v>10</v>
      </c>
      <c r="E4136" t="str">
        <f>"$ 10,571"</f>
        <v>$ 10,571</v>
      </c>
      <c r="F4136">
        <v>416</v>
      </c>
    </row>
    <row r="4137" spans="1:6">
      <c r="A4137" t="s">
        <v>4137</v>
      </c>
      <c r="B4137" t="str">
        <f t="shared" ref="B4137:B4147" si="178">"0.00136%"</f>
        <v>0.00136%</v>
      </c>
      <c r="C4137" t="s">
        <v>10</v>
      </c>
      <c r="D4137" t="s">
        <v>10</v>
      </c>
      <c r="E4137" t="str">
        <f>"$ 10,515"</f>
        <v>$ 10,515</v>
      </c>
      <c r="F4137">
        <v>198</v>
      </c>
    </row>
    <row r="4138" spans="1:6">
      <c r="A4138" t="s">
        <v>4138</v>
      </c>
      <c r="B4138" t="str">
        <f t="shared" si="178"/>
        <v>0.00136%</v>
      </c>
      <c r="C4138" t="s">
        <v>10</v>
      </c>
      <c r="D4138" t="s">
        <v>10</v>
      </c>
      <c r="E4138" t="str">
        <f>"$ 10,487"</f>
        <v>$ 10,487</v>
      </c>
      <c r="F4138" s="1">
        <v>1947</v>
      </c>
    </row>
    <row r="4139" spans="1:6">
      <c r="A4139" t="s">
        <v>4139</v>
      </c>
      <c r="B4139" t="str">
        <f t="shared" si="178"/>
        <v>0.00136%</v>
      </c>
      <c r="C4139" t="s">
        <v>10</v>
      </c>
      <c r="D4139" t="s">
        <v>10</v>
      </c>
      <c r="E4139" t="str">
        <f>"$ 10,479"</f>
        <v>$ 10,479</v>
      </c>
      <c r="F4139">
        <v>715</v>
      </c>
    </row>
    <row r="4140" spans="1:6">
      <c r="A4140" t="s">
        <v>4140</v>
      </c>
      <c r="B4140" t="str">
        <f t="shared" si="178"/>
        <v>0.00136%</v>
      </c>
      <c r="C4140" t="s">
        <v>10</v>
      </c>
      <c r="D4140" t="s">
        <v>10</v>
      </c>
      <c r="E4140" t="str">
        <f>"$ 10,517"</f>
        <v>$ 10,517</v>
      </c>
      <c r="F4140">
        <v>855</v>
      </c>
    </row>
    <row r="4141" spans="1:6">
      <c r="A4141" t="s">
        <v>4141</v>
      </c>
      <c r="B4141" t="str">
        <f t="shared" si="178"/>
        <v>0.00136%</v>
      </c>
      <c r="C4141" t="s">
        <v>10</v>
      </c>
      <c r="D4141" t="s">
        <v>10</v>
      </c>
      <c r="E4141" t="str">
        <f>"$ 10,501"</f>
        <v>$ 10,501</v>
      </c>
      <c r="F4141" s="1">
        <v>1779</v>
      </c>
    </row>
    <row r="4142" spans="1:6">
      <c r="A4142" t="s">
        <v>4142</v>
      </c>
      <c r="B4142" t="str">
        <f t="shared" si="178"/>
        <v>0.00136%</v>
      </c>
      <c r="C4142" t="s">
        <v>10</v>
      </c>
      <c r="D4142" t="s">
        <v>10</v>
      </c>
      <c r="E4142" t="str">
        <f>"$ 10,480"</f>
        <v>$ 10,480</v>
      </c>
      <c r="F4142">
        <v>142</v>
      </c>
    </row>
    <row r="4143" spans="1:6">
      <c r="A4143" t="s">
        <v>4143</v>
      </c>
      <c r="B4143" t="str">
        <f t="shared" si="178"/>
        <v>0.00136%</v>
      </c>
      <c r="C4143" t="s">
        <v>10</v>
      </c>
      <c r="D4143" t="s">
        <v>10</v>
      </c>
      <c r="E4143" t="str">
        <f>"$ 10,492"</f>
        <v>$ 10,492</v>
      </c>
      <c r="F4143" s="1">
        <v>1082</v>
      </c>
    </row>
    <row r="4144" spans="1:6">
      <c r="A4144" t="s">
        <v>4144</v>
      </c>
      <c r="B4144" t="str">
        <f t="shared" si="178"/>
        <v>0.00136%</v>
      </c>
      <c r="C4144" t="s">
        <v>10</v>
      </c>
      <c r="D4144" t="s">
        <v>10</v>
      </c>
      <c r="E4144" t="str">
        <f>"$ 10,507"</f>
        <v>$ 10,507</v>
      </c>
      <c r="F4144">
        <v>919</v>
      </c>
    </row>
    <row r="4145" spans="1:6">
      <c r="A4145" t="s">
        <v>4145</v>
      </c>
      <c r="B4145" t="str">
        <f t="shared" si="178"/>
        <v>0.00136%</v>
      </c>
      <c r="C4145" t="s">
        <v>10</v>
      </c>
      <c r="D4145" t="s">
        <v>10</v>
      </c>
      <c r="E4145" t="str">
        <f>"$ 10,534"</f>
        <v>$ 10,534</v>
      </c>
      <c r="F4145">
        <v>213</v>
      </c>
    </row>
    <row r="4146" spans="1:6">
      <c r="A4146" t="s">
        <v>4146</v>
      </c>
      <c r="B4146" t="str">
        <f t="shared" si="178"/>
        <v>0.00136%</v>
      </c>
      <c r="C4146" t="s">
        <v>10</v>
      </c>
      <c r="D4146" t="s">
        <v>10</v>
      </c>
      <c r="E4146" t="str">
        <f>"$ 10,469"</f>
        <v>$ 10,469</v>
      </c>
      <c r="F4146">
        <v>830</v>
      </c>
    </row>
    <row r="4147" spans="1:6">
      <c r="A4147" t="s">
        <v>4147</v>
      </c>
      <c r="B4147" t="str">
        <f t="shared" si="178"/>
        <v>0.00136%</v>
      </c>
      <c r="C4147" t="s">
        <v>10</v>
      </c>
      <c r="D4147" t="s">
        <v>10</v>
      </c>
      <c r="E4147" t="str">
        <f>"$ 10,494"</f>
        <v>$ 10,494</v>
      </c>
      <c r="F4147" s="1">
        <v>10067</v>
      </c>
    </row>
    <row r="4148" spans="1:6">
      <c r="A4148" t="s">
        <v>4148</v>
      </c>
      <c r="B4148" t="str">
        <f t="shared" ref="B4148:B4164" si="179">"0.00135%"</f>
        <v>0.00135%</v>
      </c>
      <c r="C4148" t="s">
        <v>10</v>
      </c>
      <c r="D4148" t="s">
        <v>10</v>
      </c>
      <c r="E4148" t="str">
        <f>"$ 10,460"</f>
        <v>$ 10,460</v>
      </c>
      <c r="F4148">
        <v>89</v>
      </c>
    </row>
    <row r="4149" spans="1:6">
      <c r="A4149" t="s">
        <v>4149</v>
      </c>
      <c r="B4149" t="str">
        <f t="shared" si="179"/>
        <v>0.00135%</v>
      </c>
      <c r="C4149" t="s">
        <v>10</v>
      </c>
      <c r="D4149" t="s">
        <v>10</v>
      </c>
      <c r="E4149" t="str">
        <f>"$ 10,399"</f>
        <v>$ 10,399</v>
      </c>
      <c r="F4149" s="1">
        <v>14931</v>
      </c>
    </row>
    <row r="4150" spans="1:6">
      <c r="A4150" t="s">
        <v>4150</v>
      </c>
      <c r="B4150" t="str">
        <f t="shared" si="179"/>
        <v>0.00135%</v>
      </c>
      <c r="C4150" t="s">
        <v>10</v>
      </c>
      <c r="D4150" t="s">
        <v>10</v>
      </c>
      <c r="E4150" t="str">
        <f>"$ 10,418"</f>
        <v>$ 10,418</v>
      </c>
      <c r="F4150" s="1">
        <v>1155</v>
      </c>
    </row>
    <row r="4151" spans="1:6">
      <c r="A4151" t="s">
        <v>4151</v>
      </c>
      <c r="B4151" t="str">
        <f t="shared" si="179"/>
        <v>0.00135%</v>
      </c>
      <c r="C4151" t="s">
        <v>10</v>
      </c>
      <c r="D4151" t="s">
        <v>10</v>
      </c>
      <c r="E4151" t="str">
        <f>"$ 10,407"</f>
        <v>$ 10,407</v>
      </c>
      <c r="F4151">
        <v>575</v>
      </c>
    </row>
    <row r="4152" spans="1:6">
      <c r="A4152" t="s">
        <v>4152</v>
      </c>
      <c r="B4152" t="str">
        <f t="shared" si="179"/>
        <v>0.00135%</v>
      </c>
      <c r="C4152" t="s">
        <v>10</v>
      </c>
      <c r="D4152" t="s">
        <v>10</v>
      </c>
      <c r="E4152" t="str">
        <f>"$ 10,454"</f>
        <v>$ 10,454</v>
      </c>
      <c r="F4152">
        <v>544</v>
      </c>
    </row>
    <row r="4153" spans="1:6">
      <c r="A4153" t="s">
        <v>4153</v>
      </c>
      <c r="B4153" t="str">
        <f t="shared" si="179"/>
        <v>0.00135%</v>
      </c>
      <c r="C4153" t="s">
        <v>10</v>
      </c>
      <c r="D4153" t="s">
        <v>10</v>
      </c>
      <c r="E4153" t="str">
        <f>"$ 10,432"</f>
        <v>$ 10,432</v>
      </c>
      <c r="F4153">
        <v>280</v>
      </c>
    </row>
    <row r="4154" spans="1:6">
      <c r="A4154" t="s">
        <v>4154</v>
      </c>
      <c r="B4154" t="str">
        <f t="shared" si="179"/>
        <v>0.00135%</v>
      </c>
      <c r="C4154" t="s">
        <v>10</v>
      </c>
      <c r="D4154" t="s">
        <v>10</v>
      </c>
      <c r="E4154" t="str">
        <f>"$ 10,411"</f>
        <v>$ 10,411</v>
      </c>
      <c r="F4154">
        <v>379</v>
      </c>
    </row>
    <row r="4155" spans="1:6">
      <c r="A4155" t="s">
        <v>4155</v>
      </c>
      <c r="B4155" t="str">
        <f t="shared" si="179"/>
        <v>0.00135%</v>
      </c>
      <c r="C4155" t="s">
        <v>10</v>
      </c>
      <c r="D4155" t="s">
        <v>10</v>
      </c>
      <c r="E4155" t="str">
        <f>"$ 10,419"</f>
        <v>$ 10,419</v>
      </c>
      <c r="F4155">
        <v>194</v>
      </c>
    </row>
    <row r="4156" spans="1:6">
      <c r="A4156" t="s">
        <v>4156</v>
      </c>
      <c r="B4156" t="str">
        <f t="shared" si="179"/>
        <v>0.00135%</v>
      </c>
      <c r="C4156" t="s">
        <v>10</v>
      </c>
      <c r="D4156" t="s">
        <v>10</v>
      </c>
      <c r="E4156" t="str">
        <f>"$ 10,436"</f>
        <v>$ 10,436</v>
      </c>
      <c r="F4156">
        <v>445</v>
      </c>
    </row>
    <row r="4157" spans="1:6">
      <c r="A4157" t="s">
        <v>4157</v>
      </c>
      <c r="B4157" t="str">
        <f t="shared" si="179"/>
        <v>0.00135%</v>
      </c>
      <c r="C4157" t="s">
        <v>10</v>
      </c>
      <c r="D4157" t="s">
        <v>10</v>
      </c>
      <c r="E4157" t="str">
        <f>"$ 10,400"</f>
        <v>$ 10,400</v>
      </c>
      <c r="F4157">
        <v>247</v>
      </c>
    </row>
    <row r="4158" spans="1:6">
      <c r="A4158" t="s">
        <v>4158</v>
      </c>
      <c r="B4158" t="str">
        <f t="shared" si="179"/>
        <v>0.00135%</v>
      </c>
      <c r="C4158" t="s">
        <v>10</v>
      </c>
      <c r="D4158" t="s">
        <v>10</v>
      </c>
      <c r="E4158" t="str">
        <f>"$ 10,389"</f>
        <v>$ 10,389</v>
      </c>
      <c r="F4158">
        <v>504</v>
      </c>
    </row>
    <row r="4159" spans="1:6">
      <c r="A4159" t="s">
        <v>4159</v>
      </c>
      <c r="B4159" t="str">
        <f t="shared" si="179"/>
        <v>0.00135%</v>
      </c>
      <c r="C4159" t="s">
        <v>10</v>
      </c>
      <c r="D4159" t="s">
        <v>10</v>
      </c>
      <c r="E4159" t="str">
        <f>"$ 10,393"</f>
        <v>$ 10,393</v>
      </c>
      <c r="F4159" s="1">
        <v>1424</v>
      </c>
    </row>
    <row r="4160" spans="1:6">
      <c r="A4160" t="s">
        <v>4160</v>
      </c>
      <c r="B4160" t="str">
        <f t="shared" si="179"/>
        <v>0.00135%</v>
      </c>
      <c r="C4160" t="s">
        <v>10</v>
      </c>
      <c r="D4160" t="s">
        <v>10</v>
      </c>
      <c r="E4160" t="str">
        <f>"$ 10,456"</f>
        <v>$ 10,456</v>
      </c>
      <c r="F4160" s="1">
        <v>3773</v>
      </c>
    </row>
    <row r="4161" spans="1:6">
      <c r="A4161" t="s">
        <v>4161</v>
      </c>
      <c r="B4161" t="str">
        <f t="shared" si="179"/>
        <v>0.00135%</v>
      </c>
      <c r="C4161" t="s">
        <v>10</v>
      </c>
      <c r="D4161" t="s">
        <v>10</v>
      </c>
      <c r="E4161" t="str">
        <f>"$ 10,433"</f>
        <v>$ 10,433</v>
      </c>
      <c r="F4161">
        <v>151</v>
      </c>
    </row>
    <row r="4162" spans="1:6">
      <c r="A4162" t="s">
        <v>4162</v>
      </c>
      <c r="B4162" t="str">
        <f t="shared" si="179"/>
        <v>0.00135%</v>
      </c>
      <c r="C4162" t="s">
        <v>10</v>
      </c>
      <c r="D4162" t="s">
        <v>10</v>
      </c>
      <c r="E4162" t="str">
        <f>"$ 10,420"</f>
        <v>$ 10,420</v>
      </c>
      <c r="F4162" s="1">
        <v>2564</v>
      </c>
    </row>
    <row r="4163" spans="1:6">
      <c r="A4163" t="s">
        <v>4163</v>
      </c>
      <c r="B4163" t="str">
        <f t="shared" si="179"/>
        <v>0.00135%</v>
      </c>
      <c r="C4163" t="s">
        <v>10</v>
      </c>
      <c r="D4163" t="s">
        <v>10</v>
      </c>
      <c r="E4163" t="str">
        <f>"$ 10,388"</f>
        <v>$ 10,388</v>
      </c>
      <c r="F4163">
        <v>82</v>
      </c>
    </row>
    <row r="4164" spans="1:6">
      <c r="A4164" t="s">
        <v>4164</v>
      </c>
      <c r="B4164" t="str">
        <f t="shared" si="179"/>
        <v>0.00135%</v>
      </c>
      <c r="C4164" t="s">
        <v>10</v>
      </c>
      <c r="D4164" t="s">
        <v>10</v>
      </c>
      <c r="E4164" t="str">
        <f>"$ 10,414"</f>
        <v>$ 10,414</v>
      </c>
      <c r="F4164">
        <v>342</v>
      </c>
    </row>
    <row r="4165" spans="1:6">
      <c r="A4165" t="s">
        <v>4165</v>
      </c>
      <c r="B4165" t="str">
        <f t="shared" ref="B4165:B4177" si="180">"0.00134%"</f>
        <v>0.00134%</v>
      </c>
      <c r="C4165" t="s">
        <v>10</v>
      </c>
      <c r="D4165" t="s">
        <v>10</v>
      </c>
      <c r="E4165" t="str">
        <f>"$ 10,352"</f>
        <v>$ 10,352</v>
      </c>
      <c r="F4165">
        <v>198</v>
      </c>
    </row>
    <row r="4166" spans="1:6">
      <c r="A4166" t="s">
        <v>4166</v>
      </c>
      <c r="B4166" t="str">
        <f t="shared" si="180"/>
        <v>0.00134%</v>
      </c>
      <c r="C4166" t="s">
        <v>10</v>
      </c>
      <c r="D4166" t="s">
        <v>10</v>
      </c>
      <c r="E4166" t="str">
        <f>"$ 10,358"</f>
        <v>$ 10,358</v>
      </c>
      <c r="F4166" s="1">
        <v>6456</v>
      </c>
    </row>
    <row r="4167" spans="1:6">
      <c r="A4167" t="s">
        <v>4167</v>
      </c>
      <c r="B4167" t="str">
        <f t="shared" si="180"/>
        <v>0.00134%</v>
      </c>
      <c r="C4167" t="s">
        <v>10</v>
      </c>
      <c r="D4167" t="s">
        <v>10</v>
      </c>
      <c r="E4167" t="str">
        <f>"$ 10,365"</f>
        <v>$ 10,365</v>
      </c>
      <c r="F4167">
        <v>584</v>
      </c>
    </row>
    <row r="4168" spans="1:6">
      <c r="A4168" t="s">
        <v>4168</v>
      </c>
      <c r="B4168" t="str">
        <f t="shared" si="180"/>
        <v>0.00134%</v>
      </c>
      <c r="C4168" t="s">
        <v>10</v>
      </c>
      <c r="D4168" t="s">
        <v>10</v>
      </c>
      <c r="E4168" t="str">
        <f>"$ 10,343"</f>
        <v>$ 10,343</v>
      </c>
      <c r="F4168">
        <v>182</v>
      </c>
    </row>
    <row r="4169" spans="1:6">
      <c r="A4169" t="s">
        <v>4169</v>
      </c>
      <c r="B4169" t="str">
        <f t="shared" si="180"/>
        <v>0.00134%</v>
      </c>
      <c r="C4169" t="s">
        <v>10</v>
      </c>
      <c r="D4169" t="s">
        <v>10</v>
      </c>
      <c r="E4169" t="str">
        <f>"$ 10,336"</f>
        <v>$ 10,336</v>
      </c>
      <c r="F4169" s="1">
        <v>18331</v>
      </c>
    </row>
    <row r="4170" spans="1:6">
      <c r="A4170" t="s">
        <v>4170</v>
      </c>
      <c r="B4170" t="str">
        <f t="shared" si="180"/>
        <v>0.00134%</v>
      </c>
      <c r="C4170" t="s">
        <v>10</v>
      </c>
      <c r="D4170" t="s">
        <v>10</v>
      </c>
      <c r="E4170" t="str">
        <f>"$ 10,342"</f>
        <v>$ 10,342</v>
      </c>
      <c r="F4170">
        <v>628</v>
      </c>
    </row>
    <row r="4171" spans="1:6">
      <c r="A4171" t="s">
        <v>4171</v>
      </c>
      <c r="B4171" t="str">
        <f t="shared" si="180"/>
        <v>0.00134%</v>
      </c>
      <c r="C4171" t="s">
        <v>10</v>
      </c>
      <c r="D4171" t="s">
        <v>10</v>
      </c>
      <c r="E4171" t="str">
        <f>"$ 10,345"</f>
        <v>$ 10,345</v>
      </c>
      <c r="F4171" s="1">
        <v>6402</v>
      </c>
    </row>
    <row r="4172" spans="1:6">
      <c r="A4172" t="s">
        <v>4172</v>
      </c>
      <c r="B4172" t="str">
        <f t="shared" si="180"/>
        <v>0.00134%</v>
      </c>
      <c r="C4172" t="s">
        <v>10</v>
      </c>
      <c r="D4172" t="s">
        <v>10</v>
      </c>
      <c r="E4172" t="str">
        <f>"$ 10,366"</f>
        <v>$ 10,366</v>
      </c>
      <c r="F4172" s="1">
        <v>3221</v>
      </c>
    </row>
    <row r="4173" spans="1:6">
      <c r="A4173" t="s">
        <v>4173</v>
      </c>
      <c r="B4173" t="str">
        <f t="shared" si="180"/>
        <v>0.00134%</v>
      </c>
      <c r="C4173" t="s">
        <v>10</v>
      </c>
      <c r="D4173" t="s">
        <v>10</v>
      </c>
      <c r="E4173" t="str">
        <f>"$ 10,316"</f>
        <v>$ 10,316</v>
      </c>
      <c r="F4173" s="1">
        <v>11226</v>
      </c>
    </row>
    <row r="4174" spans="1:6">
      <c r="A4174" t="s">
        <v>4174</v>
      </c>
      <c r="B4174" t="str">
        <f t="shared" si="180"/>
        <v>0.00134%</v>
      </c>
      <c r="C4174" t="s">
        <v>10</v>
      </c>
      <c r="D4174" t="s">
        <v>10</v>
      </c>
      <c r="E4174" t="str">
        <f>"$ 10,384"</f>
        <v>$ 10,384</v>
      </c>
      <c r="F4174">
        <v>79</v>
      </c>
    </row>
    <row r="4175" spans="1:6">
      <c r="A4175" t="s">
        <v>4175</v>
      </c>
      <c r="B4175" t="str">
        <f t="shared" si="180"/>
        <v>0.00134%</v>
      </c>
      <c r="C4175" t="s">
        <v>10</v>
      </c>
      <c r="D4175" t="s">
        <v>10</v>
      </c>
      <c r="E4175" t="str">
        <f>"$ 10,386"</f>
        <v>$ 10,386</v>
      </c>
      <c r="F4175" s="1">
        <v>3606</v>
      </c>
    </row>
    <row r="4176" spans="1:6">
      <c r="A4176" t="s">
        <v>4176</v>
      </c>
      <c r="B4176" t="str">
        <f t="shared" si="180"/>
        <v>0.00134%</v>
      </c>
      <c r="C4176" t="s">
        <v>10</v>
      </c>
      <c r="D4176" t="s">
        <v>10</v>
      </c>
      <c r="E4176" t="str">
        <f>"$ 10,319"</f>
        <v>$ 10,319</v>
      </c>
      <c r="F4176">
        <v>195</v>
      </c>
    </row>
    <row r="4177" spans="1:6">
      <c r="A4177" t="s">
        <v>4177</v>
      </c>
      <c r="B4177" t="str">
        <f t="shared" si="180"/>
        <v>0.00134%</v>
      </c>
      <c r="C4177" t="s">
        <v>10</v>
      </c>
      <c r="D4177" t="s">
        <v>10</v>
      </c>
      <c r="E4177" t="str">
        <f>"$ 10,363"</f>
        <v>$ 10,363</v>
      </c>
      <c r="F4177">
        <v>675</v>
      </c>
    </row>
    <row r="4178" spans="1:6">
      <c r="A4178" t="s">
        <v>4178</v>
      </c>
      <c r="B4178" t="str">
        <f t="shared" ref="B4178:B4185" si="181">"0.00133%"</f>
        <v>0.00133%</v>
      </c>
      <c r="C4178" t="s">
        <v>10</v>
      </c>
      <c r="D4178" t="s">
        <v>10</v>
      </c>
      <c r="E4178" t="str">
        <f>"$ 10,299"</f>
        <v>$ 10,299</v>
      </c>
      <c r="F4178">
        <v>699</v>
      </c>
    </row>
    <row r="4179" spans="1:6">
      <c r="A4179" t="s">
        <v>4179</v>
      </c>
      <c r="B4179" t="str">
        <f t="shared" si="181"/>
        <v>0.00133%</v>
      </c>
      <c r="C4179" t="s">
        <v>10</v>
      </c>
      <c r="D4179" t="s">
        <v>10</v>
      </c>
      <c r="E4179" t="str">
        <f>"$ 10,274"</f>
        <v>$ 10,274</v>
      </c>
      <c r="F4179">
        <v>284</v>
      </c>
    </row>
    <row r="4180" spans="1:6">
      <c r="A4180" t="s">
        <v>4180</v>
      </c>
      <c r="B4180" t="str">
        <f t="shared" si="181"/>
        <v>0.00133%</v>
      </c>
      <c r="C4180" t="s">
        <v>10</v>
      </c>
      <c r="D4180" t="s">
        <v>10</v>
      </c>
      <c r="E4180" t="str">
        <f>"$ 10,280"</f>
        <v>$ 10,280</v>
      </c>
      <c r="F4180">
        <v>165</v>
      </c>
    </row>
    <row r="4181" spans="1:6">
      <c r="A4181" t="s">
        <v>4181</v>
      </c>
      <c r="B4181" t="str">
        <f t="shared" si="181"/>
        <v>0.00133%</v>
      </c>
      <c r="C4181" t="s">
        <v>10</v>
      </c>
      <c r="D4181" t="s">
        <v>10</v>
      </c>
      <c r="E4181" t="str">
        <f>"$ 10,285"</f>
        <v>$ 10,285</v>
      </c>
      <c r="F4181">
        <v>377</v>
      </c>
    </row>
    <row r="4182" spans="1:6">
      <c r="A4182" t="s">
        <v>4182</v>
      </c>
      <c r="B4182" t="str">
        <f t="shared" si="181"/>
        <v>0.00133%</v>
      </c>
      <c r="C4182" t="s">
        <v>10</v>
      </c>
      <c r="D4182" t="s">
        <v>10</v>
      </c>
      <c r="E4182" t="str">
        <f>"$ 10,286"</f>
        <v>$ 10,286</v>
      </c>
      <c r="F4182">
        <v>83</v>
      </c>
    </row>
    <row r="4183" spans="1:6">
      <c r="A4183" t="s">
        <v>4183</v>
      </c>
      <c r="B4183" t="str">
        <f t="shared" si="181"/>
        <v>0.00133%</v>
      </c>
      <c r="C4183" t="s">
        <v>10</v>
      </c>
      <c r="D4183" t="s">
        <v>10</v>
      </c>
      <c r="E4183" t="str">
        <f>"$ 10,266"</f>
        <v>$ 10,266</v>
      </c>
      <c r="F4183" s="1">
        <v>17058</v>
      </c>
    </row>
    <row r="4184" spans="1:6">
      <c r="A4184" t="s">
        <v>4184</v>
      </c>
      <c r="B4184" t="str">
        <f t="shared" si="181"/>
        <v>0.00133%</v>
      </c>
      <c r="C4184" t="s">
        <v>10</v>
      </c>
      <c r="D4184" t="s">
        <v>10</v>
      </c>
      <c r="E4184" t="str">
        <f>"$ 10,280"</f>
        <v>$ 10,280</v>
      </c>
      <c r="F4184" s="1">
        <v>71375</v>
      </c>
    </row>
    <row r="4185" spans="1:6">
      <c r="A4185" t="s">
        <v>4185</v>
      </c>
      <c r="B4185" t="str">
        <f t="shared" si="181"/>
        <v>0.00133%</v>
      </c>
      <c r="C4185" t="s">
        <v>10</v>
      </c>
      <c r="D4185" t="s">
        <v>10</v>
      </c>
      <c r="E4185" t="str">
        <f>"$ 10,251"</f>
        <v>$ 10,251</v>
      </c>
      <c r="F4185">
        <v>204</v>
      </c>
    </row>
    <row r="4186" spans="1:6">
      <c r="A4186" t="s">
        <v>4186</v>
      </c>
      <c r="B4186" t="str">
        <f t="shared" ref="B4186:B4207" si="182">"0.00132%"</f>
        <v>0.00132%</v>
      </c>
      <c r="C4186" t="s">
        <v>10</v>
      </c>
      <c r="D4186" t="s">
        <v>10</v>
      </c>
      <c r="E4186" t="str">
        <f>"$ 10,176"</f>
        <v>$ 10,176</v>
      </c>
      <c r="F4186">
        <v>602</v>
      </c>
    </row>
    <row r="4187" spans="1:6">
      <c r="A4187" t="s">
        <v>4187</v>
      </c>
      <c r="B4187" t="str">
        <f t="shared" si="182"/>
        <v>0.00132%</v>
      </c>
      <c r="C4187" t="s">
        <v>10</v>
      </c>
      <c r="D4187" t="s">
        <v>10</v>
      </c>
      <c r="E4187" t="str">
        <f>"$ 10,184"</f>
        <v>$ 10,184</v>
      </c>
      <c r="F4187" s="1">
        <v>2353</v>
      </c>
    </row>
    <row r="4188" spans="1:6">
      <c r="A4188" t="s">
        <v>4188</v>
      </c>
      <c r="B4188" t="str">
        <f t="shared" si="182"/>
        <v>0.00132%</v>
      </c>
      <c r="C4188" t="s">
        <v>10</v>
      </c>
      <c r="D4188" t="s">
        <v>10</v>
      </c>
      <c r="E4188" t="str">
        <f>"$ 10,212"</f>
        <v>$ 10,212</v>
      </c>
      <c r="F4188">
        <v>499</v>
      </c>
    </row>
    <row r="4189" spans="1:6">
      <c r="A4189" t="s">
        <v>4189</v>
      </c>
      <c r="B4189" t="str">
        <f t="shared" si="182"/>
        <v>0.00132%</v>
      </c>
      <c r="C4189" t="s">
        <v>10</v>
      </c>
      <c r="D4189" t="s">
        <v>10</v>
      </c>
      <c r="E4189" t="str">
        <f>"$ 10,175"</f>
        <v>$ 10,175</v>
      </c>
      <c r="F4189">
        <v>192</v>
      </c>
    </row>
    <row r="4190" spans="1:6">
      <c r="A4190" t="s">
        <v>4190</v>
      </c>
      <c r="B4190" t="str">
        <f t="shared" si="182"/>
        <v>0.00132%</v>
      </c>
      <c r="C4190" t="s">
        <v>10</v>
      </c>
      <c r="D4190" t="s">
        <v>10</v>
      </c>
      <c r="E4190" t="str">
        <f>"$ 10,205"</f>
        <v>$ 10,205</v>
      </c>
      <c r="F4190">
        <v>858</v>
      </c>
    </row>
    <row r="4191" spans="1:6">
      <c r="A4191" t="s">
        <v>4191</v>
      </c>
      <c r="B4191" t="str">
        <f t="shared" si="182"/>
        <v>0.00132%</v>
      </c>
      <c r="C4191" t="s">
        <v>10</v>
      </c>
      <c r="D4191" t="s">
        <v>10</v>
      </c>
      <c r="E4191" t="str">
        <f>"$ 10,210"</f>
        <v>$ 10,210</v>
      </c>
      <c r="F4191" s="1">
        <v>2084</v>
      </c>
    </row>
    <row r="4192" spans="1:6">
      <c r="A4192" t="s">
        <v>4192</v>
      </c>
      <c r="B4192" t="str">
        <f t="shared" si="182"/>
        <v>0.00132%</v>
      </c>
      <c r="C4192" t="s">
        <v>10</v>
      </c>
      <c r="D4192" t="s">
        <v>10</v>
      </c>
      <c r="E4192" t="str">
        <f>"$ 10,168"</f>
        <v>$ 10,168</v>
      </c>
      <c r="F4192">
        <v>160</v>
      </c>
    </row>
    <row r="4193" spans="1:6">
      <c r="A4193" t="s">
        <v>4193</v>
      </c>
      <c r="B4193" t="str">
        <f t="shared" si="182"/>
        <v>0.00132%</v>
      </c>
      <c r="C4193" t="s">
        <v>10</v>
      </c>
      <c r="D4193" t="s">
        <v>10</v>
      </c>
      <c r="E4193" t="str">
        <f>"$ 10,183"</f>
        <v>$ 10,183</v>
      </c>
      <c r="F4193">
        <v>627</v>
      </c>
    </row>
    <row r="4194" spans="1:6">
      <c r="A4194" t="s">
        <v>4194</v>
      </c>
      <c r="B4194" t="str">
        <f t="shared" si="182"/>
        <v>0.00132%</v>
      </c>
      <c r="C4194" t="s">
        <v>10</v>
      </c>
      <c r="D4194" t="s">
        <v>10</v>
      </c>
      <c r="E4194" t="str">
        <f>"$ 10,223"</f>
        <v>$ 10,223</v>
      </c>
      <c r="F4194">
        <v>14</v>
      </c>
    </row>
    <row r="4195" spans="1:6">
      <c r="A4195" t="s">
        <v>4195</v>
      </c>
      <c r="B4195" t="str">
        <f t="shared" si="182"/>
        <v>0.00132%</v>
      </c>
      <c r="C4195" t="s">
        <v>10</v>
      </c>
      <c r="D4195" t="s">
        <v>10</v>
      </c>
      <c r="E4195" t="str">
        <f>"$ 10,194"</f>
        <v>$ 10,194</v>
      </c>
      <c r="F4195" s="1">
        <v>1073</v>
      </c>
    </row>
    <row r="4196" spans="1:6">
      <c r="A4196" t="s">
        <v>4196</v>
      </c>
      <c r="B4196" t="str">
        <f t="shared" si="182"/>
        <v>0.00132%</v>
      </c>
      <c r="C4196" t="s">
        <v>10</v>
      </c>
      <c r="D4196" t="s">
        <v>10</v>
      </c>
      <c r="E4196" t="str">
        <f>"$ 10,209"</f>
        <v>$ 10,209</v>
      </c>
      <c r="F4196">
        <v>198</v>
      </c>
    </row>
    <row r="4197" spans="1:6">
      <c r="A4197" t="s">
        <v>4197</v>
      </c>
      <c r="B4197" t="str">
        <f t="shared" si="182"/>
        <v>0.00132%</v>
      </c>
      <c r="C4197" t="s">
        <v>10</v>
      </c>
      <c r="D4197" t="s">
        <v>10</v>
      </c>
      <c r="E4197" t="str">
        <f>"$ 10,181"</f>
        <v>$ 10,181</v>
      </c>
      <c r="F4197">
        <v>594</v>
      </c>
    </row>
    <row r="4198" spans="1:6">
      <c r="A4198" t="s">
        <v>4198</v>
      </c>
      <c r="B4198" t="str">
        <f t="shared" si="182"/>
        <v>0.00132%</v>
      </c>
      <c r="C4198" t="s">
        <v>10</v>
      </c>
      <c r="D4198" t="s">
        <v>10</v>
      </c>
      <c r="E4198" t="str">
        <f>"$ 10,213"</f>
        <v>$ 10,213</v>
      </c>
      <c r="F4198">
        <v>531</v>
      </c>
    </row>
    <row r="4199" spans="1:6">
      <c r="A4199" t="s">
        <v>4199</v>
      </c>
      <c r="B4199" t="str">
        <f t="shared" si="182"/>
        <v>0.00132%</v>
      </c>
      <c r="C4199" t="s">
        <v>10</v>
      </c>
      <c r="D4199" t="s">
        <v>10</v>
      </c>
      <c r="E4199" t="str">
        <f>"$ 10,217"</f>
        <v>$ 10,217</v>
      </c>
      <c r="F4199">
        <v>132</v>
      </c>
    </row>
    <row r="4200" spans="1:6">
      <c r="A4200" t="s">
        <v>4200</v>
      </c>
      <c r="B4200" t="str">
        <f t="shared" si="182"/>
        <v>0.00132%</v>
      </c>
      <c r="C4200" t="s">
        <v>10</v>
      </c>
      <c r="D4200" t="s">
        <v>10</v>
      </c>
      <c r="E4200" t="str">
        <f>"$ 10,184"</f>
        <v>$ 10,184</v>
      </c>
      <c r="F4200">
        <v>559</v>
      </c>
    </row>
    <row r="4201" spans="1:6">
      <c r="A4201" t="s">
        <v>4201</v>
      </c>
      <c r="B4201" t="str">
        <f t="shared" si="182"/>
        <v>0.00132%</v>
      </c>
      <c r="C4201" t="s">
        <v>10</v>
      </c>
      <c r="D4201" t="s">
        <v>10</v>
      </c>
      <c r="E4201" t="str">
        <f>"$ 10,206"</f>
        <v>$ 10,206</v>
      </c>
      <c r="F4201" s="1">
        <v>1706</v>
      </c>
    </row>
    <row r="4202" spans="1:6">
      <c r="A4202" t="s">
        <v>4202</v>
      </c>
      <c r="B4202" t="str">
        <f t="shared" si="182"/>
        <v>0.00132%</v>
      </c>
      <c r="C4202" t="s">
        <v>10</v>
      </c>
      <c r="D4202" t="s">
        <v>10</v>
      </c>
      <c r="E4202" t="str">
        <f>"$ 10,172"</f>
        <v>$ 10,172</v>
      </c>
      <c r="F4202">
        <v>301</v>
      </c>
    </row>
    <row r="4203" spans="1:6">
      <c r="A4203" t="s">
        <v>4203</v>
      </c>
      <c r="B4203" t="str">
        <f t="shared" si="182"/>
        <v>0.00132%</v>
      </c>
      <c r="C4203" t="s">
        <v>10</v>
      </c>
      <c r="D4203" t="s">
        <v>10</v>
      </c>
      <c r="E4203" t="str">
        <f>"$ 10,185"</f>
        <v>$ 10,185</v>
      </c>
      <c r="F4203">
        <v>543</v>
      </c>
    </row>
    <row r="4204" spans="1:6">
      <c r="A4204" t="s">
        <v>4204</v>
      </c>
      <c r="B4204" t="str">
        <f t="shared" si="182"/>
        <v>0.00132%</v>
      </c>
      <c r="C4204" t="s">
        <v>10</v>
      </c>
      <c r="D4204" t="s">
        <v>10</v>
      </c>
      <c r="E4204" t="str">
        <f>"$ 10,220"</f>
        <v>$ 10,220</v>
      </c>
      <c r="F4204">
        <v>924</v>
      </c>
    </row>
    <row r="4205" spans="1:6">
      <c r="A4205" t="s">
        <v>4205</v>
      </c>
      <c r="B4205" t="str">
        <f t="shared" si="182"/>
        <v>0.00132%</v>
      </c>
      <c r="C4205" t="s">
        <v>10</v>
      </c>
      <c r="D4205" t="s">
        <v>10</v>
      </c>
      <c r="E4205" t="str">
        <f>"$ 10,164"</f>
        <v>$ 10,164</v>
      </c>
      <c r="F4205">
        <v>552</v>
      </c>
    </row>
    <row r="4206" spans="1:6">
      <c r="A4206" t="s">
        <v>4206</v>
      </c>
      <c r="B4206" t="str">
        <f t="shared" si="182"/>
        <v>0.00132%</v>
      </c>
      <c r="C4206" t="s">
        <v>10</v>
      </c>
      <c r="D4206" t="s">
        <v>10</v>
      </c>
      <c r="E4206" t="str">
        <f>"$ 10,193"</f>
        <v>$ 10,193</v>
      </c>
      <c r="F4206">
        <v>51</v>
      </c>
    </row>
    <row r="4207" spans="1:6">
      <c r="A4207" t="s">
        <v>4207</v>
      </c>
      <c r="B4207" t="str">
        <f t="shared" si="182"/>
        <v>0.00132%</v>
      </c>
      <c r="C4207" t="s">
        <v>10</v>
      </c>
      <c r="D4207" t="s">
        <v>10</v>
      </c>
      <c r="E4207" t="str">
        <f>"$ 10,162"</f>
        <v>$ 10,162</v>
      </c>
      <c r="F4207">
        <v>305</v>
      </c>
    </row>
    <row r="4208" spans="1:6">
      <c r="A4208" t="s">
        <v>4208</v>
      </c>
      <c r="B4208" t="str">
        <f t="shared" ref="B4208:B4223" si="183">"0.00131%"</f>
        <v>0.00131%</v>
      </c>
      <c r="C4208" t="s">
        <v>10</v>
      </c>
      <c r="D4208" t="s">
        <v>10</v>
      </c>
      <c r="E4208" t="str">
        <f>"$ 10,114"</f>
        <v>$ 10,114</v>
      </c>
      <c r="F4208">
        <v>214</v>
      </c>
    </row>
    <row r="4209" spans="1:6">
      <c r="A4209" t="s">
        <v>4209</v>
      </c>
      <c r="B4209" t="str">
        <f t="shared" si="183"/>
        <v>0.00131%</v>
      </c>
      <c r="C4209" t="s">
        <v>10</v>
      </c>
      <c r="D4209" t="s">
        <v>10</v>
      </c>
      <c r="E4209" t="str">
        <f>"$ 10,095"</f>
        <v>$ 10,095</v>
      </c>
      <c r="F4209" s="1">
        <v>31935</v>
      </c>
    </row>
    <row r="4210" spans="1:6">
      <c r="A4210" t="s">
        <v>4210</v>
      </c>
      <c r="B4210" t="str">
        <f t="shared" si="183"/>
        <v>0.00131%</v>
      </c>
      <c r="C4210" t="s">
        <v>10</v>
      </c>
      <c r="D4210" t="s">
        <v>10</v>
      </c>
      <c r="E4210" t="str">
        <f>"$ 10,129"</f>
        <v>$ 10,129</v>
      </c>
      <c r="F4210">
        <v>363</v>
      </c>
    </row>
    <row r="4211" spans="1:6">
      <c r="A4211" t="s">
        <v>4211</v>
      </c>
      <c r="B4211" t="str">
        <f t="shared" si="183"/>
        <v>0.00131%</v>
      </c>
      <c r="C4211" t="s">
        <v>10</v>
      </c>
      <c r="D4211" t="s">
        <v>10</v>
      </c>
      <c r="E4211" t="str">
        <f>"$ 10,147"</f>
        <v>$ 10,147</v>
      </c>
      <c r="F4211" s="1">
        <v>1949</v>
      </c>
    </row>
    <row r="4212" spans="1:6">
      <c r="A4212" t="s">
        <v>4212</v>
      </c>
      <c r="B4212" t="str">
        <f t="shared" si="183"/>
        <v>0.00131%</v>
      </c>
      <c r="C4212" t="s">
        <v>10</v>
      </c>
      <c r="D4212" t="s">
        <v>10</v>
      </c>
      <c r="E4212" t="str">
        <f>"$ 10,118"</f>
        <v>$ 10,118</v>
      </c>
      <c r="F4212">
        <v>577</v>
      </c>
    </row>
    <row r="4213" spans="1:6">
      <c r="A4213" t="s">
        <v>4213</v>
      </c>
      <c r="B4213" t="str">
        <f t="shared" si="183"/>
        <v>0.00131%</v>
      </c>
      <c r="C4213" t="s">
        <v>10</v>
      </c>
      <c r="D4213" t="s">
        <v>10</v>
      </c>
      <c r="E4213" t="str">
        <f>"$ 10,147"</f>
        <v>$ 10,147</v>
      </c>
      <c r="F4213">
        <v>87</v>
      </c>
    </row>
    <row r="4214" spans="1:6">
      <c r="A4214" t="s">
        <v>4214</v>
      </c>
      <c r="B4214" t="str">
        <f t="shared" si="183"/>
        <v>0.00131%</v>
      </c>
      <c r="C4214" t="s">
        <v>10</v>
      </c>
      <c r="D4214" t="s">
        <v>10</v>
      </c>
      <c r="E4214" t="str">
        <f>"$ 10,098"</f>
        <v>$ 10,098</v>
      </c>
      <c r="F4214">
        <v>305</v>
      </c>
    </row>
    <row r="4215" spans="1:6">
      <c r="A4215" t="s">
        <v>4215</v>
      </c>
      <c r="B4215" t="str">
        <f t="shared" si="183"/>
        <v>0.00131%</v>
      </c>
      <c r="C4215" t="s">
        <v>10</v>
      </c>
      <c r="D4215" t="s">
        <v>10</v>
      </c>
      <c r="E4215" t="str">
        <f>"$ 10,143"</f>
        <v>$ 10,143</v>
      </c>
      <c r="F4215">
        <v>322</v>
      </c>
    </row>
    <row r="4216" spans="1:6">
      <c r="A4216" t="s">
        <v>4216</v>
      </c>
      <c r="B4216" t="str">
        <f t="shared" si="183"/>
        <v>0.00131%</v>
      </c>
      <c r="C4216" t="s">
        <v>10</v>
      </c>
      <c r="D4216" t="s">
        <v>10</v>
      </c>
      <c r="E4216" t="str">
        <f>"$ 10,112"</f>
        <v>$ 10,112</v>
      </c>
      <c r="F4216">
        <v>331</v>
      </c>
    </row>
    <row r="4217" spans="1:6">
      <c r="A4217" t="s">
        <v>4217</v>
      </c>
      <c r="B4217" t="str">
        <f t="shared" si="183"/>
        <v>0.00131%</v>
      </c>
      <c r="C4217" t="s">
        <v>10</v>
      </c>
      <c r="D4217" t="s">
        <v>10</v>
      </c>
      <c r="E4217" t="str">
        <f>"$ 10,139"</f>
        <v>$ 10,139</v>
      </c>
      <c r="F4217">
        <v>115</v>
      </c>
    </row>
    <row r="4218" spans="1:6">
      <c r="A4218" t="s">
        <v>4218</v>
      </c>
      <c r="B4218" t="str">
        <f t="shared" si="183"/>
        <v>0.00131%</v>
      </c>
      <c r="C4218" t="s">
        <v>10</v>
      </c>
      <c r="D4218" t="s">
        <v>10</v>
      </c>
      <c r="E4218" t="str">
        <f>"$ 10,122"</f>
        <v>$ 10,122</v>
      </c>
      <c r="F4218">
        <v>157</v>
      </c>
    </row>
    <row r="4219" spans="1:6">
      <c r="A4219" t="s">
        <v>4219</v>
      </c>
      <c r="B4219" t="str">
        <f t="shared" si="183"/>
        <v>0.00131%</v>
      </c>
      <c r="C4219" t="s">
        <v>10</v>
      </c>
      <c r="D4219" t="s">
        <v>10</v>
      </c>
      <c r="E4219" t="str">
        <f>"$ 10,132"</f>
        <v>$ 10,132</v>
      </c>
      <c r="F4219" s="1">
        <v>27710</v>
      </c>
    </row>
    <row r="4220" spans="1:6">
      <c r="A4220" t="s">
        <v>4220</v>
      </c>
      <c r="B4220" t="str">
        <f t="shared" si="183"/>
        <v>0.00131%</v>
      </c>
      <c r="C4220" t="s">
        <v>10</v>
      </c>
      <c r="D4220" t="s">
        <v>10</v>
      </c>
      <c r="E4220" t="str">
        <f>"$ 10,087"</f>
        <v>$ 10,087</v>
      </c>
      <c r="F4220">
        <v>595</v>
      </c>
    </row>
    <row r="4221" spans="1:6">
      <c r="A4221" t="s">
        <v>4221</v>
      </c>
      <c r="B4221" t="str">
        <f t="shared" si="183"/>
        <v>0.00131%</v>
      </c>
      <c r="C4221" t="s">
        <v>10</v>
      </c>
      <c r="D4221" t="s">
        <v>10</v>
      </c>
      <c r="E4221" t="str">
        <f>"$ 10,088"</f>
        <v>$ 10,088</v>
      </c>
      <c r="F4221">
        <v>417</v>
      </c>
    </row>
    <row r="4222" spans="1:6">
      <c r="A4222" t="s">
        <v>4222</v>
      </c>
      <c r="B4222" t="str">
        <f t="shared" si="183"/>
        <v>0.00131%</v>
      </c>
      <c r="C4222" t="s">
        <v>10</v>
      </c>
      <c r="D4222" t="s">
        <v>10</v>
      </c>
      <c r="E4222" t="str">
        <f>"$ 10,143"</f>
        <v>$ 10,143</v>
      </c>
      <c r="F4222" s="1">
        <v>6415</v>
      </c>
    </row>
    <row r="4223" spans="1:6">
      <c r="A4223" t="s">
        <v>4223</v>
      </c>
      <c r="B4223" t="str">
        <f t="shared" si="183"/>
        <v>0.00131%</v>
      </c>
      <c r="C4223" t="s">
        <v>10</v>
      </c>
      <c r="D4223" t="s">
        <v>10</v>
      </c>
      <c r="E4223" t="str">
        <f>"$ 10,126"</f>
        <v>$ 10,126</v>
      </c>
      <c r="F4223" s="1">
        <v>4206</v>
      </c>
    </row>
    <row r="4224" spans="1:6">
      <c r="A4224" t="s">
        <v>4224</v>
      </c>
      <c r="B4224" t="str">
        <f t="shared" ref="B4224:B4236" si="184">"0.00130%"</f>
        <v>0.00130%</v>
      </c>
      <c r="C4224" t="s">
        <v>10</v>
      </c>
      <c r="D4224" t="s">
        <v>10</v>
      </c>
      <c r="E4224" t="str">
        <f>"$ 10,068"</f>
        <v>$ 10,068</v>
      </c>
      <c r="F4224">
        <v>363</v>
      </c>
    </row>
    <row r="4225" spans="1:6">
      <c r="A4225" t="s">
        <v>4225</v>
      </c>
      <c r="B4225" t="str">
        <f t="shared" si="184"/>
        <v>0.00130%</v>
      </c>
      <c r="C4225" t="s">
        <v>10</v>
      </c>
      <c r="D4225" t="s">
        <v>10</v>
      </c>
      <c r="E4225" t="str">
        <f>"$ 10,002"</f>
        <v>$ 10,002</v>
      </c>
      <c r="F4225">
        <v>613</v>
      </c>
    </row>
    <row r="4226" spans="1:6">
      <c r="A4226" t="s">
        <v>4226</v>
      </c>
      <c r="B4226" t="str">
        <f t="shared" si="184"/>
        <v>0.00130%</v>
      </c>
      <c r="C4226" t="s">
        <v>10</v>
      </c>
      <c r="D4226" t="s">
        <v>10</v>
      </c>
      <c r="E4226" t="str">
        <f>"$ 10,004"</f>
        <v>$ 10,004</v>
      </c>
      <c r="F4226" s="1">
        <v>2968</v>
      </c>
    </row>
    <row r="4227" spans="1:6">
      <c r="A4227" t="s">
        <v>4227</v>
      </c>
      <c r="B4227" t="str">
        <f t="shared" si="184"/>
        <v>0.00130%</v>
      </c>
      <c r="C4227" t="s">
        <v>10</v>
      </c>
      <c r="D4227" t="s">
        <v>10</v>
      </c>
      <c r="E4227" t="str">
        <f>"$ 10,073"</f>
        <v>$ 10,073</v>
      </c>
      <c r="F4227">
        <v>264</v>
      </c>
    </row>
    <row r="4228" spans="1:6">
      <c r="A4228" t="s">
        <v>4228</v>
      </c>
      <c r="B4228" t="str">
        <f t="shared" si="184"/>
        <v>0.00130%</v>
      </c>
      <c r="C4228" t="s">
        <v>10</v>
      </c>
      <c r="D4228" t="s">
        <v>10</v>
      </c>
      <c r="E4228" t="str">
        <f>"$ 10,010"</f>
        <v>$ 10,010</v>
      </c>
      <c r="F4228">
        <v>73</v>
      </c>
    </row>
    <row r="4229" spans="1:6">
      <c r="A4229" t="s">
        <v>4229</v>
      </c>
      <c r="B4229" t="str">
        <f t="shared" si="184"/>
        <v>0.00130%</v>
      </c>
      <c r="C4229" t="s">
        <v>10</v>
      </c>
      <c r="D4229" t="s">
        <v>10</v>
      </c>
      <c r="E4229" t="str">
        <f>"$ 10,025"</f>
        <v>$ 10,025</v>
      </c>
      <c r="F4229">
        <v>90</v>
      </c>
    </row>
    <row r="4230" spans="1:6">
      <c r="A4230" t="s">
        <v>4230</v>
      </c>
      <c r="B4230" t="str">
        <f t="shared" si="184"/>
        <v>0.00130%</v>
      </c>
      <c r="C4230" t="s">
        <v>10</v>
      </c>
      <c r="D4230" t="s">
        <v>10</v>
      </c>
      <c r="E4230" t="str">
        <f>"$ 10,019"</f>
        <v>$ 10,019</v>
      </c>
      <c r="F4230" s="1">
        <v>65121</v>
      </c>
    </row>
    <row r="4231" spans="1:6">
      <c r="A4231" t="s">
        <v>4231</v>
      </c>
      <c r="B4231" t="str">
        <f t="shared" si="184"/>
        <v>0.00130%</v>
      </c>
      <c r="C4231" t="s">
        <v>10</v>
      </c>
      <c r="D4231" t="s">
        <v>10</v>
      </c>
      <c r="E4231" t="str">
        <f>"$ 10,004"</f>
        <v>$ 10,004</v>
      </c>
      <c r="F4231">
        <v>297</v>
      </c>
    </row>
    <row r="4232" spans="1:6">
      <c r="A4232" t="s">
        <v>4232</v>
      </c>
      <c r="B4232" t="str">
        <f t="shared" si="184"/>
        <v>0.00130%</v>
      </c>
      <c r="C4232" t="s">
        <v>10</v>
      </c>
      <c r="D4232" t="s">
        <v>10</v>
      </c>
      <c r="E4232" t="str">
        <f>"$ 10,050"</f>
        <v>$ 10,050</v>
      </c>
      <c r="F4232">
        <v>544</v>
      </c>
    </row>
    <row r="4233" spans="1:6">
      <c r="A4233" t="s">
        <v>4233</v>
      </c>
      <c r="B4233" t="str">
        <f t="shared" si="184"/>
        <v>0.00130%</v>
      </c>
      <c r="C4233" t="s">
        <v>10</v>
      </c>
      <c r="D4233" t="s">
        <v>10</v>
      </c>
      <c r="E4233" t="str">
        <f>"$ 10,010"</f>
        <v>$ 10,010</v>
      </c>
      <c r="F4233">
        <v>123</v>
      </c>
    </row>
    <row r="4234" spans="1:6">
      <c r="A4234" t="s">
        <v>4234</v>
      </c>
      <c r="B4234" t="str">
        <f t="shared" si="184"/>
        <v>0.00130%</v>
      </c>
      <c r="C4234" t="s">
        <v>10</v>
      </c>
      <c r="D4234" t="s">
        <v>10</v>
      </c>
      <c r="E4234" t="str">
        <f>"$ 10,055"</f>
        <v>$ 10,055</v>
      </c>
      <c r="F4234" s="1">
        <v>1452</v>
      </c>
    </row>
    <row r="4235" spans="1:6">
      <c r="A4235" t="s">
        <v>4235</v>
      </c>
      <c r="B4235" t="str">
        <f t="shared" si="184"/>
        <v>0.00130%</v>
      </c>
      <c r="C4235" t="s">
        <v>10</v>
      </c>
      <c r="D4235" t="s">
        <v>10</v>
      </c>
      <c r="E4235" t="str">
        <f>"$ 10,015"</f>
        <v>$ 10,015</v>
      </c>
      <c r="F4235" s="1">
        <v>1745</v>
      </c>
    </row>
    <row r="4236" spans="1:6">
      <c r="A4236" t="s">
        <v>4236</v>
      </c>
      <c r="B4236" t="str">
        <f t="shared" si="184"/>
        <v>0.00130%</v>
      </c>
      <c r="C4236" t="s">
        <v>10</v>
      </c>
      <c r="D4236" t="s">
        <v>10</v>
      </c>
      <c r="E4236" t="str">
        <f>"$ 10,017"</f>
        <v>$ 10,017</v>
      </c>
      <c r="F4236" s="1">
        <v>3295</v>
      </c>
    </row>
    <row r="4237" spans="1:6">
      <c r="A4237" t="s">
        <v>4237</v>
      </c>
      <c r="B4237" t="str">
        <f t="shared" ref="B4237:B4255" si="185">"0.00129%"</f>
        <v>0.00129%</v>
      </c>
      <c r="C4237" t="s">
        <v>10</v>
      </c>
      <c r="D4237" t="s">
        <v>10</v>
      </c>
      <c r="E4237" t="str">
        <f>"$ 9,950"</f>
        <v>$ 9,950</v>
      </c>
      <c r="F4237" s="1">
        <v>1134</v>
      </c>
    </row>
    <row r="4238" spans="1:6">
      <c r="A4238" t="s">
        <v>4238</v>
      </c>
      <c r="B4238" t="str">
        <f t="shared" si="185"/>
        <v>0.00129%</v>
      </c>
      <c r="C4238" t="s">
        <v>10</v>
      </c>
      <c r="D4238" t="s">
        <v>10</v>
      </c>
      <c r="E4238" t="str">
        <f>"$ 9,925"</f>
        <v>$ 9,925</v>
      </c>
      <c r="F4238">
        <v>759</v>
      </c>
    </row>
    <row r="4239" spans="1:6">
      <c r="A4239" t="s">
        <v>4239</v>
      </c>
      <c r="B4239" t="str">
        <f t="shared" si="185"/>
        <v>0.00129%</v>
      </c>
      <c r="C4239" t="s">
        <v>10</v>
      </c>
      <c r="D4239" t="s">
        <v>10</v>
      </c>
      <c r="E4239" t="str">
        <f>"$ 9,964"</f>
        <v>$ 9,964</v>
      </c>
      <c r="F4239">
        <v>377</v>
      </c>
    </row>
    <row r="4240" spans="1:6">
      <c r="A4240" t="s">
        <v>4240</v>
      </c>
      <c r="B4240" t="str">
        <f t="shared" si="185"/>
        <v>0.00129%</v>
      </c>
      <c r="C4240" t="s">
        <v>10</v>
      </c>
      <c r="D4240" t="s">
        <v>10</v>
      </c>
      <c r="E4240" t="str">
        <f>"$ 9,949"</f>
        <v>$ 9,949</v>
      </c>
      <c r="F4240">
        <v>185</v>
      </c>
    </row>
    <row r="4241" spans="1:6">
      <c r="A4241" t="s">
        <v>4241</v>
      </c>
      <c r="B4241" t="str">
        <f t="shared" si="185"/>
        <v>0.00129%</v>
      </c>
      <c r="C4241" t="s">
        <v>10</v>
      </c>
      <c r="D4241" t="s">
        <v>10</v>
      </c>
      <c r="E4241" t="str">
        <f>"$ 9,983"</f>
        <v>$ 9,983</v>
      </c>
      <c r="F4241" s="1">
        <v>9944</v>
      </c>
    </row>
    <row r="4242" spans="1:6">
      <c r="A4242" t="s">
        <v>4242</v>
      </c>
      <c r="B4242" t="str">
        <f t="shared" si="185"/>
        <v>0.00129%</v>
      </c>
      <c r="C4242" t="s">
        <v>10</v>
      </c>
      <c r="D4242" t="s">
        <v>10</v>
      </c>
      <c r="E4242" t="str">
        <f>"$ 9,998"</f>
        <v>$ 9,998</v>
      </c>
      <c r="F4242" s="1">
        <v>1430</v>
      </c>
    </row>
    <row r="4243" spans="1:6">
      <c r="A4243" t="s">
        <v>4243</v>
      </c>
      <c r="B4243" t="str">
        <f t="shared" si="185"/>
        <v>0.00129%</v>
      </c>
      <c r="C4243" t="s">
        <v>10</v>
      </c>
      <c r="D4243" t="s">
        <v>10</v>
      </c>
      <c r="E4243" t="str">
        <f>"$ 9,939"</f>
        <v>$ 9,939</v>
      </c>
      <c r="F4243" s="1">
        <v>2464</v>
      </c>
    </row>
    <row r="4244" spans="1:6">
      <c r="A4244" t="s">
        <v>4244</v>
      </c>
      <c r="B4244" t="str">
        <f t="shared" si="185"/>
        <v>0.00129%</v>
      </c>
      <c r="C4244" t="s">
        <v>10</v>
      </c>
      <c r="D4244" t="s">
        <v>10</v>
      </c>
      <c r="E4244" t="str">
        <f>"$ 9,949"</f>
        <v>$ 9,949</v>
      </c>
      <c r="F4244">
        <v>85</v>
      </c>
    </row>
    <row r="4245" spans="1:6">
      <c r="A4245" t="s">
        <v>4245</v>
      </c>
      <c r="B4245" t="str">
        <f t="shared" si="185"/>
        <v>0.00129%</v>
      </c>
      <c r="C4245" t="s">
        <v>10</v>
      </c>
      <c r="D4245" t="s">
        <v>10</v>
      </c>
      <c r="E4245" t="str">
        <f>"$ 9,982"</f>
        <v>$ 9,982</v>
      </c>
      <c r="F4245">
        <v>8</v>
      </c>
    </row>
    <row r="4246" spans="1:6">
      <c r="A4246" t="s">
        <v>4246</v>
      </c>
      <c r="B4246" t="str">
        <f t="shared" si="185"/>
        <v>0.00129%</v>
      </c>
      <c r="C4246" t="s">
        <v>10</v>
      </c>
      <c r="D4246" t="s">
        <v>10</v>
      </c>
      <c r="E4246" t="str">
        <f>"$ 9,984"</f>
        <v>$ 9,984</v>
      </c>
      <c r="F4246">
        <v>238</v>
      </c>
    </row>
    <row r="4247" spans="1:6">
      <c r="A4247" t="s">
        <v>4247</v>
      </c>
      <c r="B4247" t="str">
        <f t="shared" si="185"/>
        <v>0.00129%</v>
      </c>
      <c r="C4247" t="s">
        <v>10</v>
      </c>
      <c r="D4247" t="s">
        <v>10</v>
      </c>
      <c r="E4247" t="str">
        <f>"$ 9,952"</f>
        <v>$ 9,952</v>
      </c>
      <c r="F4247" s="1">
        <v>1148</v>
      </c>
    </row>
    <row r="4248" spans="1:6">
      <c r="A4248" t="s">
        <v>4248</v>
      </c>
      <c r="B4248" t="str">
        <f t="shared" si="185"/>
        <v>0.00129%</v>
      </c>
      <c r="C4248" t="s">
        <v>10</v>
      </c>
      <c r="D4248" t="s">
        <v>10</v>
      </c>
      <c r="E4248" t="str">
        <f>"$ 9,929"</f>
        <v>$ 9,929</v>
      </c>
      <c r="F4248">
        <v>292</v>
      </c>
    </row>
    <row r="4249" spans="1:6">
      <c r="A4249" t="s">
        <v>4249</v>
      </c>
      <c r="B4249" t="str">
        <f t="shared" si="185"/>
        <v>0.00129%</v>
      </c>
      <c r="C4249" t="s">
        <v>10</v>
      </c>
      <c r="D4249" t="s">
        <v>10</v>
      </c>
      <c r="E4249" t="str">
        <f>"$ 9,993"</f>
        <v>$ 9,993</v>
      </c>
      <c r="F4249">
        <v>94</v>
      </c>
    </row>
    <row r="4250" spans="1:6">
      <c r="A4250" t="s">
        <v>4250</v>
      </c>
      <c r="B4250" t="str">
        <f t="shared" si="185"/>
        <v>0.00129%</v>
      </c>
      <c r="C4250" t="s">
        <v>10</v>
      </c>
      <c r="D4250" t="s">
        <v>10</v>
      </c>
      <c r="E4250" t="str">
        <f>"$ 9,996"</f>
        <v>$ 9,996</v>
      </c>
      <c r="F4250">
        <v>247</v>
      </c>
    </row>
    <row r="4251" spans="1:6">
      <c r="A4251" t="s">
        <v>4251</v>
      </c>
      <c r="B4251" t="str">
        <f t="shared" si="185"/>
        <v>0.00129%</v>
      </c>
      <c r="C4251" t="s">
        <v>10</v>
      </c>
      <c r="D4251" t="s">
        <v>10</v>
      </c>
      <c r="E4251" t="str">
        <f>"$ 9,998"</f>
        <v>$ 9,998</v>
      </c>
      <c r="F4251">
        <v>415</v>
      </c>
    </row>
    <row r="4252" spans="1:6">
      <c r="A4252" t="s">
        <v>4252</v>
      </c>
      <c r="B4252" t="str">
        <f t="shared" si="185"/>
        <v>0.00129%</v>
      </c>
      <c r="C4252" t="s">
        <v>10</v>
      </c>
      <c r="D4252" t="s">
        <v>10</v>
      </c>
      <c r="E4252" t="str">
        <f>"$ 9,941"</f>
        <v>$ 9,941</v>
      </c>
      <c r="F4252">
        <v>88</v>
      </c>
    </row>
    <row r="4253" spans="1:6">
      <c r="A4253" t="s">
        <v>4253</v>
      </c>
      <c r="B4253" t="str">
        <f t="shared" si="185"/>
        <v>0.00129%</v>
      </c>
      <c r="C4253" t="s">
        <v>10</v>
      </c>
      <c r="D4253" t="s">
        <v>10</v>
      </c>
      <c r="E4253" t="str">
        <f>"$ 9,949"</f>
        <v>$ 9,949</v>
      </c>
      <c r="F4253" s="1">
        <v>1519</v>
      </c>
    </row>
    <row r="4254" spans="1:6">
      <c r="A4254" t="s">
        <v>4254</v>
      </c>
      <c r="B4254" t="str">
        <f t="shared" si="185"/>
        <v>0.00129%</v>
      </c>
      <c r="C4254" t="s">
        <v>10</v>
      </c>
      <c r="D4254" t="s">
        <v>10</v>
      </c>
      <c r="E4254" t="str">
        <f>"$ 9,926"</f>
        <v>$ 9,926</v>
      </c>
      <c r="F4254">
        <v>303</v>
      </c>
    </row>
    <row r="4255" spans="1:6">
      <c r="A4255" t="s">
        <v>4255</v>
      </c>
      <c r="B4255" t="str">
        <f t="shared" si="185"/>
        <v>0.00129%</v>
      </c>
      <c r="C4255" t="s">
        <v>10</v>
      </c>
      <c r="D4255" t="s">
        <v>10</v>
      </c>
      <c r="E4255" t="str">
        <f>"$ 9,954"</f>
        <v>$ 9,954</v>
      </c>
      <c r="F4255">
        <v>167</v>
      </c>
    </row>
    <row r="4256" spans="1:6">
      <c r="A4256" t="s">
        <v>4256</v>
      </c>
      <c r="B4256" t="str">
        <f t="shared" ref="B4256:B4264" si="186">"0.00128%"</f>
        <v>0.00128%</v>
      </c>
      <c r="C4256" t="s">
        <v>10</v>
      </c>
      <c r="D4256" t="s">
        <v>10</v>
      </c>
      <c r="E4256" t="str">
        <f>"$ 9,886"</f>
        <v>$ 9,886</v>
      </c>
      <c r="F4256" s="1">
        <v>3309</v>
      </c>
    </row>
    <row r="4257" spans="1:6">
      <c r="A4257" t="s">
        <v>4257</v>
      </c>
      <c r="B4257" t="str">
        <f t="shared" si="186"/>
        <v>0.00128%</v>
      </c>
      <c r="C4257" t="s">
        <v>10</v>
      </c>
      <c r="D4257" t="s">
        <v>10</v>
      </c>
      <c r="E4257" t="str">
        <f>"$ 9,867"</f>
        <v>$ 9,867</v>
      </c>
      <c r="F4257">
        <v>39</v>
      </c>
    </row>
    <row r="4258" spans="1:6">
      <c r="A4258" t="s">
        <v>4258</v>
      </c>
      <c r="B4258" t="str">
        <f t="shared" si="186"/>
        <v>0.00128%</v>
      </c>
      <c r="C4258" t="s">
        <v>10</v>
      </c>
      <c r="D4258" t="s">
        <v>10</v>
      </c>
      <c r="E4258" t="str">
        <f>"$ 9,851"</f>
        <v>$ 9,851</v>
      </c>
      <c r="F4258" s="1">
        <v>4048</v>
      </c>
    </row>
    <row r="4259" spans="1:6">
      <c r="A4259" t="s">
        <v>4259</v>
      </c>
      <c r="B4259" t="str">
        <f t="shared" si="186"/>
        <v>0.00128%</v>
      </c>
      <c r="C4259" t="s">
        <v>10</v>
      </c>
      <c r="D4259" t="s">
        <v>10</v>
      </c>
      <c r="E4259" t="str">
        <f>"$ 9,884"</f>
        <v>$ 9,884</v>
      </c>
      <c r="F4259" s="1">
        <v>2411</v>
      </c>
    </row>
    <row r="4260" spans="1:6">
      <c r="A4260" t="s">
        <v>4260</v>
      </c>
      <c r="B4260" t="str">
        <f t="shared" si="186"/>
        <v>0.00128%</v>
      </c>
      <c r="C4260" t="s">
        <v>10</v>
      </c>
      <c r="D4260" t="s">
        <v>10</v>
      </c>
      <c r="E4260" t="str">
        <f>"$ 9,917"</f>
        <v>$ 9,917</v>
      </c>
      <c r="F4260">
        <v>181</v>
      </c>
    </row>
    <row r="4261" spans="1:6">
      <c r="A4261" t="s">
        <v>4261</v>
      </c>
      <c r="B4261" t="str">
        <f t="shared" si="186"/>
        <v>0.00128%</v>
      </c>
      <c r="C4261" t="s">
        <v>10</v>
      </c>
      <c r="D4261" t="s">
        <v>10</v>
      </c>
      <c r="E4261" t="str">
        <f>"$ 9,922"</f>
        <v>$ 9,922</v>
      </c>
      <c r="F4261" s="1">
        <v>7819</v>
      </c>
    </row>
    <row r="4262" spans="1:6">
      <c r="A4262" t="s">
        <v>4262</v>
      </c>
      <c r="B4262" t="str">
        <f t="shared" si="186"/>
        <v>0.00128%</v>
      </c>
      <c r="C4262" t="s">
        <v>10</v>
      </c>
      <c r="D4262" t="s">
        <v>10</v>
      </c>
      <c r="E4262" t="str">
        <f>"$ 9,874"</f>
        <v>$ 9,874</v>
      </c>
      <c r="F4262" s="1">
        <v>8184</v>
      </c>
    </row>
    <row r="4263" spans="1:6">
      <c r="A4263" t="s">
        <v>4263</v>
      </c>
      <c r="B4263" t="str">
        <f t="shared" si="186"/>
        <v>0.00128%</v>
      </c>
      <c r="C4263" t="s">
        <v>10</v>
      </c>
      <c r="D4263" t="s">
        <v>10</v>
      </c>
      <c r="E4263" t="str">
        <f>"$ 9,874"</f>
        <v>$ 9,874</v>
      </c>
      <c r="F4263">
        <v>231</v>
      </c>
    </row>
    <row r="4264" spans="1:6">
      <c r="A4264" t="s">
        <v>4264</v>
      </c>
      <c r="B4264" t="str">
        <f t="shared" si="186"/>
        <v>0.00128%</v>
      </c>
      <c r="C4264" t="s">
        <v>10</v>
      </c>
      <c r="D4264" t="s">
        <v>10</v>
      </c>
      <c r="E4264" t="str">
        <f>"$ 9,875"</f>
        <v>$ 9,875</v>
      </c>
      <c r="F4264">
        <v>639</v>
      </c>
    </row>
    <row r="4265" spans="1:6">
      <c r="A4265" t="s">
        <v>4265</v>
      </c>
      <c r="B4265" t="str">
        <f t="shared" ref="B4265:B4275" si="187">"0.00127%"</f>
        <v>0.00127%</v>
      </c>
      <c r="C4265" t="s">
        <v>10</v>
      </c>
      <c r="D4265" t="s">
        <v>10</v>
      </c>
      <c r="E4265" t="str">
        <f>"$ 9,798"</f>
        <v>$ 9,798</v>
      </c>
      <c r="F4265" s="1">
        <v>6313</v>
      </c>
    </row>
    <row r="4266" spans="1:6">
      <c r="A4266" t="s">
        <v>4266</v>
      </c>
      <c r="B4266" t="str">
        <f t="shared" si="187"/>
        <v>0.00127%</v>
      </c>
      <c r="C4266" t="s">
        <v>10</v>
      </c>
      <c r="D4266" t="s">
        <v>10</v>
      </c>
      <c r="E4266" t="str">
        <f>"$ 9,780"</f>
        <v>$ 9,780</v>
      </c>
      <c r="F4266">
        <v>295</v>
      </c>
    </row>
    <row r="4267" spans="1:6">
      <c r="A4267" t="s">
        <v>4267</v>
      </c>
      <c r="B4267" t="str">
        <f t="shared" si="187"/>
        <v>0.00127%</v>
      </c>
      <c r="C4267" t="s">
        <v>10</v>
      </c>
      <c r="D4267" t="s">
        <v>10</v>
      </c>
      <c r="E4267" t="str">
        <f>"$ 9,789"</f>
        <v>$ 9,789</v>
      </c>
      <c r="F4267">
        <v>166</v>
      </c>
    </row>
    <row r="4268" spans="1:6">
      <c r="A4268" t="s">
        <v>4268</v>
      </c>
      <c r="B4268" t="str">
        <f t="shared" si="187"/>
        <v>0.00127%</v>
      </c>
      <c r="C4268" t="s">
        <v>10</v>
      </c>
      <c r="D4268" t="s">
        <v>10</v>
      </c>
      <c r="E4268" t="str">
        <f>"$ 9,770"</f>
        <v>$ 9,770</v>
      </c>
      <c r="F4268">
        <v>177</v>
      </c>
    </row>
    <row r="4269" spans="1:6">
      <c r="A4269" t="s">
        <v>4269</v>
      </c>
      <c r="B4269" t="str">
        <f t="shared" si="187"/>
        <v>0.00127%</v>
      </c>
      <c r="C4269" t="s">
        <v>10</v>
      </c>
      <c r="D4269" t="s">
        <v>10</v>
      </c>
      <c r="E4269" t="str">
        <f>"$ 9,828"</f>
        <v>$ 9,828</v>
      </c>
      <c r="F4269">
        <v>491</v>
      </c>
    </row>
    <row r="4270" spans="1:6">
      <c r="A4270" t="s">
        <v>4270</v>
      </c>
      <c r="B4270" t="str">
        <f t="shared" si="187"/>
        <v>0.00127%</v>
      </c>
      <c r="C4270" t="s">
        <v>10</v>
      </c>
      <c r="D4270" t="s">
        <v>10</v>
      </c>
      <c r="E4270" t="str">
        <f>"$ 9,824"</f>
        <v>$ 9,824</v>
      </c>
      <c r="F4270" s="1">
        <v>1389</v>
      </c>
    </row>
    <row r="4271" spans="1:6">
      <c r="A4271" t="s">
        <v>4271</v>
      </c>
      <c r="B4271" t="str">
        <f t="shared" si="187"/>
        <v>0.00127%</v>
      </c>
      <c r="C4271" t="s">
        <v>10</v>
      </c>
      <c r="D4271" t="s">
        <v>10</v>
      </c>
      <c r="E4271" t="str">
        <f>"$ 9,805"</f>
        <v>$ 9,805</v>
      </c>
      <c r="F4271">
        <v>206</v>
      </c>
    </row>
    <row r="4272" spans="1:6">
      <c r="A4272" t="s">
        <v>4272</v>
      </c>
      <c r="B4272" t="str">
        <f t="shared" si="187"/>
        <v>0.00127%</v>
      </c>
      <c r="C4272" t="s">
        <v>10</v>
      </c>
      <c r="D4272" t="s">
        <v>10</v>
      </c>
      <c r="E4272" t="str">
        <f>"$ 9,826"</f>
        <v>$ 9,826</v>
      </c>
      <c r="F4272" s="1">
        <v>27528</v>
      </c>
    </row>
    <row r="4273" spans="1:6">
      <c r="A4273" t="s">
        <v>4273</v>
      </c>
      <c r="B4273" t="str">
        <f t="shared" si="187"/>
        <v>0.00127%</v>
      </c>
      <c r="C4273" t="s">
        <v>10</v>
      </c>
      <c r="D4273" t="s">
        <v>10</v>
      </c>
      <c r="E4273" t="str">
        <f>"$ 9,773"</f>
        <v>$ 9,773</v>
      </c>
      <c r="F4273">
        <v>460</v>
      </c>
    </row>
    <row r="4274" spans="1:6">
      <c r="A4274" t="s">
        <v>4274</v>
      </c>
      <c r="B4274" t="str">
        <f t="shared" si="187"/>
        <v>0.00127%</v>
      </c>
      <c r="C4274" t="s">
        <v>10</v>
      </c>
      <c r="D4274" t="s">
        <v>10</v>
      </c>
      <c r="E4274" t="str">
        <f>"$ 9,787"</f>
        <v>$ 9,787</v>
      </c>
      <c r="F4274" s="1">
        <v>5337</v>
      </c>
    </row>
    <row r="4275" spans="1:6">
      <c r="A4275" t="s">
        <v>4275</v>
      </c>
      <c r="B4275" t="str">
        <f t="shared" si="187"/>
        <v>0.00127%</v>
      </c>
      <c r="C4275" t="s">
        <v>10</v>
      </c>
      <c r="D4275" t="s">
        <v>10</v>
      </c>
      <c r="E4275" t="str">
        <f>"$ 9,824"</f>
        <v>$ 9,824</v>
      </c>
      <c r="F4275" s="1">
        <v>2109</v>
      </c>
    </row>
    <row r="4276" spans="1:6">
      <c r="A4276" t="s">
        <v>4276</v>
      </c>
      <c r="B4276" t="str">
        <f t="shared" ref="B4276:B4293" si="188">"0.00126%"</f>
        <v>0.00126%</v>
      </c>
      <c r="C4276" t="s">
        <v>10</v>
      </c>
      <c r="D4276" t="s">
        <v>10</v>
      </c>
      <c r="E4276" t="str">
        <f>"$ 9,763"</f>
        <v>$ 9,763</v>
      </c>
      <c r="F4276">
        <v>312</v>
      </c>
    </row>
    <row r="4277" spans="1:6">
      <c r="A4277" t="s">
        <v>4277</v>
      </c>
      <c r="B4277" t="str">
        <f t="shared" si="188"/>
        <v>0.00126%</v>
      </c>
      <c r="C4277" t="s">
        <v>10</v>
      </c>
      <c r="D4277" t="s">
        <v>10</v>
      </c>
      <c r="E4277" t="str">
        <f>"$ 9,734"</f>
        <v>$ 9,734</v>
      </c>
      <c r="F4277" s="1">
        <v>1639</v>
      </c>
    </row>
    <row r="4278" spans="1:6">
      <c r="A4278" t="s">
        <v>4278</v>
      </c>
      <c r="B4278" t="str">
        <f t="shared" si="188"/>
        <v>0.00126%</v>
      </c>
      <c r="C4278" t="s">
        <v>10</v>
      </c>
      <c r="D4278" t="s">
        <v>10</v>
      </c>
      <c r="E4278" t="str">
        <f>"$ 9,727"</f>
        <v>$ 9,727</v>
      </c>
      <c r="F4278">
        <v>247</v>
      </c>
    </row>
    <row r="4279" spans="1:6">
      <c r="A4279" t="s">
        <v>4279</v>
      </c>
      <c r="B4279" t="str">
        <f t="shared" si="188"/>
        <v>0.00126%</v>
      </c>
      <c r="C4279" t="s">
        <v>10</v>
      </c>
      <c r="D4279" t="s">
        <v>10</v>
      </c>
      <c r="E4279" t="str">
        <f>"$ 9,735"</f>
        <v>$ 9,735</v>
      </c>
      <c r="F4279" s="1">
        <v>1584</v>
      </c>
    </row>
    <row r="4280" spans="1:6">
      <c r="A4280" t="s">
        <v>4280</v>
      </c>
      <c r="B4280" t="str">
        <f t="shared" si="188"/>
        <v>0.00126%</v>
      </c>
      <c r="C4280" t="s">
        <v>10</v>
      </c>
      <c r="D4280" t="s">
        <v>10</v>
      </c>
      <c r="E4280" t="str">
        <f>"$ 9,749"</f>
        <v>$ 9,749</v>
      </c>
      <c r="F4280">
        <v>543</v>
      </c>
    </row>
    <row r="4281" spans="1:6">
      <c r="A4281" t="s">
        <v>4281</v>
      </c>
      <c r="B4281" t="str">
        <f t="shared" si="188"/>
        <v>0.00126%</v>
      </c>
      <c r="C4281" t="s">
        <v>10</v>
      </c>
      <c r="D4281" t="s">
        <v>10</v>
      </c>
      <c r="E4281" t="str">
        <f>"$ 9,692"</f>
        <v>$ 9,692</v>
      </c>
      <c r="F4281">
        <v>600</v>
      </c>
    </row>
    <row r="4282" spans="1:6">
      <c r="A4282" t="s">
        <v>4282</v>
      </c>
      <c r="B4282" t="str">
        <f t="shared" si="188"/>
        <v>0.00126%</v>
      </c>
      <c r="C4282" t="s">
        <v>10</v>
      </c>
      <c r="D4282" t="s">
        <v>10</v>
      </c>
      <c r="E4282" t="str">
        <f>"$ 9,699"</f>
        <v>$ 9,699</v>
      </c>
      <c r="F4282">
        <v>185</v>
      </c>
    </row>
    <row r="4283" spans="1:6">
      <c r="A4283" t="s">
        <v>4283</v>
      </c>
      <c r="B4283" t="str">
        <f t="shared" si="188"/>
        <v>0.00126%</v>
      </c>
      <c r="C4283" t="s">
        <v>10</v>
      </c>
      <c r="D4283" t="s">
        <v>10</v>
      </c>
      <c r="E4283" t="str">
        <f>"$ 9,716"</f>
        <v>$ 9,716</v>
      </c>
      <c r="F4283">
        <v>226</v>
      </c>
    </row>
    <row r="4284" spans="1:6">
      <c r="A4284" t="s">
        <v>4284</v>
      </c>
      <c r="B4284" t="str">
        <f t="shared" si="188"/>
        <v>0.00126%</v>
      </c>
      <c r="C4284" t="s">
        <v>10</v>
      </c>
      <c r="D4284" t="s">
        <v>10</v>
      </c>
      <c r="E4284" t="str">
        <f>"$ 9,744"</f>
        <v>$ 9,744</v>
      </c>
      <c r="F4284">
        <v>851</v>
      </c>
    </row>
    <row r="4285" spans="1:6">
      <c r="A4285" t="s">
        <v>4285</v>
      </c>
      <c r="B4285" t="str">
        <f t="shared" si="188"/>
        <v>0.00126%</v>
      </c>
      <c r="C4285" t="s">
        <v>10</v>
      </c>
      <c r="D4285" t="s">
        <v>10</v>
      </c>
      <c r="E4285" t="str">
        <f>"$ 9,716"</f>
        <v>$ 9,716</v>
      </c>
      <c r="F4285">
        <v>184</v>
      </c>
    </row>
    <row r="4286" spans="1:6">
      <c r="A4286" t="s">
        <v>4286</v>
      </c>
      <c r="B4286" t="str">
        <f t="shared" si="188"/>
        <v>0.00126%</v>
      </c>
      <c r="C4286" t="s">
        <v>10</v>
      </c>
      <c r="D4286" t="s">
        <v>10</v>
      </c>
      <c r="E4286" t="str">
        <f>"$ 9,743"</f>
        <v>$ 9,743</v>
      </c>
      <c r="F4286">
        <v>292</v>
      </c>
    </row>
    <row r="4287" spans="1:6">
      <c r="A4287" t="s">
        <v>4287</v>
      </c>
      <c r="B4287" t="str">
        <f t="shared" si="188"/>
        <v>0.00126%</v>
      </c>
      <c r="C4287" t="s">
        <v>10</v>
      </c>
      <c r="D4287" t="s">
        <v>10</v>
      </c>
      <c r="E4287" t="str">
        <f>"$ 9,695"</f>
        <v>$ 9,695</v>
      </c>
      <c r="F4287">
        <v>363</v>
      </c>
    </row>
    <row r="4288" spans="1:6">
      <c r="A4288" t="s">
        <v>4288</v>
      </c>
      <c r="B4288" t="str">
        <f t="shared" si="188"/>
        <v>0.00126%</v>
      </c>
      <c r="C4288" t="s">
        <v>10</v>
      </c>
      <c r="D4288" t="s">
        <v>10</v>
      </c>
      <c r="E4288" t="str">
        <f>"$ 9,730"</f>
        <v>$ 9,730</v>
      </c>
      <c r="F4288" s="1">
        <v>1884</v>
      </c>
    </row>
    <row r="4289" spans="1:6">
      <c r="A4289" t="s">
        <v>4289</v>
      </c>
      <c r="B4289" t="str">
        <f t="shared" si="188"/>
        <v>0.00126%</v>
      </c>
      <c r="C4289" t="s">
        <v>10</v>
      </c>
      <c r="D4289" t="s">
        <v>10</v>
      </c>
      <c r="E4289" t="str">
        <f>"$ 9,750"</f>
        <v>$ 9,750</v>
      </c>
      <c r="F4289" s="1">
        <v>2538</v>
      </c>
    </row>
    <row r="4290" spans="1:6">
      <c r="A4290" t="s">
        <v>4290</v>
      </c>
      <c r="B4290" t="str">
        <f t="shared" si="188"/>
        <v>0.00126%</v>
      </c>
      <c r="C4290" t="s">
        <v>10</v>
      </c>
      <c r="D4290" t="s">
        <v>10</v>
      </c>
      <c r="E4290" t="str">
        <f>"$ 9,695"</f>
        <v>$ 9,695</v>
      </c>
      <c r="F4290" s="1">
        <v>1034</v>
      </c>
    </row>
    <row r="4291" spans="1:6">
      <c r="A4291" t="s">
        <v>4291</v>
      </c>
      <c r="B4291" t="str">
        <f t="shared" si="188"/>
        <v>0.00126%</v>
      </c>
      <c r="C4291" t="s">
        <v>10</v>
      </c>
      <c r="D4291" t="s">
        <v>10</v>
      </c>
      <c r="E4291" t="str">
        <f>"$ 9,713"</f>
        <v>$ 9,713</v>
      </c>
      <c r="F4291">
        <v>273</v>
      </c>
    </row>
    <row r="4292" spans="1:6">
      <c r="A4292" t="s">
        <v>4292</v>
      </c>
      <c r="B4292" t="str">
        <f t="shared" si="188"/>
        <v>0.00126%</v>
      </c>
      <c r="C4292" t="s">
        <v>10</v>
      </c>
      <c r="D4292" t="s">
        <v>10</v>
      </c>
      <c r="E4292" t="str">
        <f>"$ 9,744"</f>
        <v>$ 9,744</v>
      </c>
      <c r="F4292">
        <v>172</v>
      </c>
    </row>
    <row r="4293" spans="1:6">
      <c r="A4293" t="s">
        <v>4293</v>
      </c>
      <c r="B4293" t="str">
        <f t="shared" si="188"/>
        <v>0.00126%</v>
      </c>
      <c r="C4293" t="s">
        <v>10</v>
      </c>
      <c r="D4293" t="s">
        <v>10</v>
      </c>
      <c r="E4293" t="str">
        <f>"$ 9,730"</f>
        <v>$ 9,730</v>
      </c>
      <c r="F4293">
        <v>193</v>
      </c>
    </row>
    <row r="4294" spans="1:6">
      <c r="A4294" t="s">
        <v>4294</v>
      </c>
      <c r="B4294" t="str">
        <f t="shared" ref="B4294:B4311" si="189">"0.00125%"</f>
        <v>0.00125%</v>
      </c>
      <c r="C4294" t="s">
        <v>10</v>
      </c>
      <c r="D4294" t="s">
        <v>10</v>
      </c>
      <c r="E4294" t="str">
        <f>"$ 9,619"</f>
        <v>$ 9,619</v>
      </c>
      <c r="F4294">
        <v>124</v>
      </c>
    </row>
    <row r="4295" spans="1:6">
      <c r="A4295" t="s">
        <v>4295</v>
      </c>
      <c r="B4295" t="str">
        <f t="shared" si="189"/>
        <v>0.00125%</v>
      </c>
      <c r="C4295" t="s">
        <v>10</v>
      </c>
      <c r="D4295" t="s">
        <v>10</v>
      </c>
      <c r="E4295" t="str">
        <f>"$ 9,642"</f>
        <v>$ 9,642</v>
      </c>
      <c r="F4295" s="1">
        <v>3383</v>
      </c>
    </row>
    <row r="4296" spans="1:6">
      <c r="A4296" t="s">
        <v>4296</v>
      </c>
      <c r="B4296" t="str">
        <f t="shared" si="189"/>
        <v>0.00125%</v>
      </c>
      <c r="C4296" t="s">
        <v>10</v>
      </c>
      <c r="D4296" t="s">
        <v>10</v>
      </c>
      <c r="E4296" t="str">
        <f>"$ 9,626"</f>
        <v>$ 9,626</v>
      </c>
      <c r="F4296">
        <v>144</v>
      </c>
    </row>
    <row r="4297" spans="1:6">
      <c r="A4297" t="s">
        <v>4297</v>
      </c>
      <c r="B4297" t="str">
        <f t="shared" si="189"/>
        <v>0.00125%</v>
      </c>
      <c r="C4297" t="s">
        <v>10</v>
      </c>
      <c r="D4297" t="s">
        <v>10</v>
      </c>
      <c r="E4297" t="str">
        <f>"$ 9,635"</f>
        <v>$ 9,635</v>
      </c>
      <c r="F4297">
        <v>664</v>
      </c>
    </row>
    <row r="4298" spans="1:6">
      <c r="A4298" t="s">
        <v>4298</v>
      </c>
      <c r="B4298" t="str">
        <f t="shared" si="189"/>
        <v>0.00125%</v>
      </c>
      <c r="C4298" t="s">
        <v>10</v>
      </c>
      <c r="D4298" t="s">
        <v>10</v>
      </c>
      <c r="E4298" t="str">
        <f>"$ 9,685"</f>
        <v>$ 9,685</v>
      </c>
      <c r="F4298">
        <v>203</v>
      </c>
    </row>
    <row r="4299" spans="1:6">
      <c r="A4299" t="s">
        <v>4299</v>
      </c>
      <c r="B4299" t="str">
        <f t="shared" si="189"/>
        <v>0.00125%</v>
      </c>
      <c r="C4299" t="s">
        <v>10</v>
      </c>
      <c r="D4299" t="s">
        <v>10</v>
      </c>
      <c r="E4299" t="str">
        <f>"$ 9,690"</f>
        <v>$ 9,690</v>
      </c>
      <c r="F4299">
        <v>3</v>
      </c>
    </row>
    <row r="4300" spans="1:6">
      <c r="A4300" t="s">
        <v>4300</v>
      </c>
      <c r="B4300" t="str">
        <f t="shared" si="189"/>
        <v>0.00125%</v>
      </c>
      <c r="C4300" t="s">
        <v>10</v>
      </c>
      <c r="D4300" t="s">
        <v>10</v>
      </c>
      <c r="E4300" t="str">
        <f>"$ 9,660"</f>
        <v>$ 9,660</v>
      </c>
      <c r="F4300" s="1">
        <v>6763</v>
      </c>
    </row>
    <row r="4301" spans="1:6">
      <c r="A4301" t="s">
        <v>4301</v>
      </c>
      <c r="B4301" t="str">
        <f t="shared" si="189"/>
        <v>0.00125%</v>
      </c>
      <c r="C4301" t="s">
        <v>10</v>
      </c>
      <c r="D4301" t="s">
        <v>10</v>
      </c>
      <c r="E4301" t="str">
        <f>"$ 9,639"</f>
        <v>$ 9,639</v>
      </c>
      <c r="F4301">
        <v>175</v>
      </c>
    </row>
    <row r="4302" spans="1:6">
      <c r="A4302" t="s">
        <v>4302</v>
      </c>
      <c r="B4302" t="str">
        <f t="shared" si="189"/>
        <v>0.00125%</v>
      </c>
      <c r="C4302" t="s">
        <v>10</v>
      </c>
      <c r="D4302" t="s">
        <v>10</v>
      </c>
      <c r="E4302" t="str">
        <f>"$ 9,622"</f>
        <v>$ 9,622</v>
      </c>
      <c r="F4302">
        <v>413</v>
      </c>
    </row>
    <row r="4303" spans="1:6">
      <c r="A4303" t="s">
        <v>4303</v>
      </c>
      <c r="B4303" t="str">
        <f t="shared" si="189"/>
        <v>0.00125%</v>
      </c>
      <c r="C4303" t="s">
        <v>10</v>
      </c>
      <c r="D4303" t="s">
        <v>10</v>
      </c>
      <c r="E4303" t="str">
        <f>"$ 9,691"</f>
        <v>$ 9,691</v>
      </c>
      <c r="F4303">
        <v>857</v>
      </c>
    </row>
    <row r="4304" spans="1:6">
      <c r="A4304" t="s">
        <v>4304</v>
      </c>
      <c r="B4304" t="str">
        <f t="shared" si="189"/>
        <v>0.00125%</v>
      </c>
      <c r="C4304" t="s">
        <v>10</v>
      </c>
      <c r="D4304" t="s">
        <v>10</v>
      </c>
      <c r="E4304" t="str">
        <f>"$ 9,627"</f>
        <v>$ 9,627</v>
      </c>
      <c r="F4304">
        <v>167</v>
      </c>
    </row>
    <row r="4305" spans="1:6">
      <c r="A4305" t="s">
        <v>4305</v>
      </c>
      <c r="B4305" t="str">
        <f t="shared" si="189"/>
        <v>0.00125%</v>
      </c>
      <c r="C4305" t="s">
        <v>10</v>
      </c>
      <c r="D4305" t="s">
        <v>10</v>
      </c>
      <c r="E4305" t="str">
        <f>"$ 9,659"</f>
        <v>$ 9,659</v>
      </c>
      <c r="F4305">
        <v>83</v>
      </c>
    </row>
    <row r="4306" spans="1:6">
      <c r="A4306" t="s">
        <v>4306</v>
      </c>
      <c r="B4306" t="str">
        <f t="shared" si="189"/>
        <v>0.00125%</v>
      </c>
      <c r="C4306" t="s">
        <v>10</v>
      </c>
      <c r="D4306" t="s">
        <v>10</v>
      </c>
      <c r="E4306" t="str">
        <f>"$ 9,676"</f>
        <v>$ 9,676</v>
      </c>
      <c r="F4306">
        <v>240</v>
      </c>
    </row>
    <row r="4307" spans="1:6">
      <c r="A4307" t="s">
        <v>4307</v>
      </c>
      <c r="B4307" t="str">
        <f t="shared" si="189"/>
        <v>0.00125%</v>
      </c>
      <c r="C4307" t="s">
        <v>10</v>
      </c>
      <c r="D4307" t="s">
        <v>10</v>
      </c>
      <c r="E4307" t="str">
        <f>"$ 9,666"</f>
        <v>$ 9,666</v>
      </c>
      <c r="F4307" s="1">
        <v>1072</v>
      </c>
    </row>
    <row r="4308" spans="1:6">
      <c r="A4308" t="s">
        <v>4308</v>
      </c>
      <c r="B4308" t="str">
        <f t="shared" si="189"/>
        <v>0.00125%</v>
      </c>
      <c r="C4308" t="s">
        <v>10</v>
      </c>
      <c r="D4308" t="s">
        <v>10</v>
      </c>
      <c r="E4308" t="str">
        <f>"$ 9,619"</f>
        <v>$ 9,619</v>
      </c>
      <c r="F4308">
        <v>395</v>
      </c>
    </row>
    <row r="4309" spans="1:6">
      <c r="A4309" t="s">
        <v>4309</v>
      </c>
      <c r="B4309" t="str">
        <f t="shared" si="189"/>
        <v>0.00125%</v>
      </c>
      <c r="C4309" t="s">
        <v>10</v>
      </c>
      <c r="D4309" t="s">
        <v>10</v>
      </c>
      <c r="E4309" t="str">
        <f>"$ 9,690"</f>
        <v>$ 9,690</v>
      </c>
      <c r="F4309" s="1">
        <v>82460</v>
      </c>
    </row>
    <row r="4310" spans="1:6">
      <c r="A4310" t="s">
        <v>4310</v>
      </c>
      <c r="B4310" t="str">
        <f t="shared" si="189"/>
        <v>0.00125%</v>
      </c>
      <c r="C4310" t="s">
        <v>10</v>
      </c>
      <c r="D4310" t="s">
        <v>10</v>
      </c>
      <c r="E4310" t="str">
        <f>"$ 9,676"</f>
        <v>$ 9,676</v>
      </c>
      <c r="F4310" s="1">
        <v>1681</v>
      </c>
    </row>
    <row r="4311" spans="1:6">
      <c r="A4311" t="s">
        <v>4311</v>
      </c>
      <c r="B4311" t="str">
        <f t="shared" si="189"/>
        <v>0.00125%</v>
      </c>
      <c r="C4311" t="s">
        <v>10</v>
      </c>
      <c r="D4311" t="s">
        <v>10</v>
      </c>
      <c r="E4311" t="str">
        <f>"$ 9,686"</f>
        <v>$ 9,686</v>
      </c>
      <c r="F4311" s="1">
        <v>1148</v>
      </c>
    </row>
    <row r="4312" spans="1:6">
      <c r="A4312" t="s">
        <v>4312</v>
      </c>
      <c r="B4312" t="str">
        <f t="shared" ref="B4312:B4328" si="190">"0.00124%"</f>
        <v>0.00124%</v>
      </c>
      <c r="C4312" t="s">
        <v>10</v>
      </c>
      <c r="D4312" t="s">
        <v>10</v>
      </c>
      <c r="E4312" t="str">
        <f>"$ 9,613"</f>
        <v>$ 9,613</v>
      </c>
      <c r="F4312">
        <v>990</v>
      </c>
    </row>
    <row r="4313" spans="1:6">
      <c r="A4313" t="s">
        <v>4313</v>
      </c>
      <c r="B4313" t="str">
        <f t="shared" si="190"/>
        <v>0.00124%</v>
      </c>
      <c r="C4313" t="s">
        <v>10</v>
      </c>
      <c r="D4313" t="s">
        <v>10</v>
      </c>
      <c r="E4313" t="str">
        <f>"$ 9,543"</f>
        <v>$ 9,543</v>
      </c>
      <c r="F4313">
        <v>924</v>
      </c>
    </row>
    <row r="4314" spans="1:6">
      <c r="A4314" t="s">
        <v>4314</v>
      </c>
      <c r="B4314" t="str">
        <f t="shared" si="190"/>
        <v>0.00124%</v>
      </c>
      <c r="C4314" t="s">
        <v>10</v>
      </c>
      <c r="D4314" t="s">
        <v>10</v>
      </c>
      <c r="E4314" t="str">
        <f>"$ 9,613"</f>
        <v>$ 9,613</v>
      </c>
      <c r="F4314">
        <v>602</v>
      </c>
    </row>
    <row r="4315" spans="1:6">
      <c r="A4315" t="s">
        <v>4315</v>
      </c>
      <c r="B4315" t="str">
        <f t="shared" si="190"/>
        <v>0.00124%</v>
      </c>
      <c r="C4315" t="s">
        <v>10</v>
      </c>
      <c r="D4315" t="s">
        <v>10</v>
      </c>
      <c r="E4315" t="str">
        <f>"$ 9,560"</f>
        <v>$ 9,560</v>
      </c>
      <c r="F4315">
        <v>211</v>
      </c>
    </row>
    <row r="4316" spans="1:6">
      <c r="A4316" t="s">
        <v>4316</v>
      </c>
      <c r="B4316" t="str">
        <f t="shared" si="190"/>
        <v>0.00124%</v>
      </c>
      <c r="C4316" t="s">
        <v>10</v>
      </c>
      <c r="D4316" t="s">
        <v>10</v>
      </c>
      <c r="E4316" t="str">
        <f>"$ 9,559"</f>
        <v>$ 9,559</v>
      </c>
      <c r="F4316">
        <v>330</v>
      </c>
    </row>
    <row r="4317" spans="1:6">
      <c r="A4317" t="s">
        <v>4317</v>
      </c>
      <c r="B4317" t="str">
        <f t="shared" si="190"/>
        <v>0.00124%</v>
      </c>
      <c r="C4317" t="s">
        <v>10</v>
      </c>
      <c r="D4317" t="s">
        <v>10</v>
      </c>
      <c r="E4317" t="str">
        <f>"$ 9,587"</f>
        <v>$ 9,587</v>
      </c>
      <c r="F4317">
        <v>121</v>
      </c>
    </row>
    <row r="4318" spans="1:6">
      <c r="A4318" t="s">
        <v>4318</v>
      </c>
      <c r="B4318" t="str">
        <f t="shared" si="190"/>
        <v>0.00124%</v>
      </c>
      <c r="C4318" t="s">
        <v>10</v>
      </c>
      <c r="D4318" t="s">
        <v>10</v>
      </c>
      <c r="E4318" t="str">
        <f>"$ 9,548"</f>
        <v>$ 9,548</v>
      </c>
      <c r="F4318">
        <v>247</v>
      </c>
    </row>
    <row r="4319" spans="1:6">
      <c r="A4319" t="s">
        <v>4319</v>
      </c>
      <c r="B4319" t="str">
        <f t="shared" si="190"/>
        <v>0.00124%</v>
      </c>
      <c r="C4319" t="s">
        <v>10</v>
      </c>
      <c r="D4319" t="s">
        <v>10</v>
      </c>
      <c r="E4319" t="str">
        <f>"$ 9,565"</f>
        <v>$ 9,565</v>
      </c>
      <c r="F4319">
        <v>561</v>
      </c>
    </row>
    <row r="4320" spans="1:6">
      <c r="A4320" t="s">
        <v>4320</v>
      </c>
      <c r="B4320" t="str">
        <f t="shared" si="190"/>
        <v>0.00124%</v>
      </c>
      <c r="C4320" t="s">
        <v>10</v>
      </c>
      <c r="D4320" t="s">
        <v>10</v>
      </c>
      <c r="E4320" t="str">
        <f>"$ 9,550"</f>
        <v>$ 9,550</v>
      </c>
      <c r="F4320">
        <v>379</v>
      </c>
    </row>
    <row r="4321" spans="1:6">
      <c r="A4321" t="s">
        <v>4321</v>
      </c>
      <c r="B4321" t="str">
        <f t="shared" si="190"/>
        <v>0.00124%</v>
      </c>
      <c r="C4321" t="s">
        <v>10</v>
      </c>
      <c r="D4321" t="s">
        <v>10</v>
      </c>
      <c r="E4321" t="str">
        <f>"$ 9,572"</f>
        <v>$ 9,572</v>
      </c>
      <c r="F4321" s="1">
        <v>1418</v>
      </c>
    </row>
    <row r="4322" spans="1:6">
      <c r="A4322" t="s">
        <v>4322</v>
      </c>
      <c r="B4322" t="str">
        <f t="shared" si="190"/>
        <v>0.00124%</v>
      </c>
      <c r="C4322" t="s">
        <v>10</v>
      </c>
      <c r="D4322" t="s">
        <v>10</v>
      </c>
      <c r="E4322" t="str">
        <f>"$ 9,568"</f>
        <v>$ 9,568</v>
      </c>
      <c r="F4322">
        <v>330</v>
      </c>
    </row>
    <row r="4323" spans="1:6">
      <c r="A4323" t="s">
        <v>4323</v>
      </c>
      <c r="B4323" t="str">
        <f t="shared" si="190"/>
        <v>0.00124%</v>
      </c>
      <c r="C4323" t="s">
        <v>10</v>
      </c>
      <c r="D4323" t="s">
        <v>10</v>
      </c>
      <c r="E4323" t="str">
        <f>"$ 9,609"</f>
        <v>$ 9,609</v>
      </c>
      <c r="F4323">
        <v>292</v>
      </c>
    </row>
    <row r="4324" spans="1:6">
      <c r="A4324" t="s">
        <v>4324</v>
      </c>
      <c r="B4324" t="str">
        <f t="shared" si="190"/>
        <v>0.00124%</v>
      </c>
      <c r="C4324" t="s">
        <v>10</v>
      </c>
      <c r="D4324" t="s">
        <v>10</v>
      </c>
      <c r="E4324" t="str">
        <f>"$ 9,537"</f>
        <v>$ 9,537</v>
      </c>
      <c r="F4324" s="1">
        <v>1979</v>
      </c>
    </row>
    <row r="4325" spans="1:6">
      <c r="A4325" t="s">
        <v>4325</v>
      </c>
      <c r="B4325" t="str">
        <f t="shared" si="190"/>
        <v>0.00124%</v>
      </c>
      <c r="C4325" t="s">
        <v>10</v>
      </c>
      <c r="D4325" t="s">
        <v>10</v>
      </c>
      <c r="E4325" t="str">
        <f>"$ 9,613"</f>
        <v>$ 9,613</v>
      </c>
      <c r="F4325">
        <v>265</v>
      </c>
    </row>
    <row r="4326" spans="1:6">
      <c r="A4326" t="s">
        <v>4326</v>
      </c>
      <c r="B4326" t="str">
        <f t="shared" si="190"/>
        <v>0.00124%</v>
      </c>
      <c r="C4326" t="s">
        <v>10</v>
      </c>
      <c r="D4326" t="s">
        <v>10</v>
      </c>
      <c r="E4326" t="str">
        <f>"$ 9,607"</f>
        <v>$ 9,607</v>
      </c>
      <c r="F4326">
        <v>870</v>
      </c>
    </row>
    <row r="4327" spans="1:6">
      <c r="A4327" t="s">
        <v>4327</v>
      </c>
      <c r="B4327" t="str">
        <f t="shared" si="190"/>
        <v>0.00124%</v>
      </c>
      <c r="C4327" t="s">
        <v>10</v>
      </c>
      <c r="D4327" t="s">
        <v>10</v>
      </c>
      <c r="E4327" t="str">
        <f>"$ 9,607"</f>
        <v>$ 9,607</v>
      </c>
      <c r="F4327">
        <v>170</v>
      </c>
    </row>
    <row r="4328" spans="1:6">
      <c r="A4328" t="s">
        <v>4328</v>
      </c>
      <c r="B4328" t="str">
        <f t="shared" si="190"/>
        <v>0.00124%</v>
      </c>
      <c r="C4328" t="s">
        <v>10</v>
      </c>
      <c r="D4328" t="s">
        <v>10</v>
      </c>
      <c r="E4328" t="str">
        <f>"$ 9,605"</f>
        <v>$ 9,605</v>
      </c>
      <c r="F4328">
        <v>95</v>
      </c>
    </row>
    <row r="4329" spans="1:6">
      <c r="A4329" t="s">
        <v>4329</v>
      </c>
      <c r="B4329" t="str">
        <f t="shared" ref="B4329:B4344" si="191">"0.00123%"</f>
        <v>0.00123%</v>
      </c>
      <c r="C4329" t="s">
        <v>10</v>
      </c>
      <c r="D4329" t="s">
        <v>10</v>
      </c>
      <c r="E4329" t="str">
        <f>"$ 9,535"</f>
        <v>$ 9,535</v>
      </c>
      <c r="F4329">
        <v>217</v>
      </c>
    </row>
    <row r="4330" spans="1:6">
      <c r="A4330" t="s">
        <v>4330</v>
      </c>
      <c r="B4330" t="str">
        <f t="shared" si="191"/>
        <v>0.00123%</v>
      </c>
      <c r="C4330" t="s">
        <v>10</v>
      </c>
      <c r="D4330" t="s">
        <v>10</v>
      </c>
      <c r="E4330" t="str">
        <f>"$ 9,536"</f>
        <v>$ 9,536</v>
      </c>
      <c r="F4330">
        <v>297</v>
      </c>
    </row>
    <row r="4331" spans="1:6">
      <c r="A4331" t="s">
        <v>4331</v>
      </c>
      <c r="B4331" t="str">
        <f t="shared" si="191"/>
        <v>0.00123%</v>
      </c>
      <c r="C4331" t="s">
        <v>10</v>
      </c>
      <c r="D4331" t="s">
        <v>10</v>
      </c>
      <c r="E4331" t="str">
        <f>"$ 9,513"</f>
        <v>$ 9,513</v>
      </c>
      <c r="F4331" s="1">
        <v>8748</v>
      </c>
    </row>
    <row r="4332" spans="1:6">
      <c r="A4332" t="s">
        <v>4332</v>
      </c>
      <c r="B4332" t="str">
        <f t="shared" si="191"/>
        <v>0.00123%</v>
      </c>
      <c r="C4332" t="s">
        <v>10</v>
      </c>
      <c r="D4332" t="s">
        <v>10</v>
      </c>
      <c r="E4332" t="str">
        <f>"$ 9,500"</f>
        <v>$ 9,500</v>
      </c>
      <c r="F4332">
        <v>841</v>
      </c>
    </row>
    <row r="4333" spans="1:6">
      <c r="A4333" t="s">
        <v>4333</v>
      </c>
      <c r="B4333" t="str">
        <f t="shared" si="191"/>
        <v>0.00123%</v>
      </c>
      <c r="C4333" t="s">
        <v>10</v>
      </c>
      <c r="D4333" t="s">
        <v>10</v>
      </c>
      <c r="E4333" t="str">
        <f>"$ 9,462"</f>
        <v>$ 9,462</v>
      </c>
      <c r="F4333" s="1">
        <v>1082</v>
      </c>
    </row>
    <row r="4334" spans="1:6">
      <c r="A4334" t="s">
        <v>4334</v>
      </c>
      <c r="B4334" t="str">
        <f t="shared" si="191"/>
        <v>0.00123%</v>
      </c>
      <c r="C4334" t="s">
        <v>10</v>
      </c>
      <c r="D4334" t="s">
        <v>10</v>
      </c>
      <c r="E4334" t="str">
        <f>"$ 9,462"</f>
        <v>$ 9,462</v>
      </c>
      <c r="F4334">
        <v>45</v>
      </c>
    </row>
    <row r="4335" spans="1:6">
      <c r="A4335" t="s">
        <v>4335</v>
      </c>
      <c r="B4335" t="str">
        <f t="shared" si="191"/>
        <v>0.00123%</v>
      </c>
      <c r="C4335" t="s">
        <v>10</v>
      </c>
      <c r="D4335" t="s">
        <v>10</v>
      </c>
      <c r="E4335" t="str">
        <f>"$ 9,486"</f>
        <v>$ 9,486</v>
      </c>
      <c r="F4335" s="1">
        <v>6633</v>
      </c>
    </row>
    <row r="4336" spans="1:6">
      <c r="A4336" t="s">
        <v>4336</v>
      </c>
      <c r="B4336" t="str">
        <f t="shared" si="191"/>
        <v>0.00123%</v>
      </c>
      <c r="C4336" t="s">
        <v>10</v>
      </c>
      <c r="D4336" t="s">
        <v>10</v>
      </c>
      <c r="E4336" t="str">
        <f>"$ 9,520"</f>
        <v>$ 9,520</v>
      </c>
      <c r="F4336">
        <v>719</v>
      </c>
    </row>
    <row r="4337" spans="1:6">
      <c r="A4337" t="s">
        <v>4337</v>
      </c>
      <c r="B4337" t="str">
        <f t="shared" si="191"/>
        <v>0.00123%</v>
      </c>
      <c r="C4337" t="s">
        <v>10</v>
      </c>
      <c r="D4337" t="s">
        <v>10</v>
      </c>
      <c r="E4337" t="str">
        <f>"$ 9,463"</f>
        <v>$ 9,463</v>
      </c>
      <c r="F4337">
        <v>2</v>
      </c>
    </row>
    <row r="4338" spans="1:6">
      <c r="A4338" t="s">
        <v>4338</v>
      </c>
      <c r="B4338" t="str">
        <f t="shared" si="191"/>
        <v>0.00123%</v>
      </c>
      <c r="C4338" t="s">
        <v>10</v>
      </c>
      <c r="D4338" t="s">
        <v>10</v>
      </c>
      <c r="E4338" t="str">
        <f>"$ 9,487"</f>
        <v>$ 9,487</v>
      </c>
      <c r="F4338" s="1">
        <v>9965</v>
      </c>
    </row>
    <row r="4339" spans="1:6">
      <c r="A4339" t="s">
        <v>4339</v>
      </c>
      <c r="B4339" t="str">
        <f t="shared" si="191"/>
        <v>0.00123%</v>
      </c>
      <c r="C4339" t="s">
        <v>10</v>
      </c>
      <c r="D4339" t="s">
        <v>10</v>
      </c>
      <c r="E4339" t="str">
        <f>"$ 9,468"</f>
        <v>$ 9,468</v>
      </c>
      <c r="F4339" s="1">
        <v>1073</v>
      </c>
    </row>
    <row r="4340" spans="1:6">
      <c r="A4340" t="s">
        <v>4340</v>
      </c>
      <c r="B4340" t="str">
        <f t="shared" si="191"/>
        <v>0.00123%</v>
      </c>
      <c r="C4340" t="s">
        <v>10</v>
      </c>
      <c r="D4340" t="s">
        <v>10</v>
      </c>
      <c r="E4340" t="str">
        <f>"$ 9,518"</f>
        <v>$ 9,518</v>
      </c>
      <c r="F4340">
        <v>767</v>
      </c>
    </row>
    <row r="4341" spans="1:6">
      <c r="A4341" t="s">
        <v>4341</v>
      </c>
      <c r="B4341" t="str">
        <f t="shared" si="191"/>
        <v>0.00123%</v>
      </c>
      <c r="C4341" t="s">
        <v>10</v>
      </c>
      <c r="D4341" t="s">
        <v>10</v>
      </c>
      <c r="E4341" t="str">
        <f>"$ 9,525"</f>
        <v>$ 9,525</v>
      </c>
      <c r="F4341" s="1">
        <v>1530</v>
      </c>
    </row>
    <row r="4342" spans="1:6">
      <c r="A4342" t="s">
        <v>4342</v>
      </c>
      <c r="B4342" t="str">
        <f t="shared" si="191"/>
        <v>0.00123%</v>
      </c>
      <c r="C4342" t="s">
        <v>10</v>
      </c>
      <c r="D4342" t="s">
        <v>10</v>
      </c>
      <c r="E4342" t="str">
        <f>"$ 9,525"</f>
        <v>$ 9,525</v>
      </c>
      <c r="F4342">
        <v>88</v>
      </c>
    </row>
    <row r="4343" spans="1:6">
      <c r="A4343" t="s">
        <v>4343</v>
      </c>
      <c r="B4343" t="str">
        <f t="shared" si="191"/>
        <v>0.00123%</v>
      </c>
      <c r="C4343" t="s">
        <v>10</v>
      </c>
      <c r="D4343" t="s">
        <v>10</v>
      </c>
      <c r="E4343" t="str">
        <f>"$ 9,534"</f>
        <v>$ 9,534</v>
      </c>
      <c r="F4343">
        <v>109</v>
      </c>
    </row>
    <row r="4344" spans="1:6">
      <c r="A4344" t="s">
        <v>4344</v>
      </c>
      <c r="B4344" t="str">
        <f t="shared" si="191"/>
        <v>0.00123%</v>
      </c>
      <c r="C4344" t="s">
        <v>10</v>
      </c>
      <c r="D4344" t="s">
        <v>10</v>
      </c>
      <c r="E4344" t="str">
        <f>"$ 9,465"</f>
        <v>$ 9,465</v>
      </c>
      <c r="F4344">
        <v>88</v>
      </c>
    </row>
    <row r="4345" spans="1:6">
      <c r="A4345" t="s">
        <v>4345</v>
      </c>
      <c r="B4345" t="str">
        <f t="shared" ref="B4345:B4353" si="192">"0.00122%"</f>
        <v>0.00122%</v>
      </c>
      <c r="C4345" t="s">
        <v>10</v>
      </c>
      <c r="D4345" t="s">
        <v>10</v>
      </c>
      <c r="E4345" t="str">
        <f>"$ 9,456"</f>
        <v>$ 9,456</v>
      </c>
      <c r="F4345" s="1">
        <v>3150</v>
      </c>
    </row>
    <row r="4346" spans="1:6">
      <c r="A4346" t="s">
        <v>4346</v>
      </c>
      <c r="B4346" t="str">
        <f t="shared" si="192"/>
        <v>0.00122%</v>
      </c>
      <c r="C4346" t="s">
        <v>10</v>
      </c>
      <c r="D4346" t="s">
        <v>10</v>
      </c>
      <c r="E4346" t="str">
        <f>"$ 9,406"</f>
        <v>$ 9,406</v>
      </c>
      <c r="F4346">
        <v>898</v>
      </c>
    </row>
    <row r="4347" spans="1:6">
      <c r="A4347" t="s">
        <v>4347</v>
      </c>
      <c r="B4347" t="str">
        <f t="shared" si="192"/>
        <v>0.00122%</v>
      </c>
      <c r="C4347" t="s">
        <v>10</v>
      </c>
      <c r="D4347" t="s">
        <v>10</v>
      </c>
      <c r="E4347" t="str">
        <f>"$ 9,385"</f>
        <v>$ 9,385</v>
      </c>
      <c r="F4347">
        <v>297</v>
      </c>
    </row>
    <row r="4348" spans="1:6">
      <c r="A4348" t="s">
        <v>4348</v>
      </c>
      <c r="B4348" t="str">
        <f t="shared" si="192"/>
        <v>0.00122%</v>
      </c>
      <c r="C4348" t="s">
        <v>10</v>
      </c>
      <c r="D4348" t="s">
        <v>10</v>
      </c>
      <c r="E4348" t="str">
        <f>"$ 9,407"</f>
        <v>$ 9,407</v>
      </c>
      <c r="F4348">
        <v>145</v>
      </c>
    </row>
    <row r="4349" spans="1:6">
      <c r="A4349" t="s">
        <v>4349</v>
      </c>
      <c r="B4349" t="str">
        <f t="shared" si="192"/>
        <v>0.00122%</v>
      </c>
      <c r="C4349" t="s">
        <v>10</v>
      </c>
      <c r="D4349" t="s">
        <v>10</v>
      </c>
      <c r="E4349" t="str">
        <f>"$ 9,435"</f>
        <v>$ 9,435</v>
      </c>
      <c r="F4349" s="1">
        <v>1849</v>
      </c>
    </row>
    <row r="4350" spans="1:6">
      <c r="A4350" t="s">
        <v>4350</v>
      </c>
      <c r="B4350" t="str">
        <f t="shared" si="192"/>
        <v>0.00122%</v>
      </c>
      <c r="C4350" t="s">
        <v>10</v>
      </c>
      <c r="D4350" t="s">
        <v>10</v>
      </c>
      <c r="E4350" t="str">
        <f>"$ 9,414"</f>
        <v>$ 9,414</v>
      </c>
      <c r="F4350">
        <v>392</v>
      </c>
    </row>
    <row r="4351" spans="1:6">
      <c r="A4351" t="s">
        <v>4351</v>
      </c>
      <c r="B4351" t="str">
        <f t="shared" si="192"/>
        <v>0.00122%</v>
      </c>
      <c r="C4351" t="s">
        <v>10</v>
      </c>
      <c r="D4351" t="s">
        <v>10</v>
      </c>
      <c r="E4351" t="str">
        <f>"$ 9,430"</f>
        <v>$ 9,430</v>
      </c>
      <c r="F4351" s="1">
        <v>2522</v>
      </c>
    </row>
    <row r="4352" spans="1:6">
      <c r="A4352" t="s">
        <v>4352</v>
      </c>
      <c r="B4352" t="str">
        <f t="shared" si="192"/>
        <v>0.00122%</v>
      </c>
      <c r="C4352" t="s">
        <v>10</v>
      </c>
      <c r="D4352" t="s">
        <v>10</v>
      </c>
      <c r="E4352" t="str">
        <f>"$ 9,449"</f>
        <v>$ 9,449</v>
      </c>
      <c r="F4352">
        <v>976</v>
      </c>
    </row>
    <row r="4353" spans="1:6">
      <c r="A4353" t="s">
        <v>4353</v>
      </c>
      <c r="B4353" t="str">
        <f t="shared" si="192"/>
        <v>0.00122%</v>
      </c>
      <c r="C4353" t="s">
        <v>10</v>
      </c>
      <c r="D4353" t="s">
        <v>10</v>
      </c>
      <c r="E4353" t="str">
        <f>"$ 9,427"</f>
        <v>$ 9,427</v>
      </c>
      <c r="F4353" s="1">
        <v>12177</v>
      </c>
    </row>
    <row r="4354" spans="1:6">
      <c r="A4354" t="s">
        <v>4354</v>
      </c>
      <c r="B4354" t="str">
        <f t="shared" ref="B4354:B4371" si="193">"0.00121%"</f>
        <v>0.00121%</v>
      </c>
      <c r="C4354" t="s">
        <v>10</v>
      </c>
      <c r="D4354" t="s">
        <v>10</v>
      </c>
      <c r="E4354" t="str">
        <f>"$ 9,353"</f>
        <v>$ 9,353</v>
      </c>
      <c r="F4354">
        <v>103</v>
      </c>
    </row>
    <row r="4355" spans="1:6">
      <c r="A4355" t="s">
        <v>4355</v>
      </c>
      <c r="B4355" t="str">
        <f t="shared" si="193"/>
        <v>0.00121%</v>
      </c>
      <c r="C4355" t="s">
        <v>10</v>
      </c>
      <c r="D4355" t="s">
        <v>10</v>
      </c>
      <c r="E4355" t="str">
        <f>"$ 9,340"</f>
        <v>$ 9,340</v>
      </c>
      <c r="F4355" s="1">
        <v>24282</v>
      </c>
    </row>
    <row r="4356" spans="1:6">
      <c r="A4356" t="s">
        <v>4356</v>
      </c>
      <c r="B4356" t="str">
        <f t="shared" si="193"/>
        <v>0.00121%</v>
      </c>
      <c r="C4356" t="s">
        <v>10</v>
      </c>
      <c r="D4356" t="s">
        <v>10</v>
      </c>
      <c r="E4356" t="str">
        <f>"$ 9,308"</f>
        <v>$ 9,308</v>
      </c>
      <c r="F4356">
        <v>660</v>
      </c>
    </row>
    <row r="4357" spans="1:6">
      <c r="A4357" t="s">
        <v>4357</v>
      </c>
      <c r="B4357" t="str">
        <f t="shared" si="193"/>
        <v>0.00121%</v>
      </c>
      <c r="C4357" t="s">
        <v>10</v>
      </c>
      <c r="D4357" t="s">
        <v>10</v>
      </c>
      <c r="E4357" t="str">
        <f>"$ 9,342"</f>
        <v>$ 9,342</v>
      </c>
      <c r="F4357">
        <v>144</v>
      </c>
    </row>
    <row r="4358" spans="1:6">
      <c r="A4358" t="s">
        <v>4358</v>
      </c>
      <c r="B4358" t="str">
        <f t="shared" si="193"/>
        <v>0.00121%</v>
      </c>
      <c r="C4358" t="s">
        <v>10</v>
      </c>
      <c r="D4358" t="s">
        <v>10</v>
      </c>
      <c r="E4358" t="str">
        <f>"$ 9,337"</f>
        <v>$ 9,337</v>
      </c>
      <c r="F4358">
        <v>598</v>
      </c>
    </row>
    <row r="4359" spans="1:6">
      <c r="A4359" t="s">
        <v>4359</v>
      </c>
      <c r="B4359" t="str">
        <f t="shared" si="193"/>
        <v>0.00121%</v>
      </c>
      <c r="C4359" t="s">
        <v>10</v>
      </c>
      <c r="D4359" t="s">
        <v>10</v>
      </c>
      <c r="E4359" t="str">
        <f>"$ 9,360"</f>
        <v>$ 9,360</v>
      </c>
      <c r="F4359">
        <v>148</v>
      </c>
    </row>
    <row r="4360" spans="1:6">
      <c r="A4360" t="s">
        <v>4360</v>
      </c>
      <c r="B4360" t="str">
        <f t="shared" si="193"/>
        <v>0.00121%</v>
      </c>
      <c r="C4360" t="s">
        <v>10</v>
      </c>
      <c r="D4360" t="s">
        <v>10</v>
      </c>
      <c r="E4360" t="str">
        <f>"$ 9,350"</f>
        <v>$ 9,350</v>
      </c>
      <c r="F4360" s="1">
        <v>1491</v>
      </c>
    </row>
    <row r="4361" spans="1:6">
      <c r="A4361" t="s">
        <v>4361</v>
      </c>
      <c r="B4361" t="str">
        <f t="shared" si="193"/>
        <v>0.00121%</v>
      </c>
      <c r="C4361" t="s">
        <v>10</v>
      </c>
      <c r="D4361" t="s">
        <v>10</v>
      </c>
      <c r="E4361" t="str">
        <f>"$ 9,317"</f>
        <v>$ 9,317</v>
      </c>
      <c r="F4361">
        <v>712</v>
      </c>
    </row>
    <row r="4362" spans="1:6">
      <c r="A4362" t="s">
        <v>4362</v>
      </c>
      <c r="B4362" t="str">
        <f t="shared" si="193"/>
        <v>0.00121%</v>
      </c>
      <c r="C4362" t="s">
        <v>10</v>
      </c>
      <c r="D4362" t="s">
        <v>10</v>
      </c>
      <c r="E4362" t="str">
        <f>"$ 9,324"</f>
        <v>$ 9,324</v>
      </c>
      <c r="F4362">
        <v>297</v>
      </c>
    </row>
    <row r="4363" spans="1:6">
      <c r="A4363" t="s">
        <v>4363</v>
      </c>
      <c r="B4363" t="str">
        <f t="shared" si="193"/>
        <v>0.00121%</v>
      </c>
      <c r="C4363" t="s">
        <v>10</v>
      </c>
      <c r="D4363" t="s">
        <v>10</v>
      </c>
      <c r="E4363" t="str">
        <f>"$ 9,343"</f>
        <v>$ 9,343</v>
      </c>
      <c r="F4363" s="1">
        <v>1154</v>
      </c>
    </row>
    <row r="4364" spans="1:6">
      <c r="A4364" t="s">
        <v>4364</v>
      </c>
      <c r="B4364" t="str">
        <f t="shared" si="193"/>
        <v>0.00121%</v>
      </c>
      <c r="C4364" t="s">
        <v>10</v>
      </c>
      <c r="D4364" t="s">
        <v>10</v>
      </c>
      <c r="E4364" t="str">
        <f>"$ 9,361"</f>
        <v>$ 9,361</v>
      </c>
      <c r="F4364">
        <v>185</v>
      </c>
    </row>
    <row r="4365" spans="1:6">
      <c r="A4365" t="s">
        <v>4365</v>
      </c>
      <c r="B4365" t="str">
        <f t="shared" si="193"/>
        <v>0.00121%</v>
      </c>
      <c r="C4365" t="s">
        <v>10</v>
      </c>
      <c r="D4365" t="s">
        <v>10</v>
      </c>
      <c r="E4365" t="str">
        <f>"$ 9,365"</f>
        <v>$ 9,365</v>
      </c>
      <c r="F4365">
        <v>137</v>
      </c>
    </row>
    <row r="4366" spans="1:6">
      <c r="A4366" t="s">
        <v>4366</v>
      </c>
      <c r="B4366" t="str">
        <f t="shared" si="193"/>
        <v>0.00121%</v>
      </c>
      <c r="C4366" t="s">
        <v>10</v>
      </c>
      <c r="D4366" t="s">
        <v>10</v>
      </c>
      <c r="E4366" t="str">
        <f>"$ 9,353"</f>
        <v>$ 9,353</v>
      </c>
      <c r="F4366" s="1">
        <v>3123</v>
      </c>
    </row>
    <row r="4367" spans="1:6">
      <c r="A4367" t="s">
        <v>4367</v>
      </c>
      <c r="B4367" t="str">
        <f t="shared" si="193"/>
        <v>0.00121%</v>
      </c>
      <c r="C4367" t="s">
        <v>10</v>
      </c>
      <c r="D4367" t="s">
        <v>10</v>
      </c>
      <c r="E4367" t="str">
        <f>"$ 9,324"</f>
        <v>$ 9,324</v>
      </c>
      <c r="F4367">
        <v>926</v>
      </c>
    </row>
    <row r="4368" spans="1:6">
      <c r="A4368" t="s">
        <v>4368</v>
      </c>
      <c r="B4368" t="str">
        <f t="shared" si="193"/>
        <v>0.00121%</v>
      </c>
      <c r="C4368" t="s">
        <v>10</v>
      </c>
      <c r="D4368" t="s">
        <v>10</v>
      </c>
      <c r="E4368" t="str">
        <f>"$ 9,373"</f>
        <v>$ 9,373</v>
      </c>
      <c r="F4368">
        <v>233</v>
      </c>
    </row>
    <row r="4369" spans="1:6">
      <c r="A4369" t="s">
        <v>4369</v>
      </c>
      <c r="B4369" t="str">
        <f t="shared" si="193"/>
        <v>0.00121%</v>
      </c>
      <c r="C4369" t="s">
        <v>10</v>
      </c>
      <c r="D4369" t="s">
        <v>10</v>
      </c>
      <c r="E4369" t="str">
        <f>"$ 9,359"</f>
        <v>$ 9,359</v>
      </c>
      <c r="F4369" s="1">
        <v>2671</v>
      </c>
    </row>
    <row r="4370" spans="1:6">
      <c r="A4370" t="s">
        <v>4370</v>
      </c>
      <c r="B4370" t="str">
        <f t="shared" si="193"/>
        <v>0.00121%</v>
      </c>
      <c r="C4370" t="s">
        <v>10</v>
      </c>
      <c r="D4370" t="s">
        <v>10</v>
      </c>
      <c r="E4370" t="str">
        <f>"$ 9,341"</f>
        <v>$ 9,341</v>
      </c>
      <c r="F4370">
        <v>138</v>
      </c>
    </row>
    <row r="4371" spans="1:6">
      <c r="A4371" t="s">
        <v>4371</v>
      </c>
      <c r="B4371" t="str">
        <f t="shared" si="193"/>
        <v>0.00121%</v>
      </c>
      <c r="C4371" t="s">
        <v>10</v>
      </c>
      <c r="D4371" t="s">
        <v>10</v>
      </c>
      <c r="E4371" t="str">
        <f>"$ 9,373"</f>
        <v>$ 9,373</v>
      </c>
      <c r="F4371">
        <v>139</v>
      </c>
    </row>
    <row r="4372" spans="1:6">
      <c r="A4372" t="s">
        <v>4372</v>
      </c>
      <c r="B4372" t="str">
        <f t="shared" ref="B4372:B4389" si="194">"0.00120%"</f>
        <v>0.00120%</v>
      </c>
      <c r="C4372" t="s">
        <v>10</v>
      </c>
      <c r="D4372" t="s">
        <v>10</v>
      </c>
      <c r="E4372" t="str">
        <f>"$ 9,260"</f>
        <v>$ 9,260</v>
      </c>
      <c r="F4372">
        <v>115</v>
      </c>
    </row>
    <row r="4373" spans="1:6">
      <c r="A4373" t="s">
        <v>4373</v>
      </c>
      <c r="B4373" t="str">
        <f t="shared" si="194"/>
        <v>0.00120%</v>
      </c>
      <c r="C4373" t="s">
        <v>10</v>
      </c>
      <c r="D4373" t="s">
        <v>10</v>
      </c>
      <c r="E4373" t="str">
        <f>"$ 9,234"</f>
        <v>$ 9,234</v>
      </c>
      <c r="F4373">
        <v>249</v>
      </c>
    </row>
    <row r="4374" spans="1:6">
      <c r="A4374" t="s">
        <v>4374</v>
      </c>
      <c r="B4374" t="str">
        <f t="shared" si="194"/>
        <v>0.00120%</v>
      </c>
      <c r="C4374" t="s">
        <v>10</v>
      </c>
      <c r="D4374" t="s">
        <v>10</v>
      </c>
      <c r="E4374" t="str">
        <f>"$ 9,269"</f>
        <v>$ 9,269</v>
      </c>
      <c r="F4374" s="1">
        <v>2280</v>
      </c>
    </row>
    <row r="4375" spans="1:6">
      <c r="A4375" t="s">
        <v>4375</v>
      </c>
      <c r="B4375" t="str">
        <f t="shared" si="194"/>
        <v>0.00120%</v>
      </c>
      <c r="C4375" t="s">
        <v>10</v>
      </c>
      <c r="D4375" t="s">
        <v>10</v>
      </c>
      <c r="E4375" t="str">
        <f>"$ 9,260"</f>
        <v>$ 9,260</v>
      </c>
      <c r="F4375">
        <v>476</v>
      </c>
    </row>
    <row r="4376" spans="1:6">
      <c r="A4376" t="s">
        <v>4376</v>
      </c>
      <c r="B4376" t="str">
        <f t="shared" si="194"/>
        <v>0.00120%</v>
      </c>
      <c r="C4376" t="s">
        <v>10</v>
      </c>
      <c r="D4376" t="s">
        <v>10</v>
      </c>
      <c r="E4376" t="str">
        <f>"$ 9,261"</f>
        <v>$ 9,261</v>
      </c>
      <c r="F4376">
        <v>7</v>
      </c>
    </row>
    <row r="4377" spans="1:6">
      <c r="A4377" t="s">
        <v>4377</v>
      </c>
      <c r="B4377" t="str">
        <f t="shared" si="194"/>
        <v>0.00120%</v>
      </c>
      <c r="C4377" t="s">
        <v>10</v>
      </c>
      <c r="D4377" t="s">
        <v>10</v>
      </c>
      <c r="E4377" t="str">
        <f>"$ 9,240"</f>
        <v>$ 9,240</v>
      </c>
      <c r="F4377">
        <v>23</v>
      </c>
    </row>
    <row r="4378" spans="1:6">
      <c r="A4378" t="s">
        <v>4378</v>
      </c>
      <c r="B4378" t="str">
        <f t="shared" si="194"/>
        <v>0.00120%</v>
      </c>
      <c r="C4378" t="s">
        <v>10</v>
      </c>
      <c r="D4378" t="s">
        <v>10</v>
      </c>
      <c r="E4378" t="str">
        <f>"$ 9,295"</f>
        <v>$ 9,295</v>
      </c>
      <c r="F4378">
        <v>946</v>
      </c>
    </row>
    <row r="4379" spans="1:6">
      <c r="A4379" t="s">
        <v>4379</v>
      </c>
      <c r="B4379" t="str">
        <f t="shared" si="194"/>
        <v>0.00120%</v>
      </c>
      <c r="C4379" t="s">
        <v>10</v>
      </c>
      <c r="D4379" t="s">
        <v>10</v>
      </c>
      <c r="E4379" t="str">
        <f>"$ 9,282"</f>
        <v>$ 9,282</v>
      </c>
      <c r="F4379" s="1">
        <v>4615</v>
      </c>
    </row>
    <row r="4380" spans="1:6">
      <c r="A4380" t="s">
        <v>4380</v>
      </c>
      <c r="B4380" t="str">
        <f t="shared" si="194"/>
        <v>0.00120%</v>
      </c>
      <c r="C4380" t="s">
        <v>10</v>
      </c>
      <c r="D4380" t="s">
        <v>10</v>
      </c>
      <c r="E4380" t="str">
        <f>"$ 9,253"</f>
        <v>$ 9,253</v>
      </c>
      <c r="F4380">
        <v>55</v>
      </c>
    </row>
    <row r="4381" spans="1:6">
      <c r="A4381" t="s">
        <v>4381</v>
      </c>
      <c r="B4381" t="str">
        <f t="shared" si="194"/>
        <v>0.00120%</v>
      </c>
      <c r="C4381" t="s">
        <v>10</v>
      </c>
      <c r="D4381" t="s">
        <v>10</v>
      </c>
      <c r="E4381" t="str">
        <f>"$ 9,296"</f>
        <v>$ 9,296</v>
      </c>
      <c r="F4381" s="1">
        <v>1629</v>
      </c>
    </row>
    <row r="4382" spans="1:6">
      <c r="A4382" t="s">
        <v>4382</v>
      </c>
      <c r="B4382" t="str">
        <f t="shared" si="194"/>
        <v>0.00120%</v>
      </c>
      <c r="C4382" t="s">
        <v>10</v>
      </c>
      <c r="D4382" t="s">
        <v>10</v>
      </c>
      <c r="E4382" t="str">
        <f>"$ 9,240"</f>
        <v>$ 9,240</v>
      </c>
      <c r="F4382" s="1">
        <v>9526</v>
      </c>
    </row>
    <row r="4383" spans="1:6">
      <c r="A4383" t="s">
        <v>4383</v>
      </c>
      <c r="B4383" t="str">
        <f t="shared" si="194"/>
        <v>0.00120%</v>
      </c>
      <c r="C4383" t="s">
        <v>10</v>
      </c>
      <c r="D4383" t="s">
        <v>10</v>
      </c>
      <c r="E4383" t="str">
        <f>"$ 9,261"</f>
        <v>$ 9,261</v>
      </c>
      <c r="F4383" s="1">
        <v>7035</v>
      </c>
    </row>
    <row r="4384" spans="1:6">
      <c r="A4384" t="s">
        <v>4384</v>
      </c>
      <c r="B4384" t="str">
        <f t="shared" si="194"/>
        <v>0.00120%</v>
      </c>
      <c r="C4384" t="s">
        <v>10</v>
      </c>
      <c r="D4384" t="s">
        <v>10</v>
      </c>
      <c r="E4384" t="str">
        <f>"$ 9,277"</f>
        <v>$ 9,277</v>
      </c>
      <c r="F4384" s="1">
        <v>33937</v>
      </c>
    </row>
    <row r="4385" spans="1:6">
      <c r="A4385" t="s">
        <v>4385</v>
      </c>
      <c r="B4385" t="str">
        <f t="shared" si="194"/>
        <v>0.00120%</v>
      </c>
      <c r="C4385" t="s">
        <v>10</v>
      </c>
      <c r="D4385" t="s">
        <v>10</v>
      </c>
      <c r="E4385" t="str">
        <f>"$ 9,256"</f>
        <v>$ 9,256</v>
      </c>
      <c r="F4385" s="1">
        <v>1158</v>
      </c>
    </row>
    <row r="4386" spans="1:6">
      <c r="A4386" t="s">
        <v>4386</v>
      </c>
      <c r="B4386" t="str">
        <f t="shared" si="194"/>
        <v>0.00120%</v>
      </c>
      <c r="C4386" t="s">
        <v>10</v>
      </c>
      <c r="D4386" t="s">
        <v>10</v>
      </c>
      <c r="E4386" t="str">
        <f>"$ 9,289"</f>
        <v>$ 9,289</v>
      </c>
      <c r="F4386">
        <v>138</v>
      </c>
    </row>
    <row r="4387" spans="1:6">
      <c r="A4387" t="s">
        <v>4387</v>
      </c>
      <c r="B4387" t="str">
        <f t="shared" si="194"/>
        <v>0.00120%</v>
      </c>
      <c r="C4387" t="s">
        <v>10</v>
      </c>
      <c r="D4387" t="s">
        <v>10</v>
      </c>
      <c r="E4387" t="str">
        <f>"$ 9,232"</f>
        <v>$ 9,232</v>
      </c>
      <c r="F4387">
        <v>639</v>
      </c>
    </row>
    <row r="4388" spans="1:6">
      <c r="A4388" t="s">
        <v>4388</v>
      </c>
      <c r="B4388" t="str">
        <f t="shared" si="194"/>
        <v>0.00120%</v>
      </c>
      <c r="C4388" t="s">
        <v>10</v>
      </c>
      <c r="D4388" t="s">
        <v>10</v>
      </c>
      <c r="E4388" t="str">
        <f>"$ 9,305"</f>
        <v>$ 9,305</v>
      </c>
      <c r="F4388">
        <v>439</v>
      </c>
    </row>
    <row r="4389" spans="1:6">
      <c r="A4389" t="s">
        <v>4389</v>
      </c>
      <c r="B4389" t="str">
        <f t="shared" si="194"/>
        <v>0.00120%</v>
      </c>
      <c r="C4389" t="s">
        <v>10</v>
      </c>
      <c r="D4389" t="s">
        <v>10</v>
      </c>
      <c r="E4389" t="str">
        <f>"$ 9,284"</f>
        <v>$ 9,284</v>
      </c>
      <c r="F4389">
        <v>170</v>
      </c>
    </row>
    <row r="4390" spans="1:6">
      <c r="A4390" t="s">
        <v>4390</v>
      </c>
      <c r="B4390" t="str">
        <f t="shared" ref="B4390:B4405" si="195">"0.00119%"</f>
        <v>0.00119%</v>
      </c>
      <c r="C4390" t="s">
        <v>10</v>
      </c>
      <c r="D4390" t="s">
        <v>10</v>
      </c>
      <c r="E4390" t="str">
        <f>"$ 9,160"</f>
        <v>$ 9,160</v>
      </c>
      <c r="F4390" s="1">
        <v>9989</v>
      </c>
    </row>
    <row r="4391" spans="1:6">
      <c r="A4391" t="s">
        <v>4391</v>
      </c>
      <c r="B4391" t="str">
        <f t="shared" si="195"/>
        <v>0.00119%</v>
      </c>
      <c r="C4391" t="s">
        <v>10</v>
      </c>
      <c r="D4391" t="s">
        <v>10</v>
      </c>
      <c r="E4391" t="str">
        <f>"$ 9,169"</f>
        <v>$ 9,169</v>
      </c>
      <c r="F4391" s="1">
        <v>1789</v>
      </c>
    </row>
    <row r="4392" spans="1:6">
      <c r="A4392" t="s">
        <v>4392</v>
      </c>
      <c r="B4392" t="str">
        <f t="shared" si="195"/>
        <v>0.00119%</v>
      </c>
      <c r="C4392" t="s">
        <v>10</v>
      </c>
      <c r="D4392" t="s">
        <v>10</v>
      </c>
      <c r="E4392" t="str">
        <f>"$ 9,181"</f>
        <v>$ 9,181</v>
      </c>
      <c r="F4392">
        <v>132</v>
      </c>
    </row>
    <row r="4393" spans="1:6">
      <c r="A4393" t="s">
        <v>4393</v>
      </c>
      <c r="B4393" t="str">
        <f t="shared" si="195"/>
        <v>0.00119%</v>
      </c>
      <c r="C4393" t="s">
        <v>10</v>
      </c>
      <c r="D4393" t="s">
        <v>10</v>
      </c>
      <c r="E4393" t="str">
        <f>"$ 9,173"</f>
        <v>$ 9,173</v>
      </c>
      <c r="F4393">
        <v>322</v>
      </c>
    </row>
    <row r="4394" spans="1:6">
      <c r="A4394" t="s">
        <v>4394</v>
      </c>
      <c r="B4394" t="str">
        <f t="shared" si="195"/>
        <v>0.00119%</v>
      </c>
      <c r="C4394" t="s">
        <v>10</v>
      </c>
      <c r="D4394" t="s">
        <v>10</v>
      </c>
      <c r="E4394" t="str">
        <f>"$ 9,216"</f>
        <v>$ 9,216</v>
      </c>
      <c r="F4394">
        <v>248</v>
      </c>
    </row>
    <row r="4395" spans="1:6">
      <c r="A4395" t="s">
        <v>4395</v>
      </c>
      <c r="B4395" t="str">
        <f t="shared" si="195"/>
        <v>0.00119%</v>
      </c>
      <c r="C4395" t="s">
        <v>10</v>
      </c>
      <c r="D4395" t="s">
        <v>10</v>
      </c>
      <c r="E4395" t="str">
        <f>"$ 9,180"</f>
        <v>$ 9,180</v>
      </c>
      <c r="F4395">
        <v>65</v>
      </c>
    </row>
    <row r="4396" spans="1:6">
      <c r="A4396" t="s">
        <v>4396</v>
      </c>
      <c r="B4396" t="str">
        <f t="shared" si="195"/>
        <v>0.00119%</v>
      </c>
      <c r="C4396" t="s">
        <v>10</v>
      </c>
      <c r="D4396" t="s">
        <v>10</v>
      </c>
      <c r="E4396" t="str">
        <f>"$ 9,215"</f>
        <v>$ 9,215</v>
      </c>
      <c r="F4396" s="1">
        <v>1032</v>
      </c>
    </row>
    <row r="4397" spans="1:6">
      <c r="A4397" t="s">
        <v>4397</v>
      </c>
      <c r="B4397" t="str">
        <f t="shared" si="195"/>
        <v>0.00119%</v>
      </c>
      <c r="C4397" t="s">
        <v>10</v>
      </c>
      <c r="D4397" t="s">
        <v>10</v>
      </c>
      <c r="E4397" t="str">
        <f>"$ 9,202"</f>
        <v>$ 9,202</v>
      </c>
      <c r="F4397" s="1">
        <v>16165</v>
      </c>
    </row>
    <row r="4398" spans="1:6">
      <c r="A4398" t="s">
        <v>4398</v>
      </c>
      <c r="B4398" t="str">
        <f t="shared" si="195"/>
        <v>0.00119%</v>
      </c>
      <c r="C4398" t="s">
        <v>10</v>
      </c>
      <c r="D4398" t="s">
        <v>10</v>
      </c>
      <c r="E4398" t="str">
        <f>"$ 9,227"</f>
        <v>$ 9,227</v>
      </c>
      <c r="F4398">
        <v>197</v>
      </c>
    </row>
    <row r="4399" spans="1:6">
      <c r="A4399" t="s">
        <v>4399</v>
      </c>
      <c r="B4399" t="str">
        <f t="shared" si="195"/>
        <v>0.00119%</v>
      </c>
      <c r="C4399" t="s">
        <v>10</v>
      </c>
      <c r="D4399" t="s">
        <v>10</v>
      </c>
      <c r="E4399" t="str">
        <f>"$ 9,214"</f>
        <v>$ 9,214</v>
      </c>
      <c r="F4399">
        <v>246</v>
      </c>
    </row>
    <row r="4400" spans="1:6">
      <c r="A4400" t="s">
        <v>4400</v>
      </c>
      <c r="B4400" t="str">
        <f t="shared" si="195"/>
        <v>0.00119%</v>
      </c>
      <c r="C4400" t="s">
        <v>10</v>
      </c>
      <c r="D4400" t="s">
        <v>10</v>
      </c>
      <c r="E4400" t="str">
        <f>"$ 9,173"</f>
        <v>$ 9,173</v>
      </c>
      <c r="F4400">
        <v>116</v>
      </c>
    </row>
    <row r="4401" spans="1:6">
      <c r="A4401" t="s">
        <v>4401</v>
      </c>
      <c r="B4401" t="str">
        <f t="shared" si="195"/>
        <v>0.00119%</v>
      </c>
      <c r="C4401" t="s">
        <v>10</v>
      </c>
      <c r="D4401" t="s">
        <v>10</v>
      </c>
      <c r="E4401" t="str">
        <f>"$ 9,174"</f>
        <v>$ 9,174</v>
      </c>
      <c r="F4401" s="1">
        <v>5046</v>
      </c>
    </row>
    <row r="4402" spans="1:6">
      <c r="A4402" t="s">
        <v>4402</v>
      </c>
      <c r="B4402" t="str">
        <f t="shared" si="195"/>
        <v>0.00119%</v>
      </c>
      <c r="C4402" t="s">
        <v>10</v>
      </c>
      <c r="D4402" t="s">
        <v>10</v>
      </c>
      <c r="E4402" t="str">
        <f>"$ 9,187"</f>
        <v>$ 9,187</v>
      </c>
      <c r="F4402" s="1">
        <v>5919</v>
      </c>
    </row>
    <row r="4403" spans="1:6">
      <c r="A4403" t="s">
        <v>4403</v>
      </c>
      <c r="B4403" t="str">
        <f t="shared" si="195"/>
        <v>0.00119%</v>
      </c>
      <c r="C4403" t="s">
        <v>10</v>
      </c>
      <c r="D4403" t="s">
        <v>10</v>
      </c>
      <c r="E4403" t="str">
        <f>"$ 9,158"</f>
        <v>$ 9,158</v>
      </c>
      <c r="F4403" s="1">
        <v>5539</v>
      </c>
    </row>
    <row r="4404" spans="1:6">
      <c r="A4404" t="s">
        <v>4404</v>
      </c>
      <c r="B4404" t="str">
        <f t="shared" si="195"/>
        <v>0.00119%</v>
      </c>
      <c r="C4404" t="s">
        <v>10</v>
      </c>
      <c r="D4404" t="s">
        <v>10</v>
      </c>
      <c r="E4404" t="str">
        <f>"$ 9,173"</f>
        <v>$ 9,173</v>
      </c>
      <c r="F4404">
        <v>172</v>
      </c>
    </row>
    <row r="4405" spans="1:6">
      <c r="A4405" t="s">
        <v>4405</v>
      </c>
      <c r="B4405" t="str">
        <f t="shared" si="195"/>
        <v>0.00119%</v>
      </c>
      <c r="C4405" t="s">
        <v>10</v>
      </c>
      <c r="D4405" t="s">
        <v>10</v>
      </c>
      <c r="E4405" t="str">
        <f>"$ 9,167"</f>
        <v>$ 9,167</v>
      </c>
      <c r="F4405" s="1">
        <v>5293</v>
      </c>
    </row>
    <row r="4406" spans="1:6">
      <c r="A4406" t="s">
        <v>4406</v>
      </c>
      <c r="B4406" t="str">
        <f t="shared" ref="B4406:B4426" si="196">"0.00118%"</f>
        <v>0.00118%</v>
      </c>
      <c r="C4406" t="s">
        <v>10</v>
      </c>
      <c r="D4406" t="s">
        <v>10</v>
      </c>
      <c r="E4406" t="str">
        <f>"$ 9,098"</f>
        <v>$ 9,098</v>
      </c>
      <c r="F4406" s="1">
        <v>1831</v>
      </c>
    </row>
    <row r="4407" spans="1:6">
      <c r="A4407" t="s">
        <v>4407</v>
      </c>
      <c r="B4407" t="str">
        <f t="shared" si="196"/>
        <v>0.00118%</v>
      </c>
      <c r="C4407" t="s">
        <v>10</v>
      </c>
      <c r="D4407" t="s">
        <v>10</v>
      </c>
      <c r="E4407" t="str">
        <f>"$ 9,130"</f>
        <v>$ 9,130</v>
      </c>
      <c r="F4407">
        <v>206</v>
      </c>
    </row>
    <row r="4408" spans="1:6">
      <c r="A4408" t="s">
        <v>4408</v>
      </c>
      <c r="B4408" t="str">
        <f t="shared" si="196"/>
        <v>0.00118%</v>
      </c>
      <c r="C4408" t="s">
        <v>10</v>
      </c>
      <c r="D4408" t="s">
        <v>10</v>
      </c>
      <c r="E4408" t="str">
        <f>"$ 9,131"</f>
        <v>$ 9,131</v>
      </c>
      <c r="F4408" s="1">
        <v>3014</v>
      </c>
    </row>
    <row r="4409" spans="1:6">
      <c r="A4409" t="s">
        <v>4409</v>
      </c>
      <c r="B4409" t="str">
        <f t="shared" si="196"/>
        <v>0.00118%</v>
      </c>
      <c r="C4409" t="s">
        <v>10</v>
      </c>
      <c r="D4409" t="s">
        <v>10</v>
      </c>
      <c r="E4409" t="str">
        <f>"$ 9,106"</f>
        <v>$ 9,106</v>
      </c>
      <c r="F4409">
        <v>429</v>
      </c>
    </row>
    <row r="4410" spans="1:6">
      <c r="A4410" t="s">
        <v>4410</v>
      </c>
      <c r="B4410" t="str">
        <f t="shared" si="196"/>
        <v>0.00118%</v>
      </c>
      <c r="C4410" t="s">
        <v>10</v>
      </c>
      <c r="D4410" t="s">
        <v>10</v>
      </c>
      <c r="E4410" t="str">
        <f>"$ 9,147"</f>
        <v>$ 9,147</v>
      </c>
      <c r="F4410" s="1">
        <v>9298</v>
      </c>
    </row>
    <row r="4411" spans="1:6">
      <c r="A4411" t="s">
        <v>4411</v>
      </c>
      <c r="B4411" t="str">
        <f t="shared" si="196"/>
        <v>0.00118%</v>
      </c>
      <c r="C4411" t="s">
        <v>10</v>
      </c>
      <c r="D4411" t="s">
        <v>10</v>
      </c>
      <c r="E4411" t="str">
        <f>"$ 9,074"</f>
        <v>$ 9,074</v>
      </c>
      <c r="F4411">
        <v>411</v>
      </c>
    </row>
    <row r="4412" spans="1:6">
      <c r="A4412" t="s">
        <v>4412</v>
      </c>
      <c r="B4412" t="str">
        <f t="shared" si="196"/>
        <v>0.00118%</v>
      </c>
      <c r="C4412" t="s">
        <v>10</v>
      </c>
      <c r="D4412" t="s">
        <v>10</v>
      </c>
      <c r="E4412" t="str">
        <f>"$ 9,102"</f>
        <v>$ 9,102</v>
      </c>
      <c r="F4412" s="1">
        <v>4652</v>
      </c>
    </row>
    <row r="4413" spans="1:6">
      <c r="A4413" t="s">
        <v>4413</v>
      </c>
      <c r="B4413" t="str">
        <f t="shared" si="196"/>
        <v>0.00118%</v>
      </c>
      <c r="C4413" t="s">
        <v>10</v>
      </c>
      <c r="D4413" t="s">
        <v>10</v>
      </c>
      <c r="E4413" t="str">
        <f>"$ 9,112"</f>
        <v>$ 9,112</v>
      </c>
      <c r="F4413">
        <v>322</v>
      </c>
    </row>
    <row r="4414" spans="1:6">
      <c r="A4414" t="s">
        <v>4414</v>
      </c>
      <c r="B4414" t="str">
        <f t="shared" si="196"/>
        <v>0.00118%</v>
      </c>
      <c r="C4414" t="s">
        <v>10</v>
      </c>
      <c r="D4414" t="s">
        <v>10</v>
      </c>
      <c r="E4414" t="str">
        <f>"$ 9,110"</f>
        <v>$ 9,110</v>
      </c>
      <c r="F4414">
        <v>986</v>
      </c>
    </row>
    <row r="4415" spans="1:6">
      <c r="A4415" t="s">
        <v>4415</v>
      </c>
      <c r="B4415" t="str">
        <f t="shared" si="196"/>
        <v>0.00118%</v>
      </c>
      <c r="C4415" t="s">
        <v>10</v>
      </c>
      <c r="D4415" t="s">
        <v>10</v>
      </c>
      <c r="E4415" t="str">
        <f>"$ 9,146"</f>
        <v>$ 9,146</v>
      </c>
      <c r="F4415">
        <v>264</v>
      </c>
    </row>
    <row r="4416" spans="1:6">
      <c r="A4416" t="s">
        <v>4416</v>
      </c>
      <c r="B4416" t="str">
        <f t="shared" si="196"/>
        <v>0.00118%</v>
      </c>
      <c r="C4416" t="s">
        <v>10</v>
      </c>
      <c r="D4416" t="s">
        <v>10</v>
      </c>
      <c r="E4416" t="str">
        <f>"$ 9,075"</f>
        <v>$ 9,075</v>
      </c>
      <c r="F4416">
        <v>429</v>
      </c>
    </row>
    <row r="4417" spans="1:6">
      <c r="A4417" t="s">
        <v>4417</v>
      </c>
      <c r="B4417" t="str">
        <f t="shared" si="196"/>
        <v>0.00118%</v>
      </c>
      <c r="C4417" t="s">
        <v>10</v>
      </c>
      <c r="D4417" t="s">
        <v>10</v>
      </c>
      <c r="E4417" t="str">
        <f>"$ 9,079"</f>
        <v>$ 9,079</v>
      </c>
      <c r="F4417">
        <v>226</v>
      </c>
    </row>
    <row r="4418" spans="1:6">
      <c r="A4418" t="s">
        <v>4418</v>
      </c>
      <c r="B4418" t="str">
        <f t="shared" si="196"/>
        <v>0.00118%</v>
      </c>
      <c r="C4418" t="s">
        <v>10</v>
      </c>
      <c r="D4418" t="s">
        <v>10</v>
      </c>
      <c r="E4418" t="str">
        <f>"$ 9,080"</f>
        <v>$ 9,080</v>
      </c>
      <c r="F4418">
        <v>280</v>
      </c>
    </row>
    <row r="4419" spans="1:6">
      <c r="A4419" t="s">
        <v>4419</v>
      </c>
      <c r="B4419" t="str">
        <f t="shared" si="196"/>
        <v>0.00118%</v>
      </c>
      <c r="C4419" t="s">
        <v>10</v>
      </c>
      <c r="D4419" t="s">
        <v>10</v>
      </c>
      <c r="E4419" t="str">
        <f>"$ 9,136"</f>
        <v>$ 9,136</v>
      </c>
      <c r="F4419">
        <v>793</v>
      </c>
    </row>
    <row r="4420" spans="1:6">
      <c r="A4420" t="s">
        <v>4420</v>
      </c>
      <c r="B4420" t="str">
        <f t="shared" si="196"/>
        <v>0.00118%</v>
      </c>
      <c r="C4420" t="s">
        <v>10</v>
      </c>
      <c r="D4420" t="s">
        <v>10</v>
      </c>
      <c r="E4420" t="str">
        <f>"$ 9,106"</f>
        <v>$ 9,106</v>
      </c>
      <c r="F4420" s="1">
        <v>13859</v>
      </c>
    </row>
    <row r="4421" spans="1:6">
      <c r="A4421" t="s">
        <v>4421</v>
      </c>
      <c r="B4421" t="str">
        <f t="shared" si="196"/>
        <v>0.00118%</v>
      </c>
      <c r="C4421" t="s">
        <v>10</v>
      </c>
      <c r="D4421" t="s">
        <v>10</v>
      </c>
      <c r="E4421" t="str">
        <f>"$ 9,082"</f>
        <v>$ 9,082</v>
      </c>
      <c r="F4421">
        <v>364</v>
      </c>
    </row>
    <row r="4422" spans="1:6">
      <c r="A4422" t="s">
        <v>4422</v>
      </c>
      <c r="B4422" t="str">
        <f t="shared" si="196"/>
        <v>0.00118%</v>
      </c>
      <c r="C4422" t="s">
        <v>10</v>
      </c>
      <c r="D4422" t="s">
        <v>10</v>
      </c>
      <c r="E4422" t="str">
        <f>"$ 9,075"</f>
        <v>$ 9,075</v>
      </c>
      <c r="F4422" s="1">
        <v>3079</v>
      </c>
    </row>
    <row r="4423" spans="1:6">
      <c r="A4423" t="s">
        <v>4423</v>
      </c>
      <c r="B4423" t="str">
        <f t="shared" si="196"/>
        <v>0.00118%</v>
      </c>
      <c r="C4423" t="s">
        <v>10</v>
      </c>
      <c r="D4423" t="s">
        <v>10</v>
      </c>
      <c r="E4423" t="str">
        <f>"$ 9,137"</f>
        <v>$ 9,137</v>
      </c>
      <c r="F4423">
        <v>85</v>
      </c>
    </row>
    <row r="4424" spans="1:6">
      <c r="A4424" t="s">
        <v>4424</v>
      </c>
      <c r="B4424" t="str">
        <f t="shared" si="196"/>
        <v>0.00118%</v>
      </c>
      <c r="C4424" t="s">
        <v>10</v>
      </c>
      <c r="D4424" t="s">
        <v>10</v>
      </c>
      <c r="E4424" t="str">
        <f>"$ 9,096"</f>
        <v>$ 9,096</v>
      </c>
      <c r="F4424">
        <v>710</v>
      </c>
    </row>
    <row r="4425" spans="1:6">
      <c r="A4425" t="s">
        <v>4425</v>
      </c>
      <c r="B4425" t="str">
        <f t="shared" si="196"/>
        <v>0.00118%</v>
      </c>
      <c r="C4425" t="s">
        <v>10</v>
      </c>
      <c r="D4425" t="s">
        <v>10</v>
      </c>
      <c r="E4425" t="str">
        <f>"$ 9,122"</f>
        <v>$ 9,122</v>
      </c>
      <c r="F4425">
        <v>672</v>
      </c>
    </row>
    <row r="4426" spans="1:6">
      <c r="A4426" t="s">
        <v>4426</v>
      </c>
      <c r="B4426" t="str">
        <f t="shared" si="196"/>
        <v>0.00118%</v>
      </c>
      <c r="C4426" t="s">
        <v>10</v>
      </c>
      <c r="D4426" t="s">
        <v>10</v>
      </c>
      <c r="E4426" t="str">
        <f>"$ 9,083"</f>
        <v>$ 9,083</v>
      </c>
      <c r="F4426" s="1">
        <v>1877</v>
      </c>
    </row>
    <row r="4427" spans="1:6">
      <c r="A4427" t="s">
        <v>4427</v>
      </c>
      <c r="B4427" t="str">
        <f t="shared" ref="B4427:B4446" si="197">"0.00117%"</f>
        <v>0.00117%</v>
      </c>
      <c r="C4427" t="s">
        <v>10</v>
      </c>
      <c r="D4427" t="s">
        <v>10</v>
      </c>
      <c r="E4427" t="str">
        <f>"$ 9,006"</f>
        <v>$ 9,006</v>
      </c>
      <c r="F4427">
        <v>189</v>
      </c>
    </row>
    <row r="4428" spans="1:6">
      <c r="A4428" t="s">
        <v>4428</v>
      </c>
      <c r="B4428" t="str">
        <f t="shared" si="197"/>
        <v>0.00117%</v>
      </c>
      <c r="C4428" t="s">
        <v>10</v>
      </c>
      <c r="D4428" t="s">
        <v>10</v>
      </c>
      <c r="E4428" t="str">
        <f>"$ 8,999"</f>
        <v>$ 8,999</v>
      </c>
      <c r="F4428" s="1">
        <v>4649</v>
      </c>
    </row>
    <row r="4429" spans="1:6">
      <c r="A4429" t="s">
        <v>4429</v>
      </c>
      <c r="B4429" t="str">
        <f t="shared" si="197"/>
        <v>0.00117%</v>
      </c>
      <c r="C4429" t="s">
        <v>10</v>
      </c>
      <c r="D4429" t="s">
        <v>10</v>
      </c>
      <c r="E4429" t="str">
        <f>"$ 9,021"</f>
        <v>$ 9,021</v>
      </c>
      <c r="F4429" s="1">
        <v>2863</v>
      </c>
    </row>
    <row r="4430" spans="1:6">
      <c r="A4430" t="s">
        <v>4430</v>
      </c>
      <c r="B4430" t="str">
        <f t="shared" si="197"/>
        <v>0.00117%</v>
      </c>
      <c r="C4430" t="s">
        <v>10</v>
      </c>
      <c r="D4430" t="s">
        <v>10</v>
      </c>
      <c r="E4430" t="str">
        <f>"$ 9,046"</f>
        <v>$ 9,046</v>
      </c>
      <c r="F4430">
        <v>40</v>
      </c>
    </row>
    <row r="4431" spans="1:6">
      <c r="A4431" t="s">
        <v>4431</v>
      </c>
      <c r="B4431" t="str">
        <f t="shared" si="197"/>
        <v>0.00117%</v>
      </c>
      <c r="C4431" t="s">
        <v>10</v>
      </c>
      <c r="D4431" t="s">
        <v>10</v>
      </c>
      <c r="E4431" t="str">
        <f>"$ 9,058"</f>
        <v>$ 9,058</v>
      </c>
      <c r="F4431">
        <v>266</v>
      </c>
    </row>
    <row r="4432" spans="1:6">
      <c r="A4432" t="s">
        <v>4432</v>
      </c>
      <c r="B4432" t="str">
        <f t="shared" si="197"/>
        <v>0.00117%</v>
      </c>
      <c r="C4432" t="s">
        <v>10</v>
      </c>
      <c r="D4432" t="s">
        <v>10</v>
      </c>
      <c r="E4432" t="str">
        <f>"$ 9,037"</f>
        <v>$ 9,037</v>
      </c>
      <c r="F4432">
        <v>797</v>
      </c>
    </row>
    <row r="4433" spans="1:6">
      <c r="A4433" t="s">
        <v>4433</v>
      </c>
      <c r="B4433" t="str">
        <f t="shared" si="197"/>
        <v>0.00117%</v>
      </c>
      <c r="C4433" t="s">
        <v>10</v>
      </c>
      <c r="D4433" t="s">
        <v>10</v>
      </c>
      <c r="E4433" t="str">
        <f>"$ 9,009"</f>
        <v>$ 9,009</v>
      </c>
      <c r="F4433">
        <v>115</v>
      </c>
    </row>
    <row r="4434" spans="1:6">
      <c r="A4434" t="s">
        <v>4434</v>
      </c>
      <c r="B4434" t="str">
        <f t="shared" si="197"/>
        <v>0.00117%</v>
      </c>
      <c r="C4434" t="s">
        <v>10</v>
      </c>
      <c r="D4434" t="s">
        <v>10</v>
      </c>
      <c r="E4434" t="str">
        <f>"$ 9,013"</f>
        <v>$ 9,013</v>
      </c>
      <c r="F4434">
        <v>219</v>
      </c>
    </row>
    <row r="4435" spans="1:6">
      <c r="A4435" t="s">
        <v>4435</v>
      </c>
      <c r="B4435" t="str">
        <f t="shared" si="197"/>
        <v>0.00117%</v>
      </c>
      <c r="C4435" t="s">
        <v>10</v>
      </c>
      <c r="D4435" t="s">
        <v>10</v>
      </c>
      <c r="E4435" t="str">
        <f>"$ 9,009"</f>
        <v>$ 9,009</v>
      </c>
      <c r="F4435">
        <v>690</v>
      </c>
    </row>
    <row r="4436" spans="1:6">
      <c r="A4436" t="s">
        <v>4436</v>
      </c>
      <c r="B4436" t="str">
        <f t="shared" si="197"/>
        <v>0.00117%</v>
      </c>
      <c r="C4436" t="s">
        <v>10</v>
      </c>
      <c r="D4436" t="s">
        <v>10</v>
      </c>
      <c r="E4436" t="str">
        <f>"$ 8,996"</f>
        <v>$ 8,996</v>
      </c>
      <c r="F4436" s="1">
        <v>17426</v>
      </c>
    </row>
    <row r="4437" spans="1:6">
      <c r="A4437" t="s">
        <v>4437</v>
      </c>
      <c r="B4437" t="str">
        <f t="shared" si="197"/>
        <v>0.00117%</v>
      </c>
      <c r="C4437" t="s">
        <v>10</v>
      </c>
      <c r="D4437" t="s">
        <v>10</v>
      </c>
      <c r="E4437" t="str">
        <f>"$ 9,061"</f>
        <v>$ 9,061</v>
      </c>
      <c r="F4437" s="1">
        <v>1204</v>
      </c>
    </row>
    <row r="4438" spans="1:6">
      <c r="A4438" t="s">
        <v>4438</v>
      </c>
      <c r="B4438" t="str">
        <f t="shared" si="197"/>
        <v>0.00117%</v>
      </c>
      <c r="C4438" t="s">
        <v>10</v>
      </c>
      <c r="D4438" t="s">
        <v>10</v>
      </c>
      <c r="E4438" t="str">
        <f>"$ 9,051"</f>
        <v>$ 9,051</v>
      </c>
      <c r="F4438">
        <v>907</v>
      </c>
    </row>
    <row r="4439" spans="1:6">
      <c r="A4439" t="s">
        <v>4439</v>
      </c>
      <c r="B4439" t="str">
        <f t="shared" si="197"/>
        <v>0.00117%</v>
      </c>
      <c r="C4439" t="s">
        <v>10</v>
      </c>
      <c r="D4439" t="s">
        <v>10</v>
      </c>
      <c r="E4439" t="str">
        <f>"$ 9,018"</f>
        <v>$ 9,018</v>
      </c>
      <c r="F4439">
        <v>261</v>
      </c>
    </row>
    <row r="4440" spans="1:6">
      <c r="A4440" t="s">
        <v>4440</v>
      </c>
      <c r="B4440" t="str">
        <f t="shared" si="197"/>
        <v>0.00117%</v>
      </c>
      <c r="C4440" t="s">
        <v>10</v>
      </c>
      <c r="D4440" t="s">
        <v>10</v>
      </c>
      <c r="E4440" t="str">
        <f>"$ 9,065"</f>
        <v>$ 9,065</v>
      </c>
      <c r="F4440" s="1">
        <v>134884</v>
      </c>
    </row>
    <row r="4441" spans="1:6">
      <c r="A4441" t="s">
        <v>4441</v>
      </c>
      <c r="B4441" t="str">
        <f t="shared" si="197"/>
        <v>0.00117%</v>
      </c>
      <c r="C4441" t="s">
        <v>10</v>
      </c>
      <c r="D4441" t="s">
        <v>10</v>
      </c>
      <c r="E4441" t="str">
        <f>"$ 9,010"</f>
        <v>$ 9,010</v>
      </c>
      <c r="F4441" s="1">
        <v>7699</v>
      </c>
    </row>
    <row r="4442" spans="1:6">
      <c r="A4442" t="s">
        <v>4442</v>
      </c>
      <c r="B4442" t="str">
        <f t="shared" si="197"/>
        <v>0.00117%</v>
      </c>
      <c r="C4442" t="s">
        <v>10</v>
      </c>
      <c r="D4442" t="s">
        <v>10</v>
      </c>
      <c r="E4442" t="str">
        <f>"$ 9,001"</f>
        <v>$ 9,001</v>
      </c>
      <c r="F4442" s="1">
        <v>17448</v>
      </c>
    </row>
    <row r="4443" spans="1:6">
      <c r="A4443" t="s">
        <v>4443</v>
      </c>
      <c r="B4443" t="str">
        <f t="shared" si="197"/>
        <v>0.00117%</v>
      </c>
      <c r="C4443" t="s">
        <v>10</v>
      </c>
      <c r="D4443" t="s">
        <v>10</v>
      </c>
      <c r="E4443" t="str">
        <f>"$ 9,008"</f>
        <v>$ 9,008</v>
      </c>
      <c r="F4443">
        <v>41</v>
      </c>
    </row>
    <row r="4444" spans="1:6">
      <c r="A4444" t="s">
        <v>4444</v>
      </c>
      <c r="B4444" t="str">
        <f t="shared" si="197"/>
        <v>0.00117%</v>
      </c>
      <c r="C4444" t="s">
        <v>10</v>
      </c>
      <c r="D4444" t="s">
        <v>10</v>
      </c>
      <c r="E4444" t="str">
        <f>"$ 9,046"</f>
        <v>$ 9,046</v>
      </c>
      <c r="F4444">
        <v>330</v>
      </c>
    </row>
    <row r="4445" spans="1:6">
      <c r="A4445" t="s">
        <v>4445</v>
      </c>
      <c r="B4445" t="str">
        <f t="shared" si="197"/>
        <v>0.00117%</v>
      </c>
      <c r="C4445" t="s">
        <v>10</v>
      </c>
      <c r="D4445" t="s">
        <v>10</v>
      </c>
      <c r="E4445" t="str">
        <f>"$ 9,050"</f>
        <v>$ 9,050</v>
      </c>
      <c r="F4445">
        <v>391</v>
      </c>
    </row>
    <row r="4446" spans="1:6">
      <c r="A4446" t="s">
        <v>4446</v>
      </c>
      <c r="B4446" t="str">
        <f t="shared" si="197"/>
        <v>0.00117%</v>
      </c>
      <c r="C4446" t="s">
        <v>10</v>
      </c>
      <c r="D4446" t="s">
        <v>10</v>
      </c>
      <c r="E4446" t="str">
        <f>"$ 9,036"</f>
        <v>$ 9,036</v>
      </c>
      <c r="F4446">
        <v>257</v>
      </c>
    </row>
    <row r="4447" spans="1:6">
      <c r="A4447" t="s">
        <v>4447</v>
      </c>
      <c r="B4447" t="str">
        <f t="shared" ref="B4447:B4468" si="198">"0.00116%"</f>
        <v>0.00116%</v>
      </c>
      <c r="C4447" t="s">
        <v>10</v>
      </c>
      <c r="D4447" t="s">
        <v>10</v>
      </c>
      <c r="E4447" t="str">
        <f>"$ 8,980"</f>
        <v>$ 8,980</v>
      </c>
      <c r="F4447">
        <v>71</v>
      </c>
    </row>
    <row r="4448" spans="1:6">
      <c r="A4448" t="s">
        <v>4448</v>
      </c>
      <c r="B4448" t="str">
        <f t="shared" si="198"/>
        <v>0.00116%</v>
      </c>
      <c r="C4448" t="s">
        <v>10</v>
      </c>
      <c r="D4448" t="s">
        <v>10</v>
      </c>
      <c r="E4448" t="str">
        <f>"$ 8,981"</f>
        <v>$ 8,981</v>
      </c>
      <c r="F4448">
        <v>413</v>
      </c>
    </row>
    <row r="4449" spans="1:6">
      <c r="A4449" t="s">
        <v>4449</v>
      </c>
      <c r="B4449" t="str">
        <f t="shared" si="198"/>
        <v>0.00116%</v>
      </c>
      <c r="C4449" t="s">
        <v>10</v>
      </c>
      <c r="D4449" t="s">
        <v>10</v>
      </c>
      <c r="E4449" t="str">
        <f>"$ 8,937"</f>
        <v>$ 8,937</v>
      </c>
      <c r="F4449" s="1">
        <v>1865</v>
      </c>
    </row>
    <row r="4450" spans="1:6">
      <c r="A4450" t="s">
        <v>4450</v>
      </c>
      <c r="B4450" t="str">
        <f t="shared" si="198"/>
        <v>0.00116%</v>
      </c>
      <c r="C4450" t="s">
        <v>10</v>
      </c>
      <c r="D4450" t="s">
        <v>10</v>
      </c>
      <c r="E4450" t="str">
        <f>"$ 8,990"</f>
        <v>$ 8,990</v>
      </c>
      <c r="F4450">
        <v>286</v>
      </c>
    </row>
    <row r="4451" spans="1:6">
      <c r="A4451" t="s">
        <v>4451</v>
      </c>
      <c r="B4451" t="str">
        <f t="shared" si="198"/>
        <v>0.00116%</v>
      </c>
      <c r="C4451" t="s">
        <v>10</v>
      </c>
      <c r="D4451" t="s">
        <v>10</v>
      </c>
      <c r="E4451" t="str">
        <f>"$ 8,943"</f>
        <v>$ 8,943</v>
      </c>
      <c r="F4451">
        <v>139</v>
      </c>
    </row>
    <row r="4452" spans="1:6">
      <c r="A4452" t="s">
        <v>4452</v>
      </c>
      <c r="B4452" t="str">
        <f t="shared" si="198"/>
        <v>0.00116%</v>
      </c>
      <c r="C4452" t="s">
        <v>10</v>
      </c>
      <c r="D4452" t="s">
        <v>10</v>
      </c>
      <c r="E4452" t="str">
        <f>"$ 8,989"</f>
        <v>$ 8,989</v>
      </c>
      <c r="F4452">
        <v>330</v>
      </c>
    </row>
    <row r="4453" spans="1:6">
      <c r="A4453" t="s">
        <v>4453</v>
      </c>
      <c r="B4453" t="str">
        <f t="shared" si="198"/>
        <v>0.00116%</v>
      </c>
      <c r="C4453" t="s">
        <v>10</v>
      </c>
      <c r="D4453" t="s">
        <v>10</v>
      </c>
      <c r="E4453" t="str">
        <f>"$ 8,923"</f>
        <v>$ 8,923</v>
      </c>
      <c r="F4453">
        <v>267</v>
      </c>
    </row>
    <row r="4454" spans="1:6">
      <c r="A4454" t="s">
        <v>4454</v>
      </c>
      <c r="B4454" t="str">
        <f t="shared" si="198"/>
        <v>0.00116%</v>
      </c>
      <c r="C4454" t="s">
        <v>10</v>
      </c>
      <c r="D4454" t="s">
        <v>10</v>
      </c>
      <c r="E4454" t="str">
        <f>"$ 8,922"</f>
        <v>$ 8,922</v>
      </c>
      <c r="F4454">
        <v>544</v>
      </c>
    </row>
    <row r="4455" spans="1:6">
      <c r="A4455" t="s">
        <v>4455</v>
      </c>
      <c r="B4455" t="str">
        <f t="shared" si="198"/>
        <v>0.00116%</v>
      </c>
      <c r="C4455" t="s">
        <v>10</v>
      </c>
      <c r="D4455" t="s">
        <v>10</v>
      </c>
      <c r="E4455" t="str">
        <f>"$ 8,968"</f>
        <v>$ 8,968</v>
      </c>
      <c r="F4455">
        <v>91</v>
      </c>
    </row>
    <row r="4456" spans="1:6">
      <c r="A4456" t="s">
        <v>4456</v>
      </c>
      <c r="B4456" t="str">
        <f t="shared" si="198"/>
        <v>0.00116%</v>
      </c>
      <c r="C4456" t="s">
        <v>10</v>
      </c>
      <c r="D4456" t="s">
        <v>10</v>
      </c>
      <c r="E4456" t="str">
        <f>"$ 8,981"</f>
        <v>$ 8,981</v>
      </c>
      <c r="F4456">
        <v>462</v>
      </c>
    </row>
    <row r="4457" spans="1:6">
      <c r="A4457" t="s">
        <v>4457</v>
      </c>
      <c r="B4457" t="str">
        <f t="shared" si="198"/>
        <v>0.00116%</v>
      </c>
      <c r="C4457" t="s">
        <v>10</v>
      </c>
      <c r="D4457" t="s">
        <v>10</v>
      </c>
      <c r="E4457" t="str">
        <f>"$ 8,923"</f>
        <v>$ 8,923</v>
      </c>
      <c r="F4457" s="1">
        <v>1922</v>
      </c>
    </row>
    <row r="4458" spans="1:6">
      <c r="A4458" t="s">
        <v>4458</v>
      </c>
      <c r="B4458" t="str">
        <f t="shared" si="198"/>
        <v>0.00116%</v>
      </c>
      <c r="C4458" t="s">
        <v>10</v>
      </c>
      <c r="D4458" t="s">
        <v>10</v>
      </c>
      <c r="E4458" t="str">
        <f>"$ 8,935"</f>
        <v>$ 8,935</v>
      </c>
      <c r="F4458" s="1">
        <v>7258</v>
      </c>
    </row>
    <row r="4459" spans="1:6">
      <c r="A4459" t="s">
        <v>4459</v>
      </c>
      <c r="B4459" t="str">
        <f t="shared" si="198"/>
        <v>0.00116%</v>
      </c>
      <c r="C4459" t="s">
        <v>10</v>
      </c>
      <c r="D4459" t="s">
        <v>10</v>
      </c>
      <c r="E4459" t="str">
        <f>"$ 8,920"</f>
        <v>$ 8,920</v>
      </c>
      <c r="F4459" s="1">
        <v>24709</v>
      </c>
    </row>
    <row r="4460" spans="1:6">
      <c r="A4460" t="s">
        <v>4460</v>
      </c>
      <c r="B4460" t="str">
        <f t="shared" si="198"/>
        <v>0.00116%</v>
      </c>
      <c r="C4460" t="s">
        <v>10</v>
      </c>
      <c r="D4460" t="s">
        <v>10</v>
      </c>
      <c r="E4460" t="str">
        <f>"$ 8,995"</f>
        <v>$ 8,995</v>
      </c>
      <c r="F4460">
        <v>261</v>
      </c>
    </row>
    <row r="4461" spans="1:6">
      <c r="A4461" t="s">
        <v>4461</v>
      </c>
      <c r="B4461" t="str">
        <f t="shared" si="198"/>
        <v>0.00116%</v>
      </c>
      <c r="C4461" t="s">
        <v>10</v>
      </c>
      <c r="D4461" t="s">
        <v>10</v>
      </c>
      <c r="E4461" t="str">
        <f>"$ 8,995"</f>
        <v>$ 8,995</v>
      </c>
      <c r="F4461">
        <v>256</v>
      </c>
    </row>
    <row r="4462" spans="1:6">
      <c r="A4462" t="s">
        <v>4462</v>
      </c>
      <c r="B4462" t="str">
        <f t="shared" si="198"/>
        <v>0.00116%</v>
      </c>
      <c r="C4462" t="s">
        <v>10</v>
      </c>
      <c r="D4462" t="s">
        <v>10</v>
      </c>
      <c r="E4462" t="str">
        <f>"$ 8,965"</f>
        <v>$ 8,965</v>
      </c>
      <c r="F4462" s="1">
        <v>1182</v>
      </c>
    </row>
    <row r="4463" spans="1:6">
      <c r="A4463" t="s">
        <v>4463</v>
      </c>
      <c r="B4463" t="str">
        <f t="shared" si="198"/>
        <v>0.00116%</v>
      </c>
      <c r="C4463" t="s">
        <v>10</v>
      </c>
      <c r="D4463" t="s">
        <v>10</v>
      </c>
      <c r="E4463" t="str">
        <f>"$ 8,933"</f>
        <v>$ 8,933</v>
      </c>
      <c r="F4463">
        <v>116</v>
      </c>
    </row>
    <row r="4464" spans="1:6">
      <c r="A4464" t="s">
        <v>4464</v>
      </c>
      <c r="B4464" t="str">
        <f t="shared" si="198"/>
        <v>0.00116%</v>
      </c>
      <c r="C4464" t="s">
        <v>10</v>
      </c>
      <c r="D4464" t="s">
        <v>10</v>
      </c>
      <c r="E4464" t="str">
        <f>"$ 8,952"</f>
        <v>$ 8,952</v>
      </c>
      <c r="F4464">
        <v>206</v>
      </c>
    </row>
    <row r="4465" spans="1:6">
      <c r="A4465" t="s">
        <v>4465</v>
      </c>
      <c r="B4465" t="str">
        <f t="shared" si="198"/>
        <v>0.00116%</v>
      </c>
      <c r="C4465" t="s">
        <v>10</v>
      </c>
      <c r="D4465" t="s">
        <v>10</v>
      </c>
      <c r="E4465" t="str">
        <f>"$ 8,942"</f>
        <v>$ 8,942</v>
      </c>
      <c r="F4465" s="1">
        <v>1402</v>
      </c>
    </row>
    <row r="4466" spans="1:6">
      <c r="A4466" t="s">
        <v>4466</v>
      </c>
      <c r="B4466" t="str">
        <f t="shared" si="198"/>
        <v>0.00116%</v>
      </c>
      <c r="C4466" t="s">
        <v>10</v>
      </c>
      <c r="D4466" t="s">
        <v>10</v>
      </c>
      <c r="E4466" t="str">
        <f>"$ 8,971"</f>
        <v>$ 8,971</v>
      </c>
      <c r="F4466">
        <v>210</v>
      </c>
    </row>
    <row r="4467" spans="1:6">
      <c r="A4467" t="s">
        <v>4467</v>
      </c>
      <c r="B4467" t="str">
        <f t="shared" si="198"/>
        <v>0.00116%</v>
      </c>
      <c r="C4467" t="s">
        <v>10</v>
      </c>
      <c r="D4467" t="s">
        <v>10</v>
      </c>
      <c r="E4467" t="str">
        <f>"$ 8,943"</f>
        <v>$ 8,943</v>
      </c>
      <c r="F4467">
        <v>366</v>
      </c>
    </row>
    <row r="4468" spans="1:6">
      <c r="A4468" t="s">
        <v>4468</v>
      </c>
      <c r="B4468" t="str">
        <f t="shared" si="198"/>
        <v>0.00116%</v>
      </c>
      <c r="C4468" t="s">
        <v>10</v>
      </c>
      <c r="D4468" t="s">
        <v>10</v>
      </c>
      <c r="E4468" t="str">
        <f>"$ 8,981"</f>
        <v>$ 8,981</v>
      </c>
      <c r="F4468">
        <v>231</v>
      </c>
    </row>
    <row r="4469" spans="1:6">
      <c r="A4469" t="s">
        <v>4469</v>
      </c>
      <c r="B4469" t="str">
        <f t="shared" ref="B4469:B4494" si="199">"0.00115%"</f>
        <v>0.00115%</v>
      </c>
      <c r="C4469" t="s">
        <v>10</v>
      </c>
      <c r="D4469" t="s">
        <v>10</v>
      </c>
      <c r="E4469" t="str">
        <f>"$ 8,871"</f>
        <v>$ 8,871</v>
      </c>
      <c r="F4469">
        <v>314</v>
      </c>
    </row>
    <row r="4470" spans="1:6">
      <c r="A4470" t="s">
        <v>4470</v>
      </c>
      <c r="B4470" t="str">
        <f t="shared" si="199"/>
        <v>0.00115%</v>
      </c>
      <c r="C4470" t="s">
        <v>10</v>
      </c>
      <c r="D4470" t="s">
        <v>10</v>
      </c>
      <c r="E4470" t="str">
        <f>"$ 8,845"</f>
        <v>$ 8,845</v>
      </c>
      <c r="F4470" s="1">
        <v>71968</v>
      </c>
    </row>
    <row r="4471" spans="1:6">
      <c r="A4471" t="s">
        <v>4471</v>
      </c>
      <c r="B4471" t="str">
        <f t="shared" si="199"/>
        <v>0.00115%</v>
      </c>
      <c r="C4471" t="s">
        <v>10</v>
      </c>
      <c r="D4471" t="s">
        <v>10</v>
      </c>
      <c r="E4471" t="str">
        <f>"$ 8,864"</f>
        <v>$ 8,864</v>
      </c>
      <c r="F4471" s="1">
        <v>7264</v>
      </c>
    </row>
    <row r="4472" spans="1:6">
      <c r="A4472" t="s">
        <v>4472</v>
      </c>
      <c r="B4472" t="str">
        <f t="shared" si="199"/>
        <v>0.00115%</v>
      </c>
      <c r="C4472" t="s">
        <v>10</v>
      </c>
      <c r="D4472" t="s">
        <v>10</v>
      </c>
      <c r="E4472" t="str">
        <f>"$ 8,882"</f>
        <v>$ 8,882</v>
      </c>
      <c r="F4472">
        <v>592</v>
      </c>
    </row>
    <row r="4473" spans="1:6">
      <c r="A4473" t="s">
        <v>4473</v>
      </c>
      <c r="B4473" t="str">
        <f t="shared" si="199"/>
        <v>0.00115%</v>
      </c>
      <c r="C4473" t="s">
        <v>10</v>
      </c>
      <c r="D4473" t="s">
        <v>10</v>
      </c>
      <c r="E4473" t="str">
        <f>"$ 8,897"</f>
        <v>$ 8,897</v>
      </c>
      <c r="F4473">
        <v>100</v>
      </c>
    </row>
    <row r="4474" spans="1:6">
      <c r="A4474" t="s">
        <v>4474</v>
      </c>
      <c r="B4474" t="str">
        <f t="shared" si="199"/>
        <v>0.00115%</v>
      </c>
      <c r="C4474" t="s">
        <v>10</v>
      </c>
      <c r="D4474" t="s">
        <v>10</v>
      </c>
      <c r="E4474" t="str">
        <f>"$ 8,854"</f>
        <v>$ 8,854</v>
      </c>
      <c r="F4474">
        <v>452</v>
      </c>
    </row>
    <row r="4475" spans="1:6">
      <c r="A4475" t="s">
        <v>4475</v>
      </c>
      <c r="B4475" t="str">
        <f t="shared" si="199"/>
        <v>0.00115%</v>
      </c>
      <c r="C4475" t="s">
        <v>10</v>
      </c>
      <c r="D4475" t="s">
        <v>10</v>
      </c>
      <c r="E4475" t="str">
        <f>"$ 8,916"</f>
        <v>$ 8,916</v>
      </c>
      <c r="F4475">
        <v>334</v>
      </c>
    </row>
    <row r="4476" spans="1:6">
      <c r="A4476" t="s">
        <v>4476</v>
      </c>
      <c r="B4476" t="str">
        <f t="shared" si="199"/>
        <v>0.00115%</v>
      </c>
      <c r="C4476" t="s">
        <v>10</v>
      </c>
      <c r="D4476" t="s">
        <v>10</v>
      </c>
      <c r="E4476" t="str">
        <f>"$ 8,857"</f>
        <v>$ 8,857</v>
      </c>
      <c r="F4476" s="1">
        <v>1770</v>
      </c>
    </row>
    <row r="4477" spans="1:6">
      <c r="A4477" t="s">
        <v>4477</v>
      </c>
      <c r="B4477" t="str">
        <f t="shared" si="199"/>
        <v>0.00115%</v>
      </c>
      <c r="C4477" t="s">
        <v>10</v>
      </c>
      <c r="D4477" t="s">
        <v>10</v>
      </c>
      <c r="E4477" t="str">
        <f>"$ 8,879"</f>
        <v>$ 8,879</v>
      </c>
      <c r="F4477">
        <v>225</v>
      </c>
    </row>
    <row r="4478" spans="1:6">
      <c r="A4478" t="s">
        <v>4478</v>
      </c>
      <c r="B4478" t="str">
        <f t="shared" si="199"/>
        <v>0.00115%</v>
      </c>
      <c r="C4478" t="s">
        <v>10</v>
      </c>
      <c r="D4478" t="s">
        <v>10</v>
      </c>
      <c r="E4478" t="str">
        <f>"$ 8,916"</f>
        <v>$ 8,916</v>
      </c>
      <c r="F4478" s="1">
        <v>4599</v>
      </c>
    </row>
    <row r="4479" spans="1:6">
      <c r="A4479" t="s">
        <v>4479</v>
      </c>
      <c r="B4479" t="str">
        <f t="shared" si="199"/>
        <v>0.00115%</v>
      </c>
      <c r="C4479" t="s">
        <v>10</v>
      </c>
      <c r="D4479" t="s">
        <v>10</v>
      </c>
      <c r="E4479" t="str">
        <f>"$ 8,918"</f>
        <v>$ 8,918</v>
      </c>
      <c r="F4479" s="1">
        <v>2128</v>
      </c>
    </row>
    <row r="4480" spans="1:6">
      <c r="A4480" t="s">
        <v>4480</v>
      </c>
      <c r="B4480" t="str">
        <f t="shared" si="199"/>
        <v>0.00115%</v>
      </c>
      <c r="C4480" t="s">
        <v>10</v>
      </c>
      <c r="D4480" t="s">
        <v>10</v>
      </c>
      <c r="E4480" t="str">
        <f>"$ 8,908"</f>
        <v>$ 8,908</v>
      </c>
      <c r="F4480">
        <v>183</v>
      </c>
    </row>
    <row r="4481" spans="1:6">
      <c r="A4481" t="s">
        <v>4481</v>
      </c>
      <c r="B4481" t="str">
        <f t="shared" si="199"/>
        <v>0.00115%</v>
      </c>
      <c r="C4481" t="s">
        <v>10</v>
      </c>
      <c r="D4481" t="s">
        <v>10</v>
      </c>
      <c r="E4481" t="str">
        <f>"$ 8,856"</f>
        <v>$ 8,856</v>
      </c>
      <c r="F4481">
        <v>82</v>
      </c>
    </row>
    <row r="4482" spans="1:6">
      <c r="A4482" t="s">
        <v>4482</v>
      </c>
      <c r="B4482" t="str">
        <f t="shared" si="199"/>
        <v>0.00115%</v>
      </c>
      <c r="C4482" t="s">
        <v>10</v>
      </c>
      <c r="D4482" t="s">
        <v>10</v>
      </c>
      <c r="E4482" t="str">
        <f>"$ 8,897"</f>
        <v>$ 8,897</v>
      </c>
      <c r="F4482">
        <v>249</v>
      </c>
    </row>
    <row r="4483" spans="1:6">
      <c r="A4483" t="s">
        <v>4483</v>
      </c>
      <c r="B4483" t="str">
        <f t="shared" si="199"/>
        <v>0.00115%</v>
      </c>
      <c r="C4483" t="s">
        <v>10</v>
      </c>
      <c r="D4483" t="s">
        <v>10</v>
      </c>
      <c r="E4483" t="str">
        <f>"$ 8,864"</f>
        <v>$ 8,864</v>
      </c>
      <c r="F4483">
        <v>591</v>
      </c>
    </row>
    <row r="4484" spans="1:6">
      <c r="A4484" t="s">
        <v>4484</v>
      </c>
      <c r="B4484" t="str">
        <f t="shared" si="199"/>
        <v>0.00115%</v>
      </c>
      <c r="C4484" t="s">
        <v>10</v>
      </c>
      <c r="D4484" t="s">
        <v>10</v>
      </c>
      <c r="E4484" t="str">
        <f>"$ 8,845"</f>
        <v>$ 8,845</v>
      </c>
      <c r="F4484">
        <v>364</v>
      </c>
    </row>
    <row r="4485" spans="1:6">
      <c r="A4485" t="s">
        <v>4485</v>
      </c>
      <c r="B4485" t="str">
        <f t="shared" si="199"/>
        <v>0.00115%</v>
      </c>
      <c r="C4485" t="s">
        <v>10</v>
      </c>
      <c r="D4485" t="s">
        <v>10</v>
      </c>
      <c r="E4485" t="str">
        <f>"$ 8,846"</f>
        <v>$ 8,846</v>
      </c>
      <c r="F4485">
        <v>587</v>
      </c>
    </row>
    <row r="4486" spans="1:6">
      <c r="A4486" t="s">
        <v>4486</v>
      </c>
      <c r="B4486" t="str">
        <f t="shared" si="199"/>
        <v>0.00115%</v>
      </c>
      <c r="C4486" t="s">
        <v>10</v>
      </c>
      <c r="D4486" t="s">
        <v>10</v>
      </c>
      <c r="E4486" t="str">
        <f>"$ 8,908"</f>
        <v>$ 8,908</v>
      </c>
      <c r="F4486">
        <v>669</v>
      </c>
    </row>
    <row r="4487" spans="1:6">
      <c r="A4487" t="s">
        <v>4487</v>
      </c>
      <c r="B4487" t="str">
        <f t="shared" si="199"/>
        <v>0.00115%</v>
      </c>
      <c r="C4487" t="s">
        <v>10</v>
      </c>
      <c r="D4487" t="s">
        <v>10</v>
      </c>
      <c r="E4487" t="str">
        <f>"$ 8,872"</f>
        <v>$ 8,872</v>
      </c>
      <c r="F4487">
        <v>219</v>
      </c>
    </row>
    <row r="4488" spans="1:6">
      <c r="A4488" t="s">
        <v>4488</v>
      </c>
      <c r="B4488" t="str">
        <f t="shared" si="199"/>
        <v>0.00115%</v>
      </c>
      <c r="C4488" t="s">
        <v>10</v>
      </c>
      <c r="D4488" t="s">
        <v>10</v>
      </c>
      <c r="E4488" t="str">
        <f>"$ 8,848"</f>
        <v>$ 8,848</v>
      </c>
      <c r="F4488">
        <v>138</v>
      </c>
    </row>
    <row r="4489" spans="1:6">
      <c r="A4489" t="s">
        <v>4489</v>
      </c>
      <c r="B4489" t="str">
        <f t="shared" si="199"/>
        <v>0.00115%</v>
      </c>
      <c r="C4489" t="s">
        <v>10</v>
      </c>
      <c r="D4489" t="s">
        <v>10</v>
      </c>
      <c r="E4489" t="str">
        <f>"$ 8,887"</f>
        <v>$ 8,887</v>
      </c>
      <c r="F4489">
        <v>264</v>
      </c>
    </row>
    <row r="4490" spans="1:6">
      <c r="A4490" t="s">
        <v>4490</v>
      </c>
      <c r="B4490" t="str">
        <f t="shared" si="199"/>
        <v>0.00115%</v>
      </c>
      <c r="C4490" t="s">
        <v>10</v>
      </c>
      <c r="D4490" t="s">
        <v>10</v>
      </c>
      <c r="E4490" t="str">
        <f>"$ 8,907"</f>
        <v>$ 8,907</v>
      </c>
      <c r="F4490">
        <v>442</v>
      </c>
    </row>
    <row r="4491" spans="1:6">
      <c r="A4491" t="s">
        <v>4491</v>
      </c>
      <c r="B4491" t="str">
        <f t="shared" si="199"/>
        <v>0.00115%</v>
      </c>
      <c r="C4491" t="s">
        <v>10</v>
      </c>
      <c r="D4491" t="s">
        <v>10</v>
      </c>
      <c r="E4491" t="str">
        <f>"$ 8,879"</f>
        <v>$ 8,879</v>
      </c>
      <c r="F4491" s="1">
        <v>6912</v>
      </c>
    </row>
    <row r="4492" spans="1:6">
      <c r="A4492" t="s">
        <v>4492</v>
      </c>
      <c r="B4492" t="str">
        <f t="shared" si="199"/>
        <v>0.00115%</v>
      </c>
      <c r="C4492" t="s">
        <v>10</v>
      </c>
      <c r="D4492" t="s">
        <v>10</v>
      </c>
      <c r="E4492" t="str">
        <f>"$ 8,914"</f>
        <v>$ 8,914</v>
      </c>
      <c r="F4492" s="1">
        <v>4844</v>
      </c>
    </row>
    <row r="4493" spans="1:6">
      <c r="A4493" t="s">
        <v>4493</v>
      </c>
      <c r="B4493" t="str">
        <f t="shared" si="199"/>
        <v>0.00115%</v>
      </c>
      <c r="C4493" t="s">
        <v>10</v>
      </c>
      <c r="D4493" t="s">
        <v>10</v>
      </c>
      <c r="E4493" t="str">
        <f>"$ 8,896"</f>
        <v>$ 8,896</v>
      </c>
      <c r="F4493">
        <v>677</v>
      </c>
    </row>
    <row r="4494" spans="1:6">
      <c r="A4494" t="s">
        <v>4494</v>
      </c>
      <c r="B4494" t="str">
        <f t="shared" si="199"/>
        <v>0.00115%</v>
      </c>
      <c r="C4494" t="s">
        <v>10</v>
      </c>
      <c r="D4494" t="s">
        <v>10</v>
      </c>
      <c r="E4494" t="str">
        <f>"$ 8,874"</f>
        <v>$ 8,874</v>
      </c>
      <c r="F4494">
        <v>549</v>
      </c>
    </row>
    <row r="4495" spans="1:6">
      <c r="A4495" t="s">
        <v>4495</v>
      </c>
      <c r="B4495" t="str">
        <f t="shared" ref="B4495:B4518" si="200">"0.00114%"</f>
        <v>0.00114%</v>
      </c>
      <c r="C4495" t="s">
        <v>10</v>
      </c>
      <c r="D4495" t="s">
        <v>10</v>
      </c>
      <c r="E4495" t="str">
        <f>"$ 8,821"</f>
        <v>$ 8,821</v>
      </c>
      <c r="F4495" s="1">
        <v>15176</v>
      </c>
    </row>
    <row r="4496" spans="1:6">
      <c r="A4496" t="s">
        <v>4496</v>
      </c>
      <c r="B4496" t="str">
        <f t="shared" si="200"/>
        <v>0.00114%</v>
      </c>
      <c r="C4496" t="s">
        <v>10</v>
      </c>
      <c r="D4496" t="s">
        <v>10</v>
      </c>
      <c r="E4496" t="str">
        <f>"$ 8,813"</f>
        <v>$ 8,813</v>
      </c>
      <c r="F4496" s="1">
        <v>27052</v>
      </c>
    </row>
    <row r="4497" spans="1:6">
      <c r="A4497" t="s">
        <v>4497</v>
      </c>
      <c r="B4497" t="str">
        <f t="shared" si="200"/>
        <v>0.00114%</v>
      </c>
      <c r="C4497" t="s">
        <v>10</v>
      </c>
      <c r="D4497" t="s">
        <v>10</v>
      </c>
      <c r="E4497" t="str">
        <f>"$ 8,809"</f>
        <v>$ 8,809</v>
      </c>
      <c r="F4497" s="1">
        <v>1434</v>
      </c>
    </row>
    <row r="4498" spans="1:6">
      <c r="A4498" t="s">
        <v>4498</v>
      </c>
      <c r="B4498" t="str">
        <f t="shared" si="200"/>
        <v>0.00114%</v>
      </c>
      <c r="C4498" t="s">
        <v>10</v>
      </c>
      <c r="D4498" t="s">
        <v>10</v>
      </c>
      <c r="E4498" t="str">
        <f>"$ 8,782"</f>
        <v>$ 8,782</v>
      </c>
      <c r="F4498">
        <v>234</v>
      </c>
    </row>
    <row r="4499" spans="1:6">
      <c r="A4499" t="s">
        <v>4499</v>
      </c>
      <c r="B4499" t="str">
        <f t="shared" si="200"/>
        <v>0.00114%</v>
      </c>
      <c r="C4499" t="s">
        <v>10</v>
      </c>
      <c r="D4499" t="s">
        <v>10</v>
      </c>
      <c r="E4499" t="str">
        <f>"$ 8,798"</f>
        <v>$ 8,798</v>
      </c>
      <c r="F4499">
        <v>396</v>
      </c>
    </row>
    <row r="4500" spans="1:6">
      <c r="A4500" t="s">
        <v>4500</v>
      </c>
      <c r="B4500" t="str">
        <f t="shared" si="200"/>
        <v>0.00114%</v>
      </c>
      <c r="C4500" t="s">
        <v>10</v>
      </c>
      <c r="D4500" t="s">
        <v>10</v>
      </c>
      <c r="E4500" t="str">
        <f>"$ 8,803"</f>
        <v>$ 8,803</v>
      </c>
      <c r="F4500">
        <v>123</v>
      </c>
    </row>
    <row r="4501" spans="1:6">
      <c r="A4501" t="s">
        <v>4501</v>
      </c>
      <c r="B4501" t="str">
        <f t="shared" si="200"/>
        <v>0.00114%</v>
      </c>
      <c r="C4501" t="s">
        <v>10</v>
      </c>
      <c r="D4501" t="s">
        <v>10</v>
      </c>
      <c r="E4501" t="str">
        <f>"$ 8,797"</f>
        <v>$ 8,797</v>
      </c>
      <c r="F4501" s="1">
        <v>2747</v>
      </c>
    </row>
    <row r="4502" spans="1:6">
      <c r="A4502" t="s">
        <v>4502</v>
      </c>
      <c r="B4502" t="str">
        <f t="shared" si="200"/>
        <v>0.00114%</v>
      </c>
      <c r="C4502" t="s">
        <v>10</v>
      </c>
      <c r="D4502" t="s">
        <v>10</v>
      </c>
      <c r="E4502" t="str">
        <f>"$ 8,829"</f>
        <v>$ 8,829</v>
      </c>
      <c r="F4502">
        <v>594</v>
      </c>
    </row>
    <row r="4503" spans="1:6">
      <c r="A4503" t="s">
        <v>4503</v>
      </c>
      <c r="B4503" t="str">
        <f t="shared" si="200"/>
        <v>0.00114%</v>
      </c>
      <c r="C4503" t="s">
        <v>10</v>
      </c>
      <c r="D4503" t="s">
        <v>10</v>
      </c>
      <c r="E4503" t="str">
        <f>"$ 8,803"</f>
        <v>$ 8,803</v>
      </c>
      <c r="F4503">
        <v>5</v>
      </c>
    </row>
    <row r="4504" spans="1:6">
      <c r="A4504" t="s">
        <v>4504</v>
      </c>
      <c r="B4504" t="str">
        <f t="shared" si="200"/>
        <v>0.00114%</v>
      </c>
      <c r="C4504" t="s">
        <v>10</v>
      </c>
      <c r="D4504" t="s">
        <v>10</v>
      </c>
      <c r="E4504" t="str">
        <f>"$ 8,799"</f>
        <v>$ 8,799</v>
      </c>
      <c r="F4504">
        <v>561</v>
      </c>
    </row>
    <row r="4505" spans="1:6">
      <c r="A4505" t="s">
        <v>4505</v>
      </c>
      <c r="B4505" t="str">
        <f t="shared" si="200"/>
        <v>0.00114%</v>
      </c>
      <c r="C4505" t="s">
        <v>10</v>
      </c>
      <c r="D4505" t="s">
        <v>10</v>
      </c>
      <c r="E4505" t="str">
        <f>"$ 8,776"</f>
        <v>$ 8,776</v>
      </c>
      <c r="F4505">
        <v>275</v>
      </c>
    </row>
    <row r="4506" spans="1:6">
      <c r="A4506" t="s">
        <v>4506</v>
      </c>
      <c r="B4506" t="str">
        <f t="shared" si="200"/>
        <v>0.00114%</v>
      </c>
      <c r="C4506" t="s">
        <v>10</v>
      </c>
      <c r="D4506" t="s">
        <v>10</v>
      </c>
      <c r="E4506" t="str">
        <f>"$ 8,801"</f>
        <v>$ 8,801</v>
      </c>
      <c r="F4506">
        <v>65</v>
      </c>
    </row>
    <row r="4507" spans="1:6">
      <c r="A4507" t="s">
        <v>4507</v>
      </c>
      <c r="B4507" t="str">
        <f t="shared" si="200"/>
        <v>0.00114%</v>
      </c>
      <c r="C4507" t="s">
        <v>10</v>
      </c>
      <c r="D4507" t="s">
        <v>10</v>
      </c>
      <c r="E4507" t="str">
        <f>"$ 8,799"</f>
        <v>$ 8,799</v>
      </c>
      <c r="F4507">
        <v>35</v>
      </c>
    </row>
    <row r="4508" spans="1:6">
      <c r="A4508" t="s">
        <v>4508</v>
      </c>
      <c r="B4508" t="str">
        <f t="shared" si="200"/>
        <v>0.00114%</v>
      </c>
      <c r="C4508" t="s">
        <v>10</v>
      </c>
      <c r="D4508" t="s">
        <v>10</v>
      </c>
      <c r="E4508" t="str">
        <f>"$ 8,767"</f>
        <v>$ 8,767</v>
      </c>
      <c r="F4508" s="1">
        <v>4454</v>
      </c>
    </row>
    <row r="4509" spans="1:6">
      <c r="A4509" t="s">
        <v>4509</v>
      </c>
      <c r="B4509" t="str">
        <f t="shared" si="200"/>
        <v>0.00114%</v>
      </c>
      <c r="C4509" t="s">
        <v>10</v>
      </c>
      <c r="D4509" t="s">
        <v>10</v>
      </c>
      <c r="E4509" t="str">
        <f>"$ 8,825"</f>
        <v>$ 8,825</v>
      </c>
      <c r="F4509">
        <v>185</v>
      </c>
    </row>
    <row r="4510" spans="1:6">
      <c r="A4510" t="s">
        <v>4510</v>
      </c>
      <c r="B4510" t="str">
        <f t="shared" si="200"/>
        <v>0.00114%</v>
      </c>
      <c r="C4510" t="s">
        <v>10</v>
      </c>
      <c r="D4510" t="s">
        <v>10</v>
      </c>
      <c r="E4510" t="str">
        <f>"$ 8,816"</f>
        <v>$ 8,816</v>
      </c>
      <c r="F4510">
        <v>132</v>
      </c>
    </row>
    <row r="4511" spans="1:6">
      <c r="A4511" t="s">
        <v>4511</v>
      </c>
      <c r="B4511" t="str">
        <f t="shared" si="200"/>
        <v>0.00114%</v>
      </c>
      <c r="C4511" t="s">
        <v>10</v>
      </c>
      <c r="D4511" t="s">
        <v>10</v>
      </c>
      <c r="E4511" t="str">
        <f>"$ 8,793"</f>
        <v>$ 8,793</v>
      </c>
      <c r="F4511">
        <v>187</v>
      </c>
    </row>
    <row r="4512" spans="1:6">
      <c r="A4512" t="s">
        <v>4512</v>
      </c>
      <c r="B4512" t="str">
        <f t="shared" si="200"/>
        <v>0.00114%</v>
      </c>
      <c r="C4512" t="s">
        <v>10</v>
      </c>
      <c r="D4512" t="s">
        <v>10</v>
      </c>
      <c r="E4512" t="str">
        <f>"$ 8,782"</f>
        <v>$ 8,782</v>
      </c>
      <c r="F4512">
        <v>223</v>
      </c>
    </row>
    <row r="4513" spans="1:6">
      <c r="A4513" t="s">
        <v>4513</v>
      </c>
      <c r="B4513" t="str">
        <f t="shared" si="200"/>
        <v>0.00114%</v>
      </c>
      <c r="C4513" t="s">
        <v>10</v>
      </c>
      <c r="D4513" t="s">
        <v>10</v>
      </c>
      <c r="E4513" t="str">
        <f>"$ 8,827"</f>
        <v>$ 8,827</v>
      </c>
      <c r="F4513">
        <v>184</v>
      </c>
    </row>
    <row r="4514" spans="1:6">
      <c r="A4514" t="s">
        <v>4514</v>
      </c>
      <c r="B4514" t="str">
        <f t="shared" si="200"/>
        <v>0.00114%</v>
      </c>
      <c r="C4514" t="s">
        <v>10</v>
      </c>
      <c r="D4514" t="s">
        <v>10</v>
      </c>
      <c r="E4514" t="str">
        <f>"$ 8,788"</f>
        <v>$ 8,788</v>
      </c>
      <c r="F4514">
        <v>537</v>
      </c>
    </row>
    <row r="4515" spans="1:6">
      <c r="A4515" t="s">
        <v>4515</v>
      </c>
      <c r="B4515" t="str">
        <f t="shared" si="200"/>
        <v>0.00114%</v>
      </c>
      <c r="C4515" t="s">
        <v>10</v>
      </c>
      <c r="D4515" t="s">
        <v>10</v>
      </c>
      <c r="E4515" t="str">
        <f>"$ 8,766"</f>
        <v>$ 8,766</v>
      </c>
      <c r="F4515" s="1">
        <v>3934</v>
      </c>
    </row>
    <row r="4516" spans="1:6">
      <c r="A4516" t="s">
        <v>4516</v>
      </c>
      <c r="B4516" t="str">
        <f t="shared" si="200"/>
        <v>0.00114%</v>
      </c>
      <c r="C4516" t="s">
        <v>10</v>
      </c>
      <c r="D4516" t="s">
        <v>10</v>
      </c>
      <c r="E4516" t="str">
        <f>"$ 8,804"</f>
        <v>$ 8,804</v>
      </c>
      <c r="F4516" s="1">
        <v>5900</v>
      </c>
    </row>
    <row r="4517" spans="1:6">
      <c r="A4517" t="s">
        <v>4517</v>
      </c>
      <c r="B4517" t="str">
        <f t="shared" si="200"/>
        <v>0.00114%</v>
      </c>
      <c r="C4517" t="s">
        <v>10</v>
      </c>
      <c r="D4517" t="s">
        <v>10</v>
      </c>
      <c r="E4517" t="str">
        <f>"$ 8,814"</f>
        <v>$ 8,814</v>
      </c>
      <c r="F4517">
        <v>334</v>
      </c>
    </row>
    <row r="4518" spans="1:6">
      <c r="A4518" t="s">
        <v>4518</v>
      </c>
      <c r="B4518" t="str">
        <f t="shared" si="200"/>
        <v>0.00114%</v>
      </c>
      <c r="C4518" t="s">
        <v>10</v>
      </c>
      <c r="D4518" t="s">
        <v>10</v>
      </c>
      <c r="E4518" t="str">
        <f>"$ 8,788"</f>
        <v>$ 8,788</v>
      </c>
      <c r="F4518">
        <v>264</v>
      </c>
    </row>
    <row r="4519" spans="1:6">
      <c r="A4519" t="s">
        <v>4519</v>
      </c>
      <c r="B4519" t="str">
        <f t="shared" ref="B4519:B4537" si="201">"0.00113%"</f>
        <v>0.00113%</v>
      </c>
      <c r="C4519" t="s">
        <v>10</v>
      </c>
      <c r="D4519" t="s">
        <v>10</v>
      </c>
      <c r="E4519" t="str">
        <f>"$ 8,728"</f>
        <v>$ 8,728</v>
      </c>
      <c r="F4519" s="1">
        <v>6402</v>
      </c>
    </row>
    <row r="4520" spans="1:6">
      <c r="A4520" t="s">
        <v>4520</v>
      </c>
      <c r="B4520" t="str">
        <f t="shared" si="201"/>
        <v>0.00113%</v>
      </c>
      <c r="C4520" t="s">
        <v>10</v>
      </c>
      <c r="D4520" t="s">
        <v>10</v>
      </c>
      <c r="E4520" t="str">
        <f>"$ 8,693"</f>
        <v>$ 8,693</v>
      </c>
      <c r="F4520" s="1">
        <v>2148</v>
      </c>
    </row>
    <row r="4521" spans="1:6">
      <c r="A4521" t="s">
        <v>4521</v>
      </c>
      <c r="B4521" t="str">
        <f t="shared" si="201"/>
        <v>0.00113%</v>
      </c>
      <c r="C4521" t="s">
        <v>10</v>
      </c>
      <c r="D4521" t="s">
        <v>10</v>
      </c>
      <c r="E4521" t="str">
        <f>"$ 8,700"</f>
        <v>$ 8,700</v>
      </c>
      <c r="F4521" s="1">
        <v>23342</v>
      </c>
    </row>
    <row r="4522" spans="1:6">
      <c r="A4522" t="s">
        <v>4522</v>
      </c>
      <c r="B4522" t="str">
        <f t="shared" si="201"/>
        <v>0.00113%</v>
      </c>
      <c r="C4522" t="s">
        <v>10</v>
      </c>
      <c r="D4522" t="s">
        <v>10</v>
      </c>
      <c r="E4522" t="str">
        <f>"$ 8,762"</f>
        <v>$ 8,762</v>
      </c>
      <c r="F4522">
        <v>280</v>
      </c>
    </row>
    <row r="4523" spans="1:6">
      <c r="A4523" t="s">
        <v>3874</v>
      </c>
      <c r="B4523" t="str">
        <f t="shared" si="201"/>
        <v>0.00113%</v>
      </c>
      <c r="C4523" t="s">
        <v>10</v>
      </c>
      <c r="D4523" t="s">
        <v>10</v>
      </c>
      <c r="E4523" t="str">
        <f>"$ 8,693"</f>
        <v>$ 8,693</v>
      </c>
      <c r="F4523">
        <v>105</v>
      </c>
    </row>
    <row r="4524" spans="1:6">
      <c r="A4524" t="s">
        <v>4523</v>
      </c>
      <c r="B4524" t="str">
        <f t="shared" si="201"/>
        <v>0.00113%</v>
      </c>
      <c r="C4524" t="s">
        <v>10</v>
      </c>
      <c r="D4524" t="s">
        <v>10</v>
      </c>
      <c r="E4524" t="str">
        <f>"$ 8,720"</f>
        <v>$ 8,720</v>
      </c>
      <c r="F4524">
        <v>445</v>
      </c>
    </row>
    <row r="4525" spans="1:6">
      <c r="A4525" t="s">
        <v>4524</v>
      </c>
      <c r="B4525" t="str">
        <f t="shared" si="201"/>
        <v>0.00113%</v>
      </c>
      <c r="C4525" t="s">
        <v>10</v>
      </c>
      <c r="D4525" t="s">
        <v>10</v>
      </c>
      <c r="E4525" t="str">
        <f>"$ 8,733"</f>
        <v>$ 8,733</v>
      </c>
      <c r="F4525">
        <v>341</v>
      </c>
    </row>
    <row r="4526" spans="1:6">
      <c r="A4526" t="s">
        <v>4525</v>
      </c>
      <c r="B4526" t="str">
        <f t="shared" si="201"/>
        <v>0.00113%</v>
      </c>
      <c r="C4526" t="s">
        <v>10</v>
      </c>
      <c r="D4526" t="s">
        <v>10</v>
      </c>
      <c r="E4526" t="str">
        <f>"$ 8,738"</f>
        <v>$ 8,738</v>
      </c>
      <c r="F4526">
        <v>509</v>
      </c>
    </row>
    <row r="4527" spans="1:6">
      <c r="A4527" t="s">
        <v>4526</v>
      </c>
      <c r="B4527" t="str">
        <f t="shared" si="201"/>
        <v>0.00113%</v>
      </c>
      <c r="C4527" t="s">
        <v>10</v>
      </c>
      <c r="D4527" t="s">
        <v>10</v>
      </c>
      <c r="E4527" t="str">
        <f>"$ 8,742"</f>
        <v>$ 8,742</v>
      </c>
      <c r="F4527">
        <v>443</v>
      </c>
    </row>
    <row r="4528" spans="1:6">
      <c r="A4528" t="s">
        <v>4527</v>
      </c>
      <c r="B4528" t="str">
        <f t="shared" si="201"/>
        <v>0.00113%</v>
      </c>
      <c r="C4528" t="s">
        <v>10</v>
      </c>
      <c r="D4528" t="s">
        <v>10</v>
      </c>
      <c r="E4528" t="str">
        <f>"$ 8,735"</f>
        <v>$ 8,735</v>
      </c>
      <c r="F4528" s="1">
        <v>2055</v>
      </c>
    </row>
    <row r="4529" spans="1:6">
      <c r="A4529" t="s">
        <v>4528</v>
      </c>
      <c r="B4529" t="str">
        <f t="shared" si="201"/>
        <v>0.00113%</v>
      </c>
      <c r="C4529" t="s">
        <v>10</v>
      </c>
      <c r="D4529" t="s">
        <v>10</v>
      </c>
      <c r="E4529" t="str">
        <f>"$ 8,732"</f>
        <v>$ 8,732</v>
      </c>
      <c r="F4529">
        <v>247</v>
      </c>
    </row>
    <row r="4530" spans="1:6">
      <c r="A4530" t="s">
        <v>4529</v>
      </c>
      <c r="B4530" t="str">
        <f t="shared" si="201"/>
        <v>0.00113%</v>
      </c>
      <c r="C4530" t="s">
        <v>10</v>
      </c>
      <c r="D4530" t="s">
        <v>10</v>
      </c>
      <c r="E4530" t="str">
        <f>"$ 8,727"</f>
        <v>$ 8,727</v>
      </c>
      <c r="F4530">
        <v>172</v>
      </c>
    </row>
    <row r="4531" spans="1:6">
      <c r="A4531" t="s">
        <v>4530</v>
      </c>
      <c r="B4531" t="str">
        <f t="shared" si="201"/>
        <v>0.00113%</v>
      </c>
      <c r="C4531" t="s">
        <v>10</v>
      </c>
      <c r="D4531" t="s">
        <v>10</v>
      </c>
      <c r="E4531" t="str">
        <f>"$ 8,724"</f>
        <v>$ 8,724</v>
      </c>
      <c r="F4531" s="1">
        <v>1046</v>
      </c>
    </row>
    <row r="4532" spans="1:6">
      <c r="A4532" t="s">
        <v>4531</v>
      </c>
      <c r="B4532" t="str">
        <f t="shared" si="201"/>
        <v>0.00113%</v>
      </c>
      <c r="C4532" t="s">
        <v>10</v>
      </c>
      <c r="D4532" t="s">
        <v>10</v>
      </c>
      <c r="E4532" t="str">
        <f>"$ 8,746"</f>
        <v>$ 8,746</v>
      </c>
      <c r="F4532">
        <v>164</v>
      </c>
    </row>
    <row r="4533" spans="1:6">
      <c r="A4533" t="s">
        <v>4532</v>
      </c>
      <c r="B4533" t="str">
        <f t="shared" si="201"/>
        <v>0.00113%</v>
      </c>
      <c r="C4533" t="s">
        <v>10</v>
      </c>
      <c r="D4533" t="s">
        <v>10</v>
      </c>
      <c r="E4533" t="str">
        <f>"$ 8,719"</f>
        <v>$ 8,719</v>
      </c>
      <c r="F4533">
        <v>297</v>
      </c>
    </row>
    <row r="4534" spans="1:6">
      <c r="A4534" t="s">
        <v>4533</v>
      </c>
      <c r="B4534" t="str">
        <f t="shared" si="201"/>
        <v>0.00113%</v>
      </c>
      <c r="C4534" t="s">
        <v>10</v>
      </c>
      <c r="D4534" t="s">
        <v>10</v>
      </c>
      <c r="E4534" t="str">
        <f>"$ 8,696"</f>
        <v>$ 8,696</v>
      </c>
      <c r="F4534" s="1">
        <v>1206</v>
      </c>
    </row>
    <row r="4535" spans="1:6">
      <c r="A4535" t="s">
        <v>4534</v>
      </c>
      <c r="B4535" t="str">
        <f t="shared" si="201"/>
        <v>0.00113%</v>
      </c>
      <c r="C4535" t="s">
        <v>10</v>
      </c>
      <c r="D4535" t="s">
        <v>10</v>
      </c>
      <c r="E4535" t="str">
        <f>"$ 8,740"</f>
        <v>$ 8,740</v>
      </c>
      <c r="F4535" s="1">
        <v>2623</v>
      </c>
    </row>
    <row r="4536" spans="1:6">
      <c r="A4536" t="s">
        <v>4535</v>
      </c>
      <c r="B4536" t="str">
        <f t="shared" si="201"/>
        <v>0.00113%</v>
      </c>
      <c r="C4536" t="s">
        <v>10</v>
      </c>
      <c r="D4536" t="s">
        <v>10</v>
      </c>
      <c r="E4536" t="str">
        <f>"$ 8,721"</f>
        <v>$ 8,721</v>
      </c>
      <c r="F4536">
        <v>280</v>
      </c>
    </row>
    <row r="4537" spans="1:6">
      <c r="A4537" t="s">
        <v>4536</v>
      </c>
      <c r="B4537" t="str">
        <f t="shared" si="201"/>
        <v>0.00113%</v>
      </c>
      <c r="C4537" t="s">
        <v>10</v>
      </c>
      <c r="D4537" t="s">
        <v>10</v>
      </c>
      <c r="E4537" t="str">
        <f>"$ 8,744"</f>
        <v>$ 8,744</v>
      </c>
      <c r="F4537">
        <v>541</v>
      </c>
    </row>
    <row r="4538" spans="1:6">
      <c r="A4538" t="s">
        <v>4537</v>
      </c>
      <c r="B4538" t="str">
        <f t="shared" ref="B4538:B4548" si="202">"0.00112%"</f>
        <v>0.00112%</v>
      </c>
      <c r="C4538" t="s">
        <v>10</v>
      </c>
      <c r="D4538" t="s">
        <v>10</v>
      </c>
      <c r="E4538" t="str">
        <f>"$ 8,635"</f>
        <v>$ 8,635</v>
      </c>
      <c r="F4538">
        <v>160</v>
      </c>
    </row>
    <row r="4539" spans="1:6">
      <c r="A4539" t="s">
        <v>4538</v>
      </c>
      <c r="B4539" t="str">
        <f t="shared" si="202"/>
        <v>0.00112%</v>
      </c>
      <c r="C4539" t="s">
        <v>10</v>
      </c>
      <c r="D4539" t="s">
        <v>10</v>
      </c>
      <c r="E4539" t="str">
        <f>"$ 8,637"</f>
        <v>$ 8,637</v>
      </c>
      <c r="F4539">
        <v>272</v>
      </c>
    </row>
    <row r="4540" spans="1:6">
      <c r="A4540" t="s">
        <v>4539</v>
      </c>
      <c r="B4540" t="str">
        <f t="shared" si="202"/>
        <v>0.00112%</v>
      </c>
      <c r="C4540" t="s">
        <v>10</v>
      </c>
      <c r="D4540" t="s">
        <v>10</v>
      </c>
      <c r="E4540" t="str">
        <f>"$ 8,670"</f>
        <v>$ 8,670</v>
      </c>
      <c r="F4540">
        <v>219</v>
      </c>
    </row>
    <row r="4541" spans="1:6">
      <c r="A4541" t="s">
        <v>4540</v>
      </c>
      <c r="B4541" t="str">
        <f t="shared" si="202"/>
        <v>0.00112%</v>
      </c>
      <c r="C4541" t="s">
        <v>10</v>
      </c>
      <c r="D4541" t="s">
        <v>10</v>
      </c>
      <c r="E4541" t="str">
        <f>"$ 8,662"</f>
        <v>$ 8,662</v>
      </c>
      <c r="F4541">
        <v>439</v>
      </c>
    </row>
    <row r="4542" spans="1:6">
      <c r="A4542" t="s">
        <v>4541</v>
      </c>
      <c r="B4542" t="str">
        <f t="shared" si="202"/>
        <v>0.00112%</v>
      </c>
      <c r="C4542" t="s">
        <v>10</v>
      </c>
      <c r="D4542" t="s">
        <v>10</v>
      </c>
      <c r="E4542" t="str">
        <f>"$ 8,683"</f>
        <v>$ 8,683</v>
      </c>
      <c r="F4542" s="1">
        <v>4124</v>
      </c>
    </row>
    <row r="4543" spans="1:6">
      <c r="A4543" t="s">
        <v>4542</v>
      </c>
      <c r="B4543" t="str">
        <f t="shared" si="202"/>
        <v>0.00112%</v>
      </c>
      <c r="C4543" t="s">
        <v>10</v>
      </c>
      <c r="D4543" t="s">
        <v>10</v>
      </c>
      <c r="E4543" t="str">
        <f>"$ 8,662"</f>
        <v>$ 8,662</v>
      </c>
      <c r="F4543">
        <v>156</v>
      </c>
    </row>
    <row r="4544" spans="1:6">
      <c r="A4544" t="s">
        <v>4543</v>
      </c>
      <c r="B4544" t="str">
        <f t="shared" si="202"/>
        <v>0.00112%</v>
      </c>
      <c r="C4544" t="s">
        <v>10</v>
      </c>
      <c r="D4544" t="s">
        <v>10</v>
      </c>
      <c r="E4544" t="str">
        <f>"$ 8,616"</f>
        <v>$ 8,616</v>
      </c>
      <c r="F4544">
        <v>560</v>
      </c>
    </row>
    <row r="4545" spans="1:6">
      <c r="A4545" t="s">
        <v>4544</v>
      </c>
      <c r="B4545" t="str">
        <f t="shared" si="202"/>
        <v>0.00112%</v>
      </c>
      <c r="C4545" t="s">
        <v>10</v>
      </c>
      <c r="D4545" t="s">
        <v>10</v>
      </c>
      <c r="E4545" t="str">
        <f>"$ 8,674"</f>
        <v>$ 8,674</v>
      </c>
      <c r="F4545" s="1">
        <v>3894</v>
      </c>
    </row>
    <row r="4546" spans="1:6">
      <c r="A4546" t="s">
        <v>4545</v>
      </c>
      <c r="B4546" t="str">
        <f t="shared" si="202"/>
        <v>0.00112%</v>
      </c>
      <c r="C4546" t="s">
        <v>10</v>
      </c>
      <c r="D4546" t="s">
        <v>10</v>
      </c>
      <c r="E4546" t="str">
        <f>"$ 8,676"</f>
        <v>$ 8,676</v>
      </c>
      <c r="F4546">
        <v>466</v>
      </c>
    </row>
    <row r="4547" spans="1:6">
      <c r="A4547" t="s">
        <v>4546</v>
      </c>
      <c r="B4547" t="str">
        <f t="shared" si="202"/>
        <v>0.00112%</v>
      </c>
      <c r="C4547" t="s">
        <v>10</v>
      </c>
      <c r="D4547" t="s">
        <v>10</v>
      </c>
      <c r="E4547" t="str">
        <f>"$ 8,614"</f>
        <v>$ 8,614</v>
      </c>
      <c r="F4547">
        <v>297</v>
      </c>
    </row>
    <row r="4548" spans="1:6">
      <c r="A4548" t="s">
        <v>4547</v>
      </c>
      <c r="B4548" t="str">
        <f t="shared" si="202"/>
        <v>0.00112%</v>
      </c>
      <c r="C4548" t="s">
        <v>10</v>
      </c>
      <c r="D4548" t="s">
        <v>10</v>
      </c>
      <c r="E4548" t="str">
        <f>"$ 8,685"</f>
        <v>$ 8,685</v>
      </c>
      <c r="F4548" s="1">
        <v>2990</v>
      </c>
    </row>
    <row r="4549" spans="1:6">
      <c r="A4549" t="s">
        <v>4548</v>
      </c>
      <c r="B4549" t="str">
        <f t="shared" ref="B4549:B4564" si="203">"0.00111%"</f>
        <v>0.00111%</v>
      </c>
      <c r="C4549" t="s">
        <v>10</v>
      </c>
      <c r="D4549" t="s">
        <v>10</v>
      </c>
      <c r="E4549" t="str">
        <f>"$ 8,577"</f>
        <v>$ 8,577</v>
      </c>
      <c r="F4549">
        <v>231</v>
      </c>
    </row>
    <row r="4550" spans="1:6">
      <c r="A4550" t="s">
        <v>4549</v>
      </c>
      <c r="B4550" t="str">
        <f t="shared" si="203"/>
        <v>0.00111%</v>
      </c>
      <c r="C4550" t="s">
        <v>10</v>
      </c>
      <c r="D4550" t="s">
        <v>10</v>
      </c>
      <c r="E4550" t="str">
        <f>"$ 8,596"</f>
        <v>$ 8,596</v>
      </c>
      <c r="F4550">
        <v>880</v>
      </c>
    </row>
    <row r="4551" spans="1:6">
      <c r="A4551" t="s">
        <v>4550</v>
      </c>
      <c r="B4551" t="str">
        <f t="shared" si="203"/>
        <v>0.00111%</v>
      </c>
      <c r="C4551" t="s">
        <v>10</v>
      </c>
      <c r="D4551" t="s">
        <v>10</v>
      </c>
      <c r="E4551" t="str">
        <f>"$ 8,583"</f>
        <v>$ 8,583</v>
      </c>
      <c r="F4551">
        <v>198</v>
      </c>
    </row>
    <row r="4552" spans="1:6">
      <c r="A4552" t="s">
        <v>4551</v>
      </c>
      <c r="B4552" t="str">
        <f t="shared" si="203"/>
        <v>0.00111%</v>
      </c>
      <c r="C4552" t="s">
        <v>10</v>
      </c>
      <c r="D4552" t="s">
        <v>10</v>
      </c>
      <c r="E4552" t="str">
        <f>"$ 8,551"</f>
        <v>$ 8,551</v>
      </c>
      <c r="F4552">
        <v>292</v>
      </c>
    </row>
    <row r="4553" spans="1:6">
      <c r="A4553" t="s">
        <v>4552</v>
      </c>
      <c r="B4553" t="str">
        <f t="shared" si="203"/>
        <v>0.00111%</v>
      </c>
      <c r="C4553" t="s">
        <v>10</v>
      </c>
      <c r="D4553" t="s">
        <v>10</v>
      </c>
      <c r="E4553" t="str">
        <f>"$ 8,571"</f>
        <v>$ 8,571</v>
      </c>
      <c r="F4553">
        <v>181</v>
      </c>
    </row>
    <row r="4554" spans="1:6">
      <c r="A4554" t="s">
        <v>4553</v>
      </c>
      <c r="B4554" t="str">
        <f t="shared" si="203"/>
        <v>0.00111%</v>
      </c>
      <c r="C4554" t="s">
        <v>10</v>
      </c>
      <c r="D4554" t="s">
        <v>10</v>
      </c>
      <c r="E4554" t="str">
        <f>"$ 8,556"</f>
        <v>$ 8,556</v>
      </c>
      <c r="F4554">
        <v>864</v>
      </c>
    </row>
    <row r="4555" spans="1:6">
      <c r="A4555" t="s">
        <v>4554</v>
      </c>
      <c r="B4555" t="str">
        <f t="shared" si="203"/>
        <v>0.00111%</v>
      </c>
      <c r="C4555" t="s">
        <v>10</v>
      </c>
      <c r="D4555" t="s">
        <v>10</v>
      </c>
      <c r="E4555" t="str">
        <f>"$ 8,576"</f>
        <v>$ 8,576</v>
      </c>
      <c r="F4555">
        <v>268</v>
      </c>
    </row>
    <row r="4556" spans="1:6">
      <c r="A4556" t="s">
        <v>4555</v>
      </c>
      <c r="B4556" t="str">
        <f t="shared" si="203"/>
        <v>0.00111%</v>
      </c>
      <c r="C4556" t="s">
        <v>10</v>
      </c>
      <c r="D4556" t="s">
        <v>10</v>
      </c>
      <c r="E4556" t="str">
        <f>"$ 8,589"</f>
        <v>$ 8,589</v>
      </c>
      <c r="F4556">
        <v>38</v>
      </c>
    </row>
    <row r="4557" spans="1:6">
      <c r="A4557" t="s">
        <v>4556</v>
      </c>
      <c r="B4557" t="str">
        <f t="shared" si="203"/>
        <v>0.00111%</v>
      </c>
      <c r="C4557" t="s">
        <v>10</v>
      </c>
      <c r="D4557" t="s">
        <v>10</v>
      </c>
      <c r="E4557" t="str">
        <f>"$ 8,577"</f>
        <v>$ 8,577</v>
      </c>
      <c r="F4557">
        <v>83</v>
      </c>
    </row>
    <row r="4558" spans="1:6">
      <c r="A4558" t="s">
        <v>4557</v>
      </c>
      <c r="B4558" t="str">
        <f t="shared" si="203"/>
        <v>0.00111%</v>
      </c>
      <c r="C4558" t="s">
        <v>10</v>
      </c>
      <c r="D4558" t="s">
        <v>10</v>
      </c>
      <c r="E4558" t="str">
        <f>"$ 8,590"</f>
        <v>$ 8,590</v>
      </c>
      <c r="F4558">
        <v>782</v>
      </c>
    </row>
    <row r="4559" spans="1:6">
      <c r="A4559" t="s">
        <v>4558</v>
      </c>
      <c r="B4559" t="str">
        <f t="shared" si="203"/>
        <v>0.00111%</v>
      </c>
      <c r="C4559" t="s">
        <v>10</v>
      </c>
      <c r="D4559" t="s">
        <v>10</v>
      </c>
      <c r="E4559" t="str">
        <f>"$ 8,537"</f>
        <v>$ 8,537</v>
      </c>
      <c r="F4559">
        <v>445</v>
      </c>
    </row>
    <row r="4560" spans="1:6">
      <c r="A4560" t="s">
        <v>4559</v>
      </c>
      <c r="B4560" t="str">
        <f t="shared" si="203"/>
        <v>0.00111%</v>
      </c>
      <c r="C4560" t="s">
        <v>10</v>
      </c>
      <c r="D4560" t="s">
        <v>10</v>
      </c>
      <c r="E4560" t="str">
        <f>"$ 8,591"</f>
        <v>$ 8,591</v>
      </c>
      <c r="F4560" s="1">
        <v>1414</v>
      </c>
    </row>
    <row r="4561" spans="1:6">
      <c r="A4561" t="s">
        <v>4560</v>
      </c>
      <c r="B4561" t="str">
        <f t="shared" si="203"/>
        <v>0.00111%</v>
      </c>
      <c r="C4561" t="s">
        <v>10</v>
      </c>
      <c r="D4561" t="s">
        <v>10</v>
      </c>
      <c r="E4561" t="str">
        <f>"$ 8,575"</f>
        <v>$ 8,575</v>
      </c>
      <c r="F4561" s="1">
        <v>4764</v>
      </c>
    </row>
    <row r="4562" spans="1:6">
      <c r="A4562" t="s">
        <v>4561</v>
      </c>
      <c r="B4562" t="str">
        <f t="shared" si="203"/>
        <v>0.00111%</v>
      </c>
      <c r="C4562" t="s">
        <v>10</v>
      </c>
      <c r="D4562" t="s">
        <v>10</v>
      </c>
      <c r="E4562" t="str">
        <f>"$ 8,600"</f>
        <v>$ 8,600</v>
      </c>
      <c r="F4562" s="1">
        <v>3973</v>
      </c>
    </row>
    <row r="4563" spans="1:6">
      <c r="A4563" t="s">
        <v>4562</v>
      </c>
      <c r="B4563" t="str">
        <f t="shared" si="203"/>
        <v>0.00111%</v>
      </c>
      <c r="C4563" t="s">
        <v>10</v>
      </c>
      <c r="D4563" t="s">
        <v>10</v>
      </c>
      <c r="E4563" t="str">
        <f>"$ 8,594"</f>
        <v>$ 8,594</v>
      </c>
      <c r="F4563">
        <v>799</v>
      </c>
    </row>
    <row r="4564" spans="1:6">
      <c r="A4564" t="s">
        <v>4563</v>
      </c>
      <c r="B4564" t="str">
        <f t="shared" si="203"/>
        <v>0.00111%</v>
      </c>
      <c r="C4564" t="s">
        <v>10</v>
      </c>
      <c r="D4564" t="s">
        <v>10</v>
      </c>
      <c r="E4564" t="str">
        <f>"$ 8,591"</f>
        <v>$ 8,591</v>
      </c>
      <c r="F4564">
        <v>132</v>
      </c>
    </row>
    <row r="4565" spans="1:6">
      <c r="A4565" t="s">
        <v>4564</v>
      </c>
      <c r="B4565" t="str">
        <f t="shared" ref="B4565:B4580" si="204">"0.00110%"</f>
        <v>0.00110%</v>
      </c>
      <c r="C4565" t="s">
        <v>10</v>
      </c>
      <c r="D4565" t="s">
        <v>10</v>
      </c>
      <c r="E4565" t="str">
        <f>"$ 8,502"</f>
        <v>$ 8,502</v>
      </c>
      <c r="F4565">
        <v>322</v>
      </c>
    </row>
    <row r="4566" spans="1:6">
      <c r="A4566" t="s">
        <v>4565</v>
      </c>
      <c r="B4566" t="str">
        <f t="shared" si="204"/>
        <v>0.00110%</v>
      </c>
      <c r="C4566" t="s">
        <v>10</v>
      </c>
      <c r="D4566" t="s">
        <v>10</v>
      </c>
      <c r="E4566" t="str">
        <f>"$ 8,527"</f>
        <v>$ 8,527</v>
      </c>
      <c r="F4566">
        <v>181</v>
      </c>
    </row>
    <row r="4567" spans="1:6">
      <c r="A4567" t="s">
        <v>4566</v>
      </c>
      <c r="B4567" t="str">
        <f t="shared" si="204"/>
        <v>0.00110%</v>
      </c>
      <c r="C4567" t="s">
        <v>10</v>
      </c>
      <c r="D4567" t="s">
        <v>10</v>
      </c>
      <c r="E4567" t="str">
        <f>"$ 8,457"</f>
        <v>$ 8,457</v>
      </c>
      <c r="F4567">
        <v>64</v>
      </c>
    </row>
    <row r="4568" spans="1:6">
      <c r="A4568" t="s">
        <v>4567</v>
      </c>
      <c r="B4568" t="str">
        <f t="shared" si="204"/>
        <v>0.00110%</v>
      </c>
      <c r="C4568" t="s">
        <v>10</v>
      </c>
      <c r="D4568" t="s">
        <v>10</v>
      </c>
      <c r="E4568" t="str">
        <f>"$ 8,511"</f>
        <v>$ 8,511</v>
      </c>
      <c r="F4568">
        <v>330</v>
      </c>
    </row>
    <row r="4569" spans="1:6">
      <c r="A4569" t="s">
        <v>4568</v>
      </c>
      <c r="B4569" t="str">
        <f t="shared" si="204"/>
        <v>0.00110%</v>
      </c>
      <c r="C4569" t="s">
        <v>10</v>
      </c>
      <c r="D4569" t="s">
        <v>10</v>
      </c>
      <c r="E4569" t="str">
        <f>"$ 8,467"</f>
        <v>$ 8,467</v>
      </c>
      <c r="F4569">
        <v>47</v>
      </c>
    </row>
    <row r="4570" spans="1:6">
      <c r="A4570" t="s">
        <v>4569</v>
      </c>
      <c r="B4570" t="str">
        <f t="shared" si="204"/>
        <v>0.00110%</v>
      </c>
      <c r="C4570" t="s">
        <v>10</v>
      </c>
      <c r="D4570" t="s">
        <v>10</v>
      </c>
      <c r="E4570" t="str">
        <f>"$ 8,501"</f>
        <v>$ 8,501</v>
      </c>
      <c r="F4570">
        <v>171</v>
      </c>
    </row>
    <row r="4571" spans="1:6">
      <c r="A4571" t="s">
        <v>4570</v>
      </c>
      <c r="B4571" t="str">
        <f t="shared" si="204"/>
        <v>0.00110%</v>
      </c>
      <c r="C4571" t="s">
        <v>10</v>
      </c>
      <c r="D4571" t="s">
        <v>10</v>
      </c>
      <c r="E4571" t="str">
        <f>"$ 8,516"</f>
        <v>$ 8,516</v>
      </c>
      <c r="F4571">
        <v>429</v>
      </c>
    </row>
    <row r="4572" spans="1:6">
      <c r="A4572" t="s">
        <v>4571</v>
      </c>
      <c r="B4572" t="str">
        <f t="shared" si="204"/>
        <v>0.00110%</v>
      </c>
      <c r="C4572" t="s">
        <v>10</v>
      </c>
      <c r="D4572" t="s">
        <v>10</v>
      </c>
      <c r="E4572" t="str">
        <f>"$ 8,524"</f>
        <v>$ 8,524</v>
      </c>
      <c r="F4572">
        <v>183</v>
      </c>
    </row>
    <row r="4573" spans="1:6">
      <c r="A4573" t="s">
        <v>4572</v>
      </c>
      <c r="B4573" t="str">
        <f t="shared" si="204"/>
        <v>0.00110%</v>
      </c>
      <c r="C4573" t="s">
        <v>10</v>
      </c>
      <c r="D4573" t="s">
        <v>10</v>
      </c>
      <c r="E4573" t="str">
        <f>"$ 8,483"</f>
        <v>$ 8,483</v>
      </c>
      <c r="F4573" s="1">
        <v>7128</v>
      </c>
    </row>
    <row r="4574" spans="1:6">
      <c r="A4574" t="s">
        <v>4573</v>
      </c>
      <c r="B4574" t="str">
        <f t="shared" si="204"/>
        <v>0.00110%</v>
      </c>
      <c r="C4574" t="s">
        <v>10</v>
      </c>
      <c r="D4574" t="s">
        <v>10</v>
      </c>
      <c r="E4574" t="str">
        <f>"$ 8,463"</f>
        <v>$ 8,463</v>
      </c>
      <c r="F4574">
        <v>198</v>
      </c>
    </row>
    <row r="4575" spans="1:6">
      <c r="A4575" t="s">
        <v>4574</v>
      </c>
      <c r="B4575" t="str">
        <f t="shared" si="204"/>
        <v>0.00110%</v>
      </c>
      <c r="C4575" t="s">
        <v>10</v>
      </c>
      <c r="D4575" t="s">
        <v>10</v>
      </c>
      <c r="E4575" t="str">
        <f>"$ 8,478"</f>
        <v>$ 8,478</v>
      </c>
      <c r="F4575">
        <v>360</v>
      </c>
    </row>
    <row r="4576" spans="1:6">
      <c r="A4576" t="s">
        <v>4575</v>
      </c>
      <c r="B4576" t="str">
        <f t="shared" si="204"/>
        <v>0.00110%</v>
      </c>
      <c r="C4576" t="s">
        <v>10</v>
      </c>
      <c r="D4576" t="s">
        <v>10</v>
      </c>
      <c r="E4576" t="str">
        <f>"$ 8,474"</f>
        <v>$ 8,474</v>
      </c>
      <c r="F4576">
        <v>552</v>
      </c>
    </row>
    <row r="4577" spans="1:6">
      <c r="A4577" t="s">
        <v>4576</v>
      </c>
      <c r="B4577" t="str">
        <f t="shared" si="204"/>
        <v>0.00110%</v>
      </c>
      <c r="C4577" t="s">
        <v>10</v>
      </c>
      <c r="D4577" t="s">
        <v>10</v>
      </c>
      <c r="E4577" t="str">
        <f>"$ 8,485"</f>
        <v>$ 8,485</v>
      </c>
      <c r="F4577" s="1">
        <v>79825</v>
      </c>
    </row>
    <row r="4578" spans="1:6">
      <c r="A4578" t="s">
        <v>4577</v>
      </c>
      <c r="B4578" t="str">
        <f t="shared" si="204"/>
        <v>0.00110%</v>
      </c>
      <c r="C4578" t="s">
        <v>10</v>
      </c>
      <c r="D4578" t="s">
        <v>10</v>
      </c>
      <c r="E4578" t="str">
        <f>"$ 8,484"</f>
        <v>$ 8,484</v>
      </c>
      <c r="F4578">
        <v>401</v>
      </c>
    </row>
    <row r="4579" spans="1:6">
      <c r="A4579" t="s">
        <v>4578</v>
      </c>
      <c r="B4579" t="str">
        <f t="shared" si="204"/>
        <v>0.00110%</v>
      </c>
      <c r="C4579" t="s">
        <v>10</v>
      </c>
      <c r="D4579" t="s">
        <v>10</v>
      </c>
      <c r="E4579" t="str">
        <f>"$ 8,494"</f>
        <v>$ 8,494</v>
      </c>
      <c r="F4579" s="1">
        <v>1858</v>
      </c>
    </row>
    <row r="4580" spans="1:6">
      <c r="A4580" t="s">
        <v>4579</v>
      </c>
      <c r="B4580" t="str">
        <f t="shared" si="204"/>
        <v>0.00110%</v>
      </c>
      <c r="C4580" t="s">
        <v>10</v>
      </c>
      <c r="D4580" t="s">
        <v>10</v>
      </c>
      <c r="E4580" t="str">
        <f>"$ 8,528"</f>
        <v>$ 8,528</v>
      </c>
      <c r="F4580">
        <v>457</v>
      </c>
    </row>
    <row r="4581" spans="1:6">
      <c r="A4581" t="s">
        <v>4580</v>
      </c>
      <c r="B4581" t="str">
        <f t="shared" ref="B4581:B4606" si="205">"0.00109%"</f>
        <v>0.00109%</v>
      </c>
      <c r="C4581" t="s">
        <v>10</v>
      </c>
      <c r="D4581" t="s">
        <v>10</v>
      </c>
      <c r="E4581" t="str">
        <f>"$ 8,392"</f>
        <v>$ 8,392</v>
      </c>
      <c r="F4581" s="1">
        <v>5956</v>
      </c>
    </row>
    <row r="4582" spans="1:6">
      <c r="A4582" t="s">
        <v>4581</v>
      </c>
      <c r="B4582" t="str">
        <f t="shared" si="205"/>
        <v>0.00109%</v>
      </c>
      <c r="C4582" t="s">
        <v>10</v>
      </c>
      <c r="D4582" t="s">
        <v>10</v>
      </c>
      <c r="E4582" t="str">
        <f>"$ 8,440"</f>
        <v>$ 8,440</v>
      </c>
      <c r="F4582" s="1">
        <v>4326</v>
      </c>
    </row>
    <row r="4583" spans="1:6">
      <c r="A4583" t="s">
        <v>4582</v>
      </c>
      <c r="B4583" t="str">
        <f t="shared" si="205"/>
        <v>0.00109%</v>
      </c>
      <c r="C4583" t="s">
        <v>10</v>
      </c>
      <c r="D4583" t="s">
        <v>10</v>
      </c>
      <c r="E4583" t="str">
        <f>"$ 8,445"</f>
        <v>$ 8,445</v>
      </c>
      <c r="F4583" s="1">
        <v>1584</v>
      </c>
    </row>
    <row r="4584" spans="1:6">
      <c r="A4584" t="s">
        <v>4583</v>
      </c>
      <c r="B4584" t="str">
        <f t="shared" si="205"/>
        <v>0.00109%</v>
      </c>
      <c r="C4584" t="s">
        <v>10</v>
      </c>
      <c r="D4584" t="s">
        <v>10</v>
      </c>
      <c r="E4584" t="str">
        <f>"$ 8,444"</f>
        <v>$ 8,444</v>
      </c>
      <c r="F4584">
        <v>112</v>
      </c>
    </row>
    <row r="4585" spans="1:6">
      <c r="A4585" t="s">
        <v>4584</v>
      </c>
      <c r="B4585" t="str">
        <f t="shared" si="205"/>
        <v>0.00109%</v>
      </c>
      <c r="C4585" t="s">
        <v>10</v>
      </c>
      <c r="D4585" t="s">
        <v>10</v>
      </c>
      <c r="E4585" t="str">
        <f>"$ 8,430"</f>
        <v>$ 8,430</v>
      </c>
      <c r="F4585">
        <v>214</v>
      </c>
    </row>
    <row r="4586" spans="1:6">
      <c r="A4586" t="s">
        <v>4585</v>
      </c>
      <c r="B4586" t="str">
        <f t="shared" si="205"/>
        <v>0.00109%</v>
      </c>
      <c r="C4586" t="s">
        <v>10</v>
      </c>
      <c r="D4586" t="s">
        <v>10</v>
      </c>
      <c r="E4586" t="str">
        <f>"$ 8,427"</f>
        <v>$ 8,427</v>
      </c>
      <c r="F4586" s="1">
        <v>5239</v>
      </c>
    </row>
    <row r="4587" spans="1:6">
      <c r="A4587" t="s">
        <v>4586</v>
      </c>
      <c r="B4587" t="str">
        <f t="shared" si="205"/>
        <v>0.00109%</v>
      </c>
      <c r="C4587" t="s">
        <v>10</v>
      </c>
      <c r="D4587" t="s">
        <v>10</v>
      </c>
      <c r="E4587" t="str">
        <f>"$ 8,447"</f>
        <v>$ 8,447</v>
      </c>
      <c r="F4587">
        <v>207</v>
      </c>
    </row>
    <row r="4588" spans="1:6">
      <c r="A4588" t="s">
        <v>4587</v>
      </c>
      <c r="B4588" t="str">
        <f t="shared" si="205"/>
        <v>0.00109%</v>
      </c>
      <c r="C4588" t="s">
        <v>10</v>
      </c>
      <c r="D4588" t="s">
        <v>10</v>
      </c>
      <c r="E4588" t="str">
        <f>"$ 8,383"</f>
        <v>$ 8,383</v>
      </c>
      <c r="F4588">
        <v>247</v>
      </c>
    </row>
    <row r="4589" spans="1:6">
      <c r="A4589" t="s">
        <v>4588</v>
      </c>
      <c r="B4589" t="str">
        <f t="shared" si="205"/>
        <v>0.00109%</v>
      </c>
      <c r="C4589" t="s">
        <v>10</v>
      </c>
      <c r="D4589" t="s">
        <v>10</v>
      </c>
      <c r="E4589" t="str">
        <f>"$ 8,410"</f>
        <v>$ 8,410</v>
      </c>
      <c r="F4589">
        <v>148</v>
      </c>
    </row>
    <row r="4590" spans="1:6">
      <c r="A4590" t="s">
        <v>4589</v>
      </c>
      <c r="B4590" t="str">
        <f t="shared" si="205"/>
        <v>0.00109%</v>
      </c>
      <c r="C4590" t="s">
        <v>10</v>
      </c>
      <c r="D4590" t="s">
        <v>10</v>
      </c>
      <c r="E4590" t="str">
        <f>"$ 8,413"</f>
        <v>$ 8,413</v>
      </c>
      <c r="F4590" s="1">
        <v>2161</v>
      </c>
    </row>
    <row r="4591" spans="1:6">
      <c r="A4591" t="s">
        <v>4590</v>
      </c>
      <c r="B4591" t="str">
        <f t="shared" si="205"/>
        <v>0.00109%</v>
      </c>
      <c r="C4591" t="s">
        <v>10</v>
      </c>
      <c r="D4591" t="s">
        <v>10</v>
      </c>
      <c r="E4591" t="str">
        <f>"$ 8,440"</f>
        <v>$ 8,440</v>
      </c>
      <c r="F4591">
        <v>576</v>
      </c>
    </row>
    <row r="4592" spans="1:6">
      <c r="A4592" t="s">
        <v>4591</v>
      </c>
      <c r="B4592" t="str">
        <f t="shared" si="205"/>
        <v>0.00109%</v>
      </c>
      <c r="C4592" t="s">
        <v>10</v>
      </c>
      <c r="D4592" t="s">
        <v>10</v>
      </c>
      <c r="E4592" t="str">
        <f>"$ 8,451"</f>
        <v>$ 8,451</v>
      </c>
      <c r="F4592">
        <v>198</v>
      </c>
    </row>
    <row r="4593" spans="1:6">
      <c r="A4593" t="s">
        <v>4592</v>
      </c>
      <c r="B4593" t="str">
        <f t="shared" si="205"/>
        <v>0.00109%</v>
      </c>
      <c r="C4593" t="s">
        <v>10</v>
      </c>
      <c r="D4593" t="s">
        <v>10</v>
      </c>
      <c r="E4593" t="str">
        <f>"$ 8,455"</f>
        <v>$ 8,455</v>
      </c>
      <c r="F4593">
        <v>528</v>
      </c>
    </row>
    <row r="4594" spans="1:6">
      <c r="A4594" t="s">
        <v>4593</v>
      </c>
      <c r="B4594" t="str">
        <f t="shared" si="205"/>
        <v>0.00109%</v>
      </c>
      <c r="C4594" t="s">
        <v>10</v>
      </c>
      <c r="D4594" t="s">
        <v>10</v>
      </c>
      <c r="E4594" t="str">
        <f>"$ 8,425"</f>
        <v>$ 8,425</v>
      </c>
      <c r="F4594" s="1">
        <v>1188</v>
      </c>
    </row>
    <row r="4595" spans="1:6">
      <c r="A4595" t="s">
        <v>4594</v>
      </c>
      <c r="B4595" t="str">
        <f t="shared" si="205"/>
        <v>0.00109%</v>
      </c>
      <c r="C4595" t="s">
        <v>10</v>
      </c>
      <c r="D4595" t="s">
        <v>10</v>
      </c>
      <c r="E4595" t="str">
        <f>"$ 8,416"</f>
        <v>$ 8,416</v>
      </c>
      <c r="F4595">
        <v>132</v>
      </c>
    </row>
    <row r="4596" spans="1:6">
      <c r="A4596" t="s">
        <v>4595</v>
      </c>
      <c r="B4596" t="str">
        <f t="shared" si="205"/>
        <v>0.00109%</v>
      </c>
      <c r="C4596" t="s">
        <v>10</v>
      </c>
      <c r="D4596" t="s">
        <v>10</v>
      </c>
      <c r="E4596" t="str">
        <f>"$ 8,448"</f>
        <v>$ 8,448</v>
      </c>
      <c r="F4596" s="1">
        <v>5872</v>
      </c>
    </row>
    <row r="4597" spans="1:6">
      <c r="A4597" t="s">
        <v>4596</v>
      </c>
      <c r="B4597" t="str">
        <f t="shared" si="205"/>
        <v>0.00109%</v>
      </c>
      <c r="C4597" t="s">
        <v>10</v>
      </c>
      <c r="D4597" t="s">
        <v>10</v>
      </c>
      <c r="E4597" t="str">
        <f>"$ 8,402"</f>
        <v>$ 8,402</v>
      </c>
      <c r="F4597">
        <v>216</v>
      </c>
    </row>
    <row r="4598" spans="1:6">
      <c r="A4598" t="s">
        <v>4597</v>
      </c>
      <c r="B4598" t="str">
        <f t="shared" si="205"/>
        <v>0.00109%</v>
      </c>
      <c r="C4598" t="s">
        <v>10</v>
      </c>
      <c r="D4598" t="s">
        <v>10</v>
      </c>
      <c r="E4598" t="str">
        <f>"$ 8,407"</f>
        <v>$ 8,407</v>
      </c>
      <c r="F4598" s="1">
        <v>4683</v>
      </c>
    </row>
    <row r="4599" spans="1:6">
      <c r="A4599" t="s">
        <v>4598</v>
      </c>
      <c r="B4599" t="str">
        <f t="shared" si="205"/>
        <v>0.00109%</v>
      </c>
      <c r="C4599" t="s">
        <v>10</v>
      </c>
      <c r="D4599" t="s">
        <v>10</v>
      </c>
      <c r="E4599" t="str">
        <f>"$ 8,398"</f>
        <v>$ 8,398</v>
      </c>
      <c r="F4599">
        <v>412</v>
      </c>
    </row>
    <row r="4600" spans="1:6">
      <c r="A4600" t="s">
        <v>4599</v>
      </c>
      <c r="B4600" t="str">
        <f t="shared" si="205"/>
        <v>0.00109%</v>
      </c>
      <c r="C4600" t="s">
        <v>10</v>
      </c>
      <c r="D4600" t="s">
        <v>10</v>
      </c>
      <c r="E4600" t="str">
        <f>"$ 8,420"</f>
        <v>$ 8,420</v>
      </c>
      <c r="F4600">
        <v>464</v>
      </c>
    </row>
    <row r="4601" spans="1:6">
      <c r="A4601" t="s">
        <v>4600</v>
      </c>
      <c r="B4601" t="str">
        <f t="shared" si="205"/>
        <v>0.00109%</v>
      </c>
      <c r="C4601" t="s">
        <v>10</v>
      </c>
      <c r="D4601" t="s">
        <v>10</v>
      </c>
      <c r="E4601" t="str">
        <f>"$ 8,416"</f>
        <v>$ 8,416</v>
      </c>
      <c r="F4601">
        <v>164</v>
      </c>
    </row>
    <row r="4602" spans="1:6">
      <c r="A4602" t="s">
        <v>4601</v>
      </c>
      <c r="B4602" t="str">
        <f t="shared" si="205"/>
        <v>0.00109%</v>
      </c>
      <c r="C4602" t="s">
        <v>10</v>
      </c>
      <c r="D4602" t="s">
        <v>10</v>
      </c>
      <c r="E4602" t="str">
        <f>"$ 8,435"</f>
        <v>$ 8,435</v>
      </c>
      <c r="F4602">
        <v>462</v>
      </c>
    </row>
    <row r="4603" spans="1:6">
      <c r="A4603" t="s">
        <v>4602</v>
      </c>
      <c r="B4603" t="str">
        <f t="shared" si="205"/>
        <v>0.00109%</v>
      </c>
      <c r="C4603" t="s">
        <v>10</v>
      </c>
      <c r="D4603" t="s">
        <v>10</v>
      </c>
      <c r="E4603" t="str">
        <f>"$ 8,435"</f>
        <v>$ 8,435</v>
      </c>
      <c r="F4603" s="1">
        <v>6900</v>
      </c>
    </row>
    <row r="4604" spans="1:6">
      <c r="A4604" t="s">
        <v>4603</v>
      </c>
      <c r="B4604" t="str">
        <f t="shared" si="205"/>
        <v>0.00109%</v>
      </c>
      <c r="C4604" t="s">
        <v>10</v>
      </c>
      <c r="D4604" t="s">
        <v>10</v>
      </c>
      <c r="E4604" t="str">
        <f>"$ 8,439"</f>
        <v>$ 8,439</v>
      </c>
      <c r="F4604">
        <v>760</v>
      </c>
    </row>
    <row r="4605" spans="1:6">
      <c r="A4605" t="s">
        <v>4604</v>
      </c>
      <c r="B4605" t="str">
        <f t="shared" si="205"/>
        <v>0.00109%</v>
      </c>
      <c r="C4605" t="s">
        <v>10</v>
      </c>
      <c r="D4605" t="s">
        <v>10</v>
      </c>
      <c r="E4605" t="str">
        <f>"$ 8,433"</f>
        <v>$ 8,433</v>
      </c>
      <c r="F4605" s="1">
        <v>2953</v>
      </c>
    </row>
    <row r="4606" spans="1:6">
      <c r="A4606" t="s">
        <v>4605</v>
      </c>
      <c r="B4606" t="str">
        <f t="shared" si="205"/>
        <v>0.00109%</v>
      </c>
      <c r="C4606" t="s">
        <v>10</v>
      </c>
      <c r="D4606" t="s">
        <v>10</v>
      </c>
      <c r="E4606" t="str">
        <f>"$ 8,386"</f>
        <v>$ 8,386</v>
      </c>
      <c r="F4606">
        <v>75</v>
      </c>
    </row>
    <row r="4607" spans="1:6">
      <c r="A4607" t="s">
        <v>4606</v>
      </c>
      <c r="B4607" t="str">
        <f t="shared" ref="B4607:B4619" si="206">"0.00108%"</f>
        <v>0.00108%</v>
      </c>
      <c r="C4607" t="s">
        <v>10</v>
      </c>
      <c r="D4607" t="s">
        <v>10</v>
      </c>
      <c r="E4607" t="str">
        <f>"$ 8,302"</f>
        <v>$ 8,302</v>
      </c>
      <c r="F4607" s="1">
        <v>1107</v>
      </c>
    </row>
    <row r="4608" spans="1:6">
      <c r="A4608" t="s">
        <v>4607</v>
      </c>
      <c r="B4608" t="str">
        <f t="shared" si="206"/>
        <v>0.00108%</v>
      </c>
      <c r="C4608" t="s">
        <v>10</v>
      </c>
      <c r="D4608" t="s">
        <v>10</v>
      </c>
      <c r="E4608" t="str">
        <f>"$ 8,356"</f>
        <v>$ 8,356</v>
      </c>
      <c r="F4608">
        <v>594</v>
      </c>
    </row>
    <row r="4609" spans="1:6">
      <c r="A4609" t="s">
        <v>4608</v>
      </c>
      <c r="B4609" t="str">
        <f t="shared" si="206"/>
        <v>0.00108%</v>
      </c>
      <c r="C4609" t="s">
        <v>10</v>
      </c>
      <c r="D4609" t="s">
        <v>10</v>
      </c>
      <c r="E4609" t="str">
        <f>"$ 8,366"</f>
        <v>$ 8,366</v>
      </c>
      <c r="F4609" s="1">
        <v>15998</v>
      </c>
    </row>
    <row r="4610" spans="1:6">
      <c r="A4610" t="s">
        <v>4609</v>
      </c>
      <c r="B4610" t="str">
        <f t="shared" si="206"/>
        <v>0.00108%</v>
      </c>
      <c r="C4610" t="s">
        <v>10</v>
      </c>
      <c r="D4610" t="s">
        <v>10</v>
      </c>
      <c r="E4610" t="str">
        <f>"$ 8,306"</f>
        <v>$ 8,306</v>
      </c>
      <c r="F4610">
        <v>969</v>
      </c>
    </row>
    <row r="4611" spans="1:6">
      <c r="A4611" t="s">
        <v>4610</v>
      </c>
      <c r="B4611" t="str">
        <f t="shared" si="206"/>
        <v>0.00108%</v>
      </c>
      <c r="C4611" t="s">
        <v>10</v>
      </c>
      <c r="D4611" t="s">
        <v>10</v>
      </c>
      <c r="E4611" t="str">
        <f>"$ 8,309"</f>
        <v>$ 8,309</v>
      </c>
      <c r="F4611">
        <v>284</v>
      </c>
    </row>
    <row r="4612" spans="1:6">
      <c r="A4612" t="s">
        <v>4611</v>
      </c>
      <c r="B4612" t="str">
        <f t="shared" si="206"/>
        <v>0.00108%</v>
      </c>
      <c r="C4612" t="s">
        <v>10</v>
      </c>
      <c r="D4612" t="s">
        <v>10</v>
      </c>
      <c r="E4612" t="str">
        <f>"$ 8,310"</f>
        <v>$ 8,310</v>
      </c>
      <c r="F4612">
        <v>195</v>
      </c>
    </row>
    <row r="4613" spans="1:6">
      <c r="A4613" t="s">
        <v>4612</v>
      </c>
      <c r="B4613" t="str">
        <f t="shared" si="206"/>
        <v>0.00108%</v>
      </c>
      <c r="C4613" t="s">
        <v>10</v>
      </c>
      <c r="D4613" t="s">
        <v>10</v>
      </c>
      <c r="E4613" t="str">
        <f>"$ 8,335"</f>
        <v>$ 8,335</v>
      </c>
      <c r="F4613">
        <v>222</v>
      </c>
    </row>
    <row r="4614" spans="1:6">
      <c r="A4614" t="s">
        <v>4613</v>
      </c>
      <c r="B4614" t="str">
        <f t="shared" si="206"/>
        <v>0.00108%</v>
      </c>
      <c r="C4614" t="s">
        <v>10</v>
      </c>
      <c r="D4614" t="s">
        <v>10</v>
      </c>
      <c r="E4614" t="str">
        <f>"$ 8,371"</f>
        <v>$ 8,371</v>
      </c>
      <c r="F4614" s="1">
        <v>2815</v>
      </c>
    </row>
    <row r="4615" spans="1:6">
      <c r="A4615" t="s">
        <v>4614</v>
      </c>
      <c r="B4615" t="str">
        <f t="shared" si="206"/>
        <v>0.00108%</v>
      </c>
      <c r="C4615" t="s">
        <v>10</v>
      </c>
      <c r="D4615" t="s">
        <v>10</v>
      </c>
      <c r="E4615" t="str">
        <f>"$ 8,319"</f>
        <v>$ 8,319</v>
      </c>
      <c r="F4615">
        <v>221</v>
      </c>
    </row>
    <row r="4616" spans="1:6">
      <c r="A4616" t="s">
        <v>4615</v>
      </c>
      <c r="B4616" t="str">
        <f t="shared" si="206"/>
        <v>0.00108%</v>
      </c>
      <c r="C4616" t="s">
        <v>10</v>
      </c>
      <c r="D4616" t="s">
        <v>10</v>
      </c>
      <c r="E4616" t="str">
        <f>"$ 8,340"</f>
        <v>$ 8,340</v>
      </c>
      <c r="F4616" s="1">
        <v>1861</v>
      </c>
    </row>
    <row r="4617" spans="1:6">
      <c r="A4617" t="s">
        <v>4616</v>
      </c>
      <c r="B4617" t="str">
        <f t="shared" si="206"/>
        <v>0.00108%</v>
      </c>
      <c r="C4617" t="s">
        <v>10</v>
      </c>
      <c r="D4617" t="s">
        <v>10</v>
      </c>
      <c r="E4617" t="str">
        <f>"$ 8,310"</f>
        <v>$ 8,310</v>
      </c>
      <c r="F4617">
        <v>97</v>
      </c>
    </row>
    <row r="4618" spans="1:6">
      <c r="A4618" t="s">
        <v>4617</v>
      </c>
      <c r="B4618" t="str">
        <f t="shared" si="206"/>
        <v>0.00108%</v>
      </c>
      <c r="C4618" t="s">
        <v>10</v>
      </c>
      <c r="D4618" t="s">
        <v>10</v>
      </c>
      <c r="E4618" t="str">
        <f>"$ 8,333"</f>
        <v>$ 8,333</v>
      </c>
      <c r="F4618">
        <v>631</v>
      </c>
    </row>
    <row r="4619" spans="1:6">
      <c r="A4619" t="s">
        <v>4618</v>
      </c>
      <c r="B4619" t="str">
        <f t="shared" si="206"/>
        <v>0.00108%</v>
      </c>
      <c r="C4619" t="s">
        <v>10</v>
      </c>
      <c r="D4619" t="s">
        <v>10</v>
      </c>
      <c r="E4619" t="str">
        <f>"$ 8,362"</f>
        <v>$ 8,362</v>
      </c>
      <c r="F4619">
        <v>515</v>
      </c>
    </row>
    <row r="4620" spans="1:6">
      <c r="A4620" t="s">
        <v>4619</v>
      </c>
      <c r="B4620" t="str">
        <f t="shared" ref="B4620:B4638" si="207">"0.00107%"</f>
        <v>0.00107%</v>
      </c>
      <c r="C4620" t="s">
        <v>10</v>
      </c>
      <c r="D4620" t="s">
        <v>10</v>
      </c>
      <c r="E4620" t="str">
        <f>"$ 8,234"</f>
        <v>$ 8,234</v>
      </c>
      <c r="F4620">
        <v>59</v>
      </c>
    </row>
    <row r="4621" spans="1:6">
      <c r="A4621" t="s">
        <v>4620</v>
      </c>
      <c r="B4621" t="str">
        <f t="shared" si="207"/>
        <v>0.00107%</v>
      </c>
      <c r="C4621" t="s">
        <v>10</v>
      </c>
      <c r="D4621" t="s">
        <v>10</v>
      </c>
      <c r="E4621" t="str">
        <f>"$ 8,224"</f>
        <v>$ 8,224</v>
      </c>
      <c r="F4621" s="1">
        <v>2363</v>
      </c>
    </row>
    <row r="4622" spans="1:6">
      <c r="A4622" t="s">
        <v>4621</v>
      </c>
      <c r="B4622" t="str">
        <f t="shared" si="207"/>
        <v>0.00107%</v>
      </c>
      <c r="C4622" t="s">
        <v>10</v>
      </c>
      <c r="D4622" t="s">
        <v>10</v>
      </c>
      <c r="E4622" t="str">
        <f>"$ 8,243"</f>
        <v>$ 8,243</v>
      </c>
      <c r="F4622" s="1">
        <v>1067</v>
      </c>
    </row>
    <row r="4623" spans="1:6">
      <c r="A4623" t="s">
        <v>4622</v>
      </c>
      <c r="B4623" t="str">
        <f t="shared" si="207"/>
        <v>0.00107%</v>
      </c>
      <c r="C4623" t="s">
        <v>10</v>
      </c>
      <c r="D4623" t="s">
        <v>10</v>
      </c>
      <c r="E4623" t="str">
        <f>"$ 8,253"</f>
        <v>$ 8,253</v>
      </c>
      <c r="F4623">
        <v>319</v>
      </c>
    </row>
    <row r="4624" spans="1:6">
      <c r="A4624" t="s">
        <v>4623</v>
      </c>
      <c r="B4624" t="str">
        <f t="shared" si="207"/>
        <v>0.00107%</v>
      </c>
      <c r="C4624" t="s">
        <v>10</v>
      </c>
      <c r="D4624" t="s">
        <v>10</v>
      </c>
      <c r="E4624" t="str">
        <f>"$ 8,288"</f>
        <v>$ 8,288</v>
      </c>
      <c r="F4624" s="1">
        <v>2781</v>
      </c>
    </row>
    <row r="4625" spans="1:6">
      <c r="A4625" t="s">
        <v>4624</v>
      </c>
      <c r="B4625" t="str">
        <f t="shared" si="207"/>
        <v>0.00107%</v>
      </c>
      <c r="C4625" t="s">
        <v>10</v>
      </c>
      <c r="D4625" t="s">
        <v>10</v>
      </c>
      <c r="E4625" t="str">
        <f>"$ 8,248"</f>
        <v>$ 8,248</v>
      </c>
      <c r="F4625">
        <v>148</v>
      </c>
    </row>
    <row r="4626" spans="1:6">
      <c r="A4626" t="s">
        <v>4625</v>
      </c>
      <c r="B4626" t="str">
        <f t="shared" si="207"/>
        <v>0.00107%</v>
      </c>
      <c r="C4626" t="s">
        <v>10</v>
      </c>
      <c r="D4626" t="s">
        <v>10</v>
      </c>
      <c r="E4626" t="str">
        <f>"$ 8,281"</f>
        <v>$ 8,281</v>
      </c>
      <c r="F4626" s="1">
        <v>1073</v>
      </c>
    </row>
    <row r="4627" spans="1:6">
      <c r="A4627" t="s">
        <v>4626</v>
      </c>
      <c r="B4627" t="str">
        <f t="shared" si="207"/>
        <v>0.00107%</v>
      </c>
      <c r="C4627" t="s">
        <v>10</v>
      </c>
      <c r="D4627" t="s">
        <v>10</v>
      </c>
      <c r="E4627" t="str">
        <f>"$ 8,251"</f>
        <v>$ 8,251</v>
      </c>
      <c r="F4627">
        <v>657</v>
      </c>
    </row>
    <row r="4628" spans="1:6">
      <c r="A4628" t="s">
        <v>4627</v>
      </c>
      <c r="B4628" t="str">
        <f t="shared" si="207"/>
        <v>0.00107%</v>
      </c>
      <c r="C4628" t="s">
        <v>10</v>
      </c>
      <c r="D4628" t="s">
        <v>10</v>
      </c>
      <c r="E4628" t="str">
        <f>"$ 8,261"</f>
        <v>$ 8,261</v>
      </c>
      <c r="F4628">
        <v>280</v>
      </c>
    </row>
    <row r="4629" spans="1:6">
      <c r="A4629" t="s">
        <v>4628</v>
      </c>
      <c r="B4629" t="str">
        <f t="shared" si="207"/>
        <v>0.00107%</v>
      </c>
      <c r="C4629" t="s">
        <v>10</v>
      </c>
      <c r="D4629" t="s">
        <v>10</v>
      </c>
      <c r="E4629" t="str">
        <f>"$ 8,286"</f>
        <v>$ 8,286</v>
      </c>
      <c r="F4629">
        <v>788</v>
      </c>
    </row>
    <row r="4630" spans="1:6">
      <c r="A4630" t="s">
        <v>4629</v>
      </c>
      <c r="B4630" t="str">
        <f t="shared" si="207"/>
        <v>0.00107%</v>
      </c>
      <c r="C4630" t="s">
        <v>10</v>
      </c>
      <c r="D4630" t="s">
        <v>10</v>
      </c>
      <c r="E4630" t="str">
        <f>"$ 8,296"</f>
        <v>$ 8,296</v>
      </c>
      <c r="F4630" s="1">
        <v>4661</v>
      </c>
    </row>
    <row r="4631" spans="1:6">
      <c r="A4631" t="s">
        <v>4630</v>
      </c>
      <c r="B4631" t="str">
        <f t="shared" si="207"/>
        <v>0.00107%</v>
      </c>
      <c r="C4631" t="s">
        <v>10</v>
      </c>
      <c r="D4631" t="s">
        <v>10</v>
      </c>
      <c r="E4631" t="str">
        <f>"$ 8,252"</f>
        <v>$ 8,252</v>
      </c>
      <c r="F4631">
        <v>239</v>
      </c>
    </row>
    <row r="4632" spans="1:6">
      <c r="A4632" t="s">
        <v>4631</v>
      </c>
      <c r="B4632" t="str">
        <f t="shared" si="207"/>
        <v>0.00107%</v>
      </c>
      <c r="C4632" t="s">
        <v>10</v>
      </c>
      <c r="D4632" t="s">
        <v>10</v>
      </c>
      <c r="E4632" t="str">
        <f>"$ 8,241"</f>
        <v>$ 8,241</v>
      </c>
      <c r="F4632">
        <v>305</v>
      </c>
    </row>
    <row r="4633" spans="1:6">
      <c r="A4633" t="s">
        <v>4632</v>
      </c>
      <c r="B4633" t="str">
        <f t="shared" si="207"/>
        <v>0.00107%</v>
      </c>
      <c r="C4633" t="s">
        <v>10</v>
      </c>
      <c r="D4633" t="s">
        <v>10</v>
      </c>
      <c r="E4633" t="str">
        <f>"$ 8,274"</f>
        <v>$ 8,274</v>
      </c>
      <c r="F4633" s="1">
        <v>1080</v>
      </c>
    </row>
    <row r="4634" spans="1:6">
      <c r="A4634" t="s">
        <v>4633</v>
      </c>
      <c r="B4634" t="str">
        <f t="shared" si="207"/>
        <v>0.00107%</v>
      </c>
      <c r="C4634" t="s">
        <v>10</v>
      </c>
      <c r="D4634" t="s">
        <v>10</v>
      </c>
      <c r="E4634" t="str">
        <f>"$ 8,226"</f>
        <v>$ 8,226</v>
      </c>
      <c r="F4634" s="1">
        <v>10953</v>
      </c>
    </row>
    <row r="4635" spans="1:6">
      <c r="A4635" t="s">
        <v>4634</v>
      </c>
      <c r="B4635" t="str">
        <f t="shared" si="207"/>
        <v>0.00107%</v>
      </c>
      <c r="C4635" t="s">
        <v>10</v>
      </c>
      <c r="D4635" t="s">
        <v>10</v>
      </c>
      <c r="E4635" t="str">
        <f>"$ 8,243"</f>
        <v>$ 8,243</v>
      </c>
      <c r="F4635">
        <v>76</v>
      </c>
    </row>
    <row r="4636" spans="1:6">
      <c r="A4636" t="s">
        <v>4635</v>
      </c>
      <c r="B4636" t="str">
        <f t="shared" si="207"/>
        <v>0.00107%</v>
      </c>
      <c r="C4636" t="s">
        <v>10</v>
      </c>
      <c r="D4636" t="s">
        <v>10</v>
      </c>
      <c r="E4636" t="str">
        <f>"$ 8,294"</f>
        <v>$ 8,294</v>
      </c>
      <c r="F4636">
        <v>528</v>
      </c>
    </row>
    <row r="4637" spans="1:6">
      <c r="A4637" t="s">
        <v>4636</v>
      </c>
      <c r="B4637" t="str">
        <f t="shared" si="207"/>
        <v>0.00107%</v>
      </c>
      <c r="C4637" t="s">
        <v>10</v>
      </c>
      <c r="D4637" t="s">
        <v>10</v>
      </c>
      <c r="E4637" t="str">
        <f>"$ 8,227"</f>
        <v>$ 8,227</v>
      </c>
      <c r="F4637" s="1">
        <v>23753</v>
      </c>
    </row>
    <row r="4638" spans="1:6">
      <c r="A4638" t="s">
        <v>4637</v>
      </c>
      <c r="B4638" t="str">
        <f t="shared" si="207"/>
        <v>0.00107%</v>
      </c>
      <c r="C4638" t="s">
        <v>10</v>
      </c>
      <c r="D4638" t="s">
        <v>10</v>
      </c>
      <c r="E4638" t="str">
        <f>"$ 8,281"</f>
        <v>$ 8,281</v>
      </c>
      <c r="F4638">
        <v>365</v>
      </c>
    </row>
    <row r="4639" spans="1:6">
      <c r="A4639" t="s">
        <v>4638</v>
      </c>
      <c r="B4639" t="str">
        <f t="shared" ref="B4639:B4664" si="208">"0.00106%"</f>
        <v>0.00106%</v>
      </c>
      <c r="C4639" t="s">
        <v>10</v>
      </c>
      <c r="D4639" t="s">
        <v>10</v>
      </c>
      <c r="E4639" t="str">
        <f>"$ 8,186"</f>
        <v>$ 8,186</v>
      </c>
      <c r="F4639">
        <v>528</v>
      </c>
    </row>
    <row r="4640" spans="1:6">
      <c r="A4640" t="s">
        <v>4639</v>
      </c>
      <c r="B4640" t="str">
        <f t="shared" si="208"/>
        <v>0.00106%</v>
      </c>
      <c r="C4640" t="s">
        <v>10</v>
      </c>
      <c r="D4640" t="s">
        <v>10</v>
      </c>
      <c r="E4640" t="str">
        <f>"$ 8,221"</f>
        <v>$ 8,221</v>
      </c>
      <c r="F4640">
        <v>379</v>
      </c>
    </row>
    <row r="4641" spans="1:6">
      <c r="A4641" t="s">
        <v>4640</v>
      </c>
      <c r="B4641" t="str">
        <f t="shared" si="208"/>
        <v>0.00106%</v>
      </c>
      <c r="C4641" t="s">
        <v>10</v>
      </c>
      <c r="D4641" t="s">
        <v>10</v>
      </c>
      <c r="E4641" t="str">
        <f>"$ 8,155"</f>
        <v>$ 8,155</v>
      </c>
      <c r="F4641">
        <v>88</v>
      </c>
    </row>
    <row r="4642" spans="1:6">
      <c r="A4642" t="s">
        <v>4641</v>
      </c>
      <c r="B4642" t="str">
        <f t="shared" si="208"/>
        <v>0.00106%</v>
      </c>
      <c r="C4642" t="s">
        <v>10</v>
      </c>
      <c r="D4642" t="s">
        <v>10</v>
      </c>
      <c r="E4642" t="str">
        <f>"$ 8,164"</f>
        <v>$ 8,164</v>
      </c>
      <c r="F4642">
        <v>181</v>
      </c>
    </row>
    <row r="4643" spans="1:6">
      <c r="A4643" t="s">
        <v>4642</v>
      </c>
      <c r="B4643" t="str">
        <f t="shared" si="208"/>
        <v>0.00106%</v>
      </c>
      <c r="C4643" t="s">
        <v>10</v>
      </c>
      <c r="D4643" t="s">
        <v>10</v>
      </c>
      <c r="E4643" t="str">
        <f>"$ 8,217"</f>
        <v>$ 8,217</v>
      </c>
      <c r="F4643" s="1">
        <v>6659</v>
      </c>
    </row>
    <row r="4644" spans="1:6">
      <c r="A4644" t="s">
        <v>4643</v>
      </c>
      <c r="B4644" t="str">
        <f t="shared" si="208"/>
        <v>0.00106%</v>
      </c>
      <c r="C4644" t="s">
        <v>10</v>
      </c>
      <c r="D4644" t="s">
        <v>10</v>
      </c>
      <c r="E4644" t="str">
        <f>"$ 8,213"</f>
        <v>$ 8,213</v>
      </c>
      <c r="F4644">
        <v>412</v>
      </c>
    </row>
    <row r="4645" spans="1:6">
      <c r="A4645" t="s">
        <v>4644</v>
      </c>
      <c r="B4645" t="str">
        <f t="shared" si="208"/>
        <v>0.00106%</v>
      </c>
      <c r="C4645" t="s">
        <v>10</v>
      </c>
      <c r="D4645" t="s">
        <v>10</v>
      </c>
      <c r="E4645" t="str">
        <f>"$ 8,196"</f>
        <v>$ 8,196</v>
      </c>
      <c r="F4645">
        <v>268</v>
      </c>
    </row>
    <row r="4646" spans="1:6">
      <c r="A4646" t="s">
        <v>4645</v>
      </c>
      <c r="B4646" t="str">
        <f t="shared" si="208"/>
        <v>0.00106%</v>
      </c>
      <c r="C4646" t="s">
        <v>10</v>
      </c>
      <c r="D4646" t="s">
        <v>10</v>
      </c>
      <c r="E4646" t="str">
        <f>"$ 8,187"</f>
        <v>$ 8,187</v>
      </c>
      <c r="F4646">
        <v>297</v>
      </c>
    </row>
    <row r="4647" spans="1:6">
      <c r="A4647" t="s">
        <v>4646</v>
      </c>
      <c r="B4647" t="str">
        <f t="shared" si="208"/>
        <v>0.00106%</v>
      </c>
      <c r="C4647" t="s">
        <v>10</v>
      </c>
      <c r="D4647" t="s">
        <v>10</v>
      </c>
      <c r="E4647" t="str">
        <f>"$ 8,169"</f>
        <v>$ 8,169</v>
      </c>
      <c r="F4647" s="1">
        <v>4784</v>
      </c>
    </row>
    <row r="4648" spans="1:6">
      <c r="A4648" t="s">
        <v>4647</v>
      </c>
      <c r="B4648" t="str">
        <f t="shared" si="208"/>
        <v>0.00106%</v>
      </c>
      <c r="C4648" t="s">
        <v>10</v>
      </c>
      <c r="D4648" t="s">
        <v>10</v>
      </c>
      <c r="E4648" t="str">
        <f>"$ 8,159"</f>
        <v>$ 8,159</v>
      </c>
      <c r="F4648">
        <v>115</v>
      </c>
    </row>
    <row r="4649" spans="1:6">
      <c r="A4649" t="s">
        <v>4648</v>
      </c>
      <c r="B4649" t="str">
        <f t="shared" si="208"/>
        <v>0.00106%</v>
      </c>
      <c r="C4649" t="s">
        <v>10</v>
      </c>
      <c r="D4649" t="s">
        <v>10</v>
      </c>
      <c r="E4649" t="str">
        <f>"$ 8,164"</f>
        <v>$ 8,164</v>
      </c>
      <c r="F4649">
        <v>111</v>
      </c>
    </row>
    <row r="4650" spans="1:6">
      <c r="A4650" t="s">
        <v>4649</v>
      </c>
      <c r="B4650" t="str">
        <f t="shared" si="208"/>
        <v>0.00106%</v>
      </c>
      <c r="C4650" t="s">
        <v>10</v>
      </c>
      <c r="D4650" t="s">
        <v>10</v>
      </c>
      <c r="E4650" t="str">
        <f>"$ 8,213"</f>
        <v>$ 8,213</v>
      </c>
      <c r="F4650" s="1">
        <v>3629</v>
      </c>
    </row>
    <row r="4651" spans="1:6">
      <c r="A4651" t="s">
        <v>4650</v>
      </c>
      <c r="B4651" t="str">
        <f t="shared" si="208"/>
        <v>0.00106%</v>
      </c>
      <c r="C4651" t="s">
        <v>10</v>
      </c>
      <c r="D4651" t="s">
        <v>10</v>
      </c>
      <c r="E4651" t="str">
        <f>"$ 8,188"</f>
        <v>$ 8,188</v>
      </c>
      <c r="F4651">
        <v>403</v>
      </c>
    </row>
    <row r="4652" spans="1:6">
      <c r="A4652" t="s">
        <v>4651</v>
      </c>
      <c r="B4652" t="str">
        <f t="shared" si="208"/>
        <v>0.00106%</v>
      </c>
      <c r="C4652" t="s">
        <v>10</v>
      </c>
      <c r="D4652" t="s">
        <v>10</v>
      </c>
      <c r="E4652" t="str">
        <f>"$ 8,167"</f>
        <v>$ 8,167</v>
      </c>
      <c r="F4652">
        <v>148</v>
      </c>
    </row>
    <row r="4653" spans="1:6">
      <c r="A4653" t="s">
        <v>4652</v>
      </c>
      <c r="B4653" t="str">
        <f t="shared" si="208"/>
        <v>0.00106%</v>
      </c>
      <c r="C4653" t="s">
        <v>10</v>
      </c>
      <c r="D4653" t="s">
        <v>10</v>
      </c>
      <c r="E4653" t="str">
        <f>"$ 8,185"</f>
        <v>$ 8,185</v>
      </c>
      <c r="F4653" s="1">
        <v>3842</v>
      </c>
    </row>
    <row r="4654" spans="1:6">
      <c r="A4654" t="s">
        <v>4653</v>
      </c>
      <c r="B4654" t="str">
        <f t="shared" si="208"/>
        <v>0.00106%</v>
      </c>
      <c r="C4654" t="s">
        <v>10</v>
      </c>
      <c r="D4654" t="s">
        <v>10</v>
      </c>
      <c r="E4654" t="str">
        <f>"$ 8,212"</f>
        <v>$ 8,212</v>
      </c>
      <c r="F4654" s="1">
        <v>2996</v>
      </c>
    </row>
    <row r="4655" spans="1:6">
      <c r="A4655" t="s">
        <v>4654</v>
      </c>
      <c r="B4655" t="str">
        <f t="shared" si="208"/>
        <v>0.00106%</v>
      </c>
      <c r="C4655" t="s">
        <v>10</v>
      </c>
      <c r="D4655" t="s">
        <v>10</v>
      </c>
      <c r="E4655" t="str">
        <f>"$ 8,163"</f>
        <v>$ 8,163</v>
      </c>
      <c r="F4655" s="1">
        <v>17390</v>
      </c>
    </row>
    <row r="4656" spans="1:6">
      <c r="A4656" t="s">
        <v>4655</v>
      </c>
      <c r="B4656" t="str">
        <f t="shared" si="208"/>
        <v>0.00106%</v>
      </c>
      <c r="C4656" t="s">
        <v>10</v>
      </c>
      <c r="D4656" t="s">
        <v>10</v>
      </c>
      <c r="E4656" t="str">
        <f>"$ 8,150"</f>
        <v>$ 8,150</v>
      </c>
      <c r="F4656">
        <v>313</v>
      </c>
    </row>
    <row r="4657" spans="1:6">
      <c r="A4657" t="s">
        <v>4656</v>
      </c>
      <c r="B4657" t="str">
        <f t="shared" si="208"/>
        <v>0.00106%</v>
      </c>
      <c r="C4657" t="s">
        <v>10</v>
      </c>
      <c r="D4657" t="s">
        <v>10</v>
      </c>
      <c r="E4657" t="str">
        <f>"$ 8,209"</f>
        <v>$ 8,209</v>
      </c>
      <c r="F4657" s="1">
        <v>5318</v>
      </c>
    </row>
    <row r="4658" spans="1:6">
      <c r="A4658" t="s">
        <v>4657</v>
      </c>
      <c r="B4658" t="str">
        <f t="shared" si="208"/>
        <v>0.00106%</v>
      </c>
      <c r="C4658" t="s">
        <v>10</v>
      </c>
      <c r="D4658" t="s">
        <v>10</v>
      </c>
      <c r="E4658" t="str">
        <f>"$ 8,172"</f>
        <v>$ 8,172</v>
      </c>
      <c r="F4658">
        <v>260</v>
      </c>
    </row>
    <row r="4659" spans="1:6">
      <c r="A4659" t="s">
        <v>4658</v>
      </c>
      <c r="B4659" t="str">
        <f t="shared" si="208"/>
        <v>0.00106%</v>
      </c>
      <c r="C4659" t="s">
        <v>10</v>
      </c>
      <c r="D4659" t="s">
        <v>10</v>
      </c>
      <c r="E4659" t="str">
        <f>"$ 8,153"</f>
        <v>$ 8,153</v>
      </c>
      <c r="F4659" s="1">
        <v>1538</v>
      </c>
    </row>
    <row r="4660" spans="1:6">
      <c r="A4660" t="s">
        <v>4659</v>
      </c>
      <c r="B4660" t="str">
        <f t="shared" si="208"/>
        <v>0.00106%</v>
      </c>
      <c r="C4660" t="s">
        <v>10</v>
      </c>
      <c r="D4660" t="s">
        <v>10</v>
      </c>
      <c r="E4660" t="str">
        <f>"$ 8,149"</f>
        <v>$ 8,149</v>
      </c>
      <c r="F4660">
        <v>294</v>
      </c>
    </row>
    <row r="4661" spans="1:6">
      <c r="A4661" t="s">
        <v>4660</v>
      </c>
      <c r="B4661" t="str">
        <f t="shared" si="208"/>
        <v>0.00106%</v>
      </c>
      <c r="C4661" t="s">
        <v>10</v>
      </c>
      <c r="D4661" t="s">
        <v>10</v>
      </c>
      <c r="E4661" t="str">
        <f>"$ 8,162"</f>
        <v>$ 8,162</v>
      </c>
      <c r="F4661">
        <v>47</v>
      </c>
    </row>
    <row r="4662" spans="1:6">
      <c r="A4662" t="s">
        <v>4661</v>
      </c>
      <c r="B4662" t="str">
        <f t="shared" si="208"/>
        <v>0.00106%</v>
      </c>
      <c r="C4662" t="s">
        <v>10</v>
      </c>
      <c r="D4662" t="s">
        <v>10</v>
      </c>
      <c r="E4662" t="str">
        <f>"$ 8,217"</f>
        <v>$ 8,217</v>
      </c>
      <c r="F4662">
        <v>243</v>
      </c>
    </row>
    <row r="4663" spans="1:6">
      <c r="A4663" t="s">
        <v>4662</v>
      </c>
      <c r="B4663" t="str">
        <f t="shared" si="208"/>
        <v>0.00106%</v>
      </c>
      <c r="C4663" t="s">
        <v>10</v>
      </c>
      <c r="D4663" t="s">
        <v>10</v>
      </c>
      <c r="E4663" t="str">
        <f>"$ 8,196"</f>
        <v>$ 8,196</v>
      </c>
      <c r="F4663">
        <v>326</v>
      </c>
    </row>
    <row r="4664" spans="1:6">
      <c r="A4664" t="s">
        <v>4663</v>
      </c>
      <c r="B4664" t="str">
        <f t="shared" si="208"/>
        <v>0.00106%</v>
      </c>
      <c r="C4664" t="s">
        <v>10</v>
      </c>
      <c r="D4664" t="s">
        <v>10</v>
      </c>
      <c r="E4664" t="str">
        <f>"$ 8,191"</f>
        <v>$ 8,191</v>
      </c>
      <c r="F4664" s="1">
        <v>2241</v>
      </c>
    </row>
    <row r="4665" spans="1:6">
      <c r="A4665" t="s">
        <v>4664</v>
      </c>
      <c r="B4665" t="str">
        <f t="shared" ref="B4665:B4684" si="209">"0.00105%"</f>
        <v>0.00105%</v>
      </c>
      <c r="C4665" t="s">
        <v>10</v>
      </c>
      <c r="D4665" t="s">
        <v>10</v>
      </c>
      <c r="E4665" t="str">
        <f>"$ 8,088"</f>
        <v>$ 8,088</v>
      </c>
      <c r="F4665">
        <v>311</v>
      </c>
    </row>
    <row r="4666" spans="1:6">
      <c r="A4666" t="s">
        <v>4665</v>
      </c>
      <c r="B4666" t="str">
        <f t="shared" si="209"/>
        <v>0.00105%</v>
      </c>
      <c r="C4666" t="s">
        <v>10</v>
      </c>
      <c r="D4666" t="s">
        <v>10</v>
      </c>
      <c r="E4666" t="str">
        <f>"$ 8,109"</f>
        <v>$ 8,109</v>
      </c>
      <c r="F4666" s="1">
        <v>1464</v>
      </c>
    </row>
    <row r="4667" spans="1:6">
      <c r="A4667" t="s">
        <v>4666</v>
      </c>
      <c r="B4667" t="str">
        <f t="shared" si="209"/>
        <v>0.00105%</v>
      </c>
      <c r="C4667" t="s">
        <v>10</v>
      </c>
      <c r="D4667" t="s">
        <v>10</v>
      </c>
      <c r="E4667" t="str">
        <f>"$ 8,114"</f>
        <v>$ 8,114</v>
      </c>
      <c r="F4667" s="1">
        <v>11756</v>
      </c>
    </row>
    <row r="4668" spans="1:6">
      <c r="A4668" t="s">
        <v>4667</v>
      </c>
      <c r="B4668" t="str">
        <f t="shared" si="209"/>
        <v>0.00105%</v>
      </c>
      <c r="C4668" t="s">
        <v>10</v>
      </c>
      <c r="D4668" t="s">
        <v>10</v>
      </c>
      <c r="E4668" t="str">
        <f>"$ 8,088"</f>
        <v>$ 8,088</v>
      </c>
      <c r="F4668">
        <v>227</v>
      </c>
    </row>
    <row r="4669" spans="1:6">
      <c r="A4669" t="s">
        <v>4668</v>
      </c>
      <c r="B4669" t="str">
        <f t="shared" si="209"/>
        <v>0.00105%</v>
      </c>
      <c r="C4669" t="s">
        <v>10</v>
      </c>
      <c r="D4669" t="s">
        <v>10</v>
      </c>
      <c r="E4669" t="str">
        <f>"$ 8,077"</f>
        <v>$ 8,077</v>
      </c>
      <c r="F4669">
        <v>198</v>
      </c>
    </row>
    <row r="4670" spans="1:6">
      <c r="A4670" t="s">
        <v>4669</v>
      </c>
      <c r="B4670" t="str">
        <f t="shared" si="209"/>
        <v>0.00105%</v>
      </c>
      <c r="C4670" t="s">
        <v>10</v>
      </c>
      <c r="D4670" t="s">
        <v>10</v>
      </c>
      <c r="E4670" t="str">
        <f>"$ 8,111"</f>
        <v>$ 8,111</v>
      </c>
      <c r="F4670" s="1">
        <v>13791</v>
      </c>
    </row>
    <row r="4671" spans="1:6">
      <c r="A4671" t="s">
        <v>4670</v>
      </c>
      <c r="B4671" t="str">
        <f t="shared" si="209"/>
        <v>0.00105%</v>
      </c>
      <c r="C4671" t="s">
        <v>10</v>
      </c>
      <c r="D4671" t="s">
        <v>10</v>
      </c>
      <c r="E4671" t="str">
        <f>"$ 8,070"</f>
        <v>$ 8,070</v>
      </c>
      <c r="F4671">
        <v>313</v>
      </c>
    </row>
    <row r="4672" spans="1:6">
      <c r="A4672" t="s">
        <v>4671</v>
      </c>
      <c r="B4672" t="str">
        <f t="shared" si="209"/>
        <v>0.00105%</v>
      </c>
      <c r="C4672" t="s">
        <v>10</v>
      </c>
      <c r="D4672" t="s">
        <v>10</v>
      </c>
      <c r="E4672" t="str">
        <f>"$ 8,108"</f>
        <v>$ 8,108</v>
      </c>
      <c r="F4672">
        <v>250</v>
      </c>
    </row>
    <row r="4673" spans="1:6">
      <c r="A4673" t="s">
        <v>4672</v>
      </c>
      <c r="B4673" t="str">
        <f t="shared" si="209"/>
        <v>0.00105%</v>
      </c>
      <c r="C4673" t="s">
        <v>10</v>
      </c>
      <c r="D4673" t="s">
        <v>10</v>
      </c>
      <c r="E4673" t="str">
        <f>"$ 8,146"</f>
        <v>$ 8,146</v>
      </c>
      <c r="F4673">
        <v>973</v>
      </c>
    </row>
    <row r="4674" spans="1:6">
      <c r="A4674" t="s">
        <v>4673</v>
      </c>
      <c r="B4674" t="str">
        <f t="shared" si="209"/>
        <v>0.00105%</v>
      </c>
      <c r="C4674" t="s">
        <v>10</v>
      </c>
      <c r="D4674" t="s">
        <v>10</v>
      </c>
      <c r="E4674" t="str">
        <f>"$ 8,132"</f>
        <v>$ 8,132</v>
      </c>
      <c r="F4674" s="1">
        <v>1640</v>
      </c>
    </row>
    <row r="4675" spans="1:6">
      <c r="A4675" t="s">
        <v>4674</v>
      </c>
      <c r="B4675" t="str">
        <f t="shared" si="209"/>
        <v>0.00105%</v>
      </c>
      <c r="C4675" t="s">
        <v>10</v>
      </c>
      <c r="D4675" t="s">
        <v>10</v>
      </c>
      <c r="E4675" t="str">
        <f>"$ 8,132"</f>
        <v>$ 8,132</v>
      </c>
      <c r="F4675">
        <v>266</v>
      </c>
    </row>
    <row r="4676" spans="1:6">
      <c r="A4676" t="s">
        <v>4675</v>
      </c>
      <c r="B4676" t="str">
        <f t="shared" si="209"/>
        <v>0.00105%</v>
      </c>
      <c r="C4676" t="s">
        <v>10</v>
      </c>
      <c r="D4676" t="s">
        <v>10</v>
      </c>
      <c r="E4676" t="str">
        <f>"$ 8,102"</f>
        <v>$ 8,102</v>
      </c>
      <c r="F4676">
        <v>973</v>
      </c>
    </row>
    <row r="4677" spans="1:6">
      <c r="A4677" t="s">
        <v>4676</v>
      </c>
      <c r="B4677" t="str">
        <f t="shared" si="209"/>
        <v>0.00105%</v>
      </c>
      <c r="C4677" t="s">
        <v>10</v>
      </c>
      <c r="D4677" t="s">
        <v>10</v>
      </c>
      <c r="E4677" t="str">
        <f>"$ 8,144"</f>
        <v>$ 8,144</v>
      </c>
      <c r="F4677">
        <v>138</v>
      </c>
    </row>
    <row r="4678" spans="1:6">
      <c r="A4678" t="s">
        <v>4677</v>
      </c>
      <c r="B4678" t="str">
        <f t="shared" si="209"/>
        <v>0.00105%</v>
      </c>
      <c r="C4678" t="s">
        <v>10</v>
      </c>
      <c r="D4678" t="s">
        <v>10</v>
      </c>
      <c r="E4678" t="str">
        <f>"$ 8,099"</f>
        <v>$ 8,099</v>
      </c>
      <c r="F4678">
        <v>165</v>
      </c>
    </row>
    <row r="4679" spans="1:6">
      <c r="A4679" t="s">
        <v>4678</v>
      </c>
      <c r="B4679" t="str">
        <f t="shared" si="209"/>
        <v>0.00105%</v>
      </c>
      <c r="C4679" t="s">
        <v>10</v>
      </c>
      <c r="D4679" t="s">
        <v>10</v>
      </c>
      <c r="E4679" t="str">
        <f>"$ 8,142"</f>
        <v>$ 8,142</v>
      </c>
      <c r="F4679" s="1">
        <v>2281</v>
      </c>
    </row>
    <row r="4680" spans="1:6">
      <c r="A4680" t="s">
        <v>4679</v>
      </c>
      <c r="B4680" t="str">
        <f t="shared" si="209"/>
        <v>0.00105%</v>
      </c>
      <c r="C4680" t="s">
        <v>10</v>
      </c>
      <c r="D4680" t="s">
        <v>10</v>
      </c>
      <c r="E4680" t="str">
        <f>"$ 8,077"</f>
        <v>$ 8,077</v>
      </c>
      <c r="F4680">
        <v>100</v>
      </c>
    </row>
    <row r="4681" spans="1:6">
      <c r="A4681" t="s">
        <v>4680</v>
      </c>
      <c r="B4681" t="str">
        <f t="shared" si="209"/>
        <v>0.00105%</v>
      </c>
      <c r="C4681" t="s">
        <v>10</v>
      </c>
      <c r="D4681" t="s">
        <v>10</v>
      </c>
      <c r="E4681" t="str">
        <f>"$ 8,125"</f>
        <v>$ 8,125</v>
      </c>
      <c r="F4681">
        <v>176</v>
      </c>
    </row>
    <row r="4682" spans="1:6">
      <c r="A4682" t="s">
        <v>4681</v>
      </c>
      <c r="B4682" t="str">
        <f t="shared" si="209"/>
        <v>0.00105%</v>
      </c>
      <c r="C4682" t="s">
        <v>10</v>
      </c>
      <c r="D4682" t="s">
        <v>10</v>
      </c>
      <c r="E4682" t="str">
        <f>"$ 8,141"</f>
        <v>$ 8,141</v>
      </c>
      <c r="F4682" s="1">
        <v>10630</v>
      </c>
    </row>
    <row r="4683" spans="1:6">
      <c r="A4683" t="s">
        <v>4682</v>
      </c>
      <c r="B4683" t="str">
        <f t="shared" si="209"/>
        <v>0.00105%</v>
      </c>
      <c r="C4683" t="s">
        <v>10</v>
      </c>
      <c r="D4683" t="s">
        <v>10</v>
      </c>
      <c r="E4683" t="str">
        <f>"$ 8,107"</f>
        <v>$ 8,107</v>
      </c>
      <c r="F4683">
        <v>383</v>
      </c>
    </row>
    <row r="4684" spans="1:6">
      <c r="A4684" t="s">
        <v>4683</v>
      </c>
      <c r="B4684" t="str">
        <f t="shared" si="209"/>
        <v>0.00105%</v>
      </c>
      <c r="C4684" t="s">
        <v>10</v>
      </c>
      <c r="D4684" t="s">
        <v>10</v>
      </c>
      <c r="E4684" t="str">
        <f>"$ 8,121"</f>
        <v>$ 8,121</v>
      </c>
      <c r="F4684">
        <v>758</v>
      </c>
    </row>
    <row r="4685" spans="1:6">
      <c r="A4685" t="s">
        <v>4684</v>
      </c>
      <c r="B4685" t="str">
        <f t="shared" ref="B4685:B4709" si="210">"0.00104%"</f>
        <v>0.00104%</v>
      </c>
      <c r="C4685" t="s">
        <v>10</v>
      </c>
      <c r="D4685" t="s">
        <v>10</v>
      </c>
      <c r="E4685" t="str">
        <f>"$ 8,059"</f>
        <v>$ 8,059</v>
      </c>
      <c r="F4685" s="1">
        <v>3469</v>
      </c>
    </row>
    <row r="4686" spans="1:6">
      <c r="A4686" t="s">
        <v>4685</v>
      </c>
      <c r="B4686" t="str">
        <f t="shared" si="210"/>
        <v>0.00104%</v>
      </c>
      <c r="C4686" t="s">
        <v>10</v>
      </c>
      <c r="D4686" t="s">
        <v>10</v>
      </c>
      <c r="E4686" t="str">
        <f>"$ 8,008"</f>
        <v>$ 8,008</v>
      </c>
      <c r="F4686">
        <v>268</v>
      </c>
    </row>
    <row r="4687" spans="1:6">
      <c r="A4687" t="s">
        <v>4686</v>
      </c>
      <c r="B4687" t="str">
        <f t="shared" si="210"/>
        <v>0.00104%</v>
      </c>
      <c r="C4687" t="s">
        <v>10</v>
      </c>
      <c r="D4687" t="s">
        <v>10</v>
      </c>
      <c r="E4687" t="str">
        <f>"$ 8,021"</f>
        <v>$ 8,021</v>
      </c>
      <c r="F4687">
        <v>198</v>
      </c>
    </row>
    <row r="4688" spans="1:6">
      <c r="A4688" t="s">
        <v>4687</v>
      </c>
      <c r="B4688" t="str">
        <f t="shared" si="210"/>
        <v>0.00104%</v>
      </c>
      <c r="C4688" t="s">
        <v>10</v>
      </c>
      <c r="D4688" t="s">
        <v>10</v>
      </c>
      <c r="E4688" t="str">
        <f>"$ 8,028"</f>
        <v>$ 8,028</v>
      </c>
      <c r="F4688" s="1">
        <v>3865</v>
      </c>
    </row>
    <row r="4689" spans="1:6">
      <c r="A4689" t="s">
        <v>4688</v>
      </c>
      <c r="B4689" t="str">
        <f t="shared" si="210"/>
        <v>0.00104%</v>
      </c>
      <c r="C4689" t="s">
        <v>10</v>
      </c>
      <c r="D4689" t="s">
        <v>10</v>
      </c>
      <c r="E4689" t="str">
        <f>"$ 8,030"</f>
        <v>$ 8,030</v>
      </c>
      <c r="F4689" s="1">
        <v>1452</v>
      </c>
    </row>
    <row r="4690" spans="1:6">
      <c r="A4690" t="s">
        <v>4689</v>
      </c>
      <c r="B4690" t="str">
        <f t="shared" si="210"/>
        <v>0.00104%</v>
      </c>
      <c r="C4690" t="s">
        <v>10</v>
      </c>
      <c r="D4690" t="s">
        <v>10</v>
      </c>
      <c r="E4690" t="str">
        <f>"$ 8,003"</f>
        <v>$ 8,003</v>
      </c>
      <c r="F4690">
        <v>956</v>
      </c>
    </row>
    <row r="4691" spans="1:6">
      <c r="A4691" t="s">
        <v>4690</v>
      </c>
      <c r="B4691" t="str">
        <f t="shared" si="210"/>
        <v>0.00104%</v>
      </c>
      <c r="C4691" t="s">
        <v>10</v>
      </c>
      <c r="D4691" t="s">
        <v>10</v>
      </c>
      <c r="E4691" t="str">
        <f>"$ 8,022"</f>
        <v>$ 8,022</v>
      </c>
      <c r="F4691">
        <v>122</v>
      </c>
    </row>
    <row r="4692" spans="1:6">
      <c r="A4692" t="s">
        <v>4691</v>
      </c>
      <c r="B4692" t="str">
        <f t="shared" si="210"/>
        <v>0.00104%</v>
      </c>
      <c r="C4692" t="s">
        <v>10</v>
      </c>
      <c r="D4692" t="s">
        <v>10</v>
      </c>
      <c r="E4692" t="str">
        <f>"$ 8,039"</f>
        <v>$ 8,039</v>
      </c>
      <c r="F4692">
        <v>7</v>
      </c>
    </row>
    <row r="4693" spans="1:6">
      <c r="A4693" t="s">
        <v>4692</v>
      </c>
      <c r="B4693" t="str">
        <f t="shared" si="210"/>
        <v>0.00104%</v>
      </c>
      <c r="C4693" t="s">
        <v>10</v>
      </c>
      <c r="D4693" t="s">
        <v>10</v>
      </c>
      <c r="E4693" t="str">
        <f>"$ 7,997"</f>
        <v>$ 7,997</v>
      </c>
      <c r="F4693">
        <v>283</v>
      </c>
    </row>
    <row r="4694" spans="1:6">
      <c r="A4694" t="s">
        <v>4693</v>
      </c>
      <c r="B4694" t="str">
        <f t="shared" si="210"/>
        <v>0.00104%</v>
      </c>
      <c r="C4694" t="s">
        <v>10</v>
      </c>
      <c r="D4694" t="s">
        <v>10</v>
      </c>
      <c r="E4694" t="str">
        <f>"$ 8,029"</f>
        <v>$ 8,029</v>
      </c>
      <c r="F4694">
        <v>214</v>
      </c>
    </row>
    <row r="4695" spans="1:6">
      <c r="A4695" t="s">
        <v>4694</v>
      </c>
      <c r="B4695" t="str">
        <f t="shared" si="210"/>
        <v>0.00104%</v>
      </c>
      <c r="C4695" t="s">
        <v>10</v>
      </c>
      <c r="D4695" t="s">
        <v>10</v>
      </c>
      <c r="E4695" t="str">
        <f>"$ 7,999"</f>
        <v>$ 7,999</v>
      </c>
      <c r="F4695">
        <v>372</v>
      </c>
    </row>
    <row r="4696" spans="1:6">
      <c r="A4696" t="s">
        <v>4695</v>
      </c>
      <c r="B4696" t="str">
        <f t="shared" si="210"/>
        <v>0.00104%</v>
      </c>
      <c r="C4696" t="s">
        <v>10</v>
      </c>
      <c r="D4696" t="s">
        <v>10</v>
      </c>
      <c r="E4696" t="str">
        <f>"$ 8,014"</f>
        <v>$ 8,014</v>
      </c>
      <c r="F4696">
        <v>691</v>
      </c>
    </row>
    <row r="4697" spans="1:6">
      <c r="A4697" t="s">
        <v>4696</v>
      </c>
      <c r="B4697" t="str">
        <f t="shared" si="210"/>
        <v>0.00104%</v>
      </c>
      <c r="C4697" t="s">
        <v>10</v>
      </c>
      <c r="D4697" t="s">
        <v>10</v>
      </c>
      <c r="E4697" t="str">
        <f>"$ 7,992"</f>
        <v>$ 7,992</v>
      </c>
      <c r="F4697" s="1">
        <v>2496</v>
      </c>
    </row>
    <row r="4698" spans="1:6">
      <c r="A4698" t="s">
        <v>4697</v>
      </c>
      <c r="B4698" t="str">
        <f t="shared" si="210"/>
        <v>0.00104%</v>
      </c>
      <c r="C4698" t="s">
        <v>10</v>
      </c>
      <c r="D4698" t="s">
        <v>10</v>
      </c>
      <c r="E4698" t="str">
        <f>"$ 8,027"</f>
        <v>$ 8,027</v>
      </c>
      <c r="F4698" s="1">
        <v>5357</v>
      </c>
    </row>
    <row r="4699" spans="1:6">
      <c r="A4699" t="s">
        <v>4698</v>
      </c>
      <c r="B4699" t="str">
        <f t="shared" si="210"/>
        <v>0.00104%</v>
      </c>
      <c r="C4699" t="s">
        <v>10</v>
      </c>
      <c r="D4699" t="s">
        <v>10</v>
      </c>
      <c r="E4699" t="str">
        <f>"$ 8,050"</f>
        <v>$ 8,050</v>
      </c>
      <c r="F4699" s="1">
        <v>1802</v>
      </c>
    </row>
    <row r="4700" spans="1:6">
      <c r="A4700" t="s">
        <v>4699</v>
      </c>
      <c r="B4700" t="str">
        <f t="shared" si="210"/>
        <v>0.00104%</v>
      </c>
      <c r="C4700" t="s">
        <v>10</v>
      </c>
      <c r="D4700" t="s">
        <v>10</v>
      </c>
      <c r="E4700" t="str">
        <f>"$ 8,031"</f>
        <v>$ 8,031</v>
      </c>
      <c r="F4700">
        <v>150</v>
      </c>
    </row>
    <row r="4701" spans="1:6">
      <c r="A4701" t="s">
        <v>4700</v>
      </c>
      <c r="B4701" t="str">
        <f t="shared" si="210"/>
        <v>0.00104%</v>
      </c>
      <c r="C4701" t="s">
        <v>10</v>
      </c>
      <c r="D4701" t="s">
        <v>10</v>
      </c>
      <c r="E4701" t="str">
        <f>"$ 8,029"</f>
        <v>$ 8,029</v>
      </c>
      <c r="F4701">
        <v>429</v>
      </c>
    </row>
    <row r="4702" spans="1:6">
      <c r="A4702" t="s">
        <v>4701</v>
      </c>
      <c r="B4702" t="str">
        <f t="shared" si="210"/>
        <v>0.00104%</v>
      </c>
      <c r="C4702" t="s">
        <v>10</v>
      </c>
      <c r="D4702" t="s">
        <v>10</v>
      </c>
      <c r="E4702" t="str">
        <f>"$ 8,012"</f>
        <v>$ 8,012</v>
      </c>
      <c r="F4702" s="1">
        <v>1117</v>
      </c>
    </row>
    <row r="4703" spans="1:6">
      <c r="A4703" t="s">
        <v>4702</v>
      </c>
      <c r="B4703" t="str">
        <f t="shared" si="210"/>
        <v>0.00104%</v>
      </c>
      <c r="C4703" t="s">
        <v>10</v>
      </c>
      <c r="D4703" t="s">
        <v>10</v>
      </c>
      <c r="E4703" t="str">
        <f>"$ 8,058"</f>
        <v>$ 8,058</v>
      </c>
      <c r="F4703" s="1">
        <v>1839</v>
      </c>
    </row>
    <row r="4704" spans="1:6">
      <c r="A4704" t="s">
        <v>4703</v>
      </c>
      <c r="B4704" t="str">
        <f t="shared" si="210"/>
        <v>0.00104%</v>
      </c>
      <c r="C4704" t="s">
        <v>10</v>
      </c>
      <c r="D4704" t="s">
        <v>10</v>
      </c>
      <c r="E4704" t="str">
        <f>"$ 8,007"</f>
        <v>$ 8,007</v>
      </c>
      <c r="F4704">
        <v>64</v>
      </c>
    </row>
    <row r="4705" spans="1:6">
      <c r="A4705" t="s">
        <v>4704</v>
      </c>
      <c r="B4705" t="str">
        <f t="shared" si="210"/>
        <v>0.00104%</v>
      </c>
      <c r="C4705" t="s">
        <v>10</v>
      </c>
      <c r="D4705" t="s">
        <v>10</v>
      </c>
      <c r="E4705" t="str">
        <f>"$ 7,993"</f>
        <v>$ 7,993</v>
      </c>
      <c r="F4705">
        <v>563</v>
      </c>
    </row>
    <row r="4706" spans="1:6">
      <c r="A4706" t="s">
        <v>4705</v>
      </c>
      <c r="B4706" t="str">
        <f t="shared" si="210"/>
        <v>0.00104%</v>
      </c>
      <c r="C4706" t="s">
        <v>10</v>
      </c>
      <c r="D4706" t="s">
        <v>10</v>
      </c>
      <c r="E4706" t="str">
        <f>"$ 8,029"</f>
        <v>$ 8,029</v>
      </c>
      <c r="F4706" s="1">
        <v>6770</v>
      </c>
    </row>
    <row r="4707" spans="1:6">
      <c r="A4707" t="s">
        <v>4706</v>
      </c>
      <c r="B4707" t="str">
        <f t="shared" si="210"/>
        <v>0.00104%</v>
      </c>
      <c r="C4707" t="s">
        <v>10</v>
      </c>
      <c r="D4707" t="s">
        <v>10</v>
      </c>
      <c r="E4707" t="str">
        <f>"$ 8,035"</f>
        <v>$ 8,035</v>
      </c>
      <c r="F4707">
        <v>305</v>
      </c>
    </row>
    <row r="4708" spans="1:6">
      <c r="A4708" t="s">
        <v>4707</v>
      </c>
      <c r="B4708" t="str">
        <f t="shared" si="210"/>
        <v>0.00104%</v>
      </c>
      <c r="C4708" t="s">
        <v>10</v>
      </c>
      <c r="D4708" t="s">
        <v>10</v>
      </c>
      <c r="E4708" t="str">
        <f>"$ 8,036"</f>
        <v>$ 8,036</v>
      </c>
      <c r="F4708">
        <v>419</v>
      </c>
    </row>
    <row r="4709" spans="1:6">
      <c r="A4709" t="s">
        <v>4708</v>
      </c>
      <c r="B4709" t="str">
        <f t="shared" si="210"/>
        <v>0.00104%</v>
      </c>
      <c r="C4709" t="s">
        <v>10</v>
      </c>
      <c r="D4709" t="s">
        <v>10</v>
      </c>
      <c r="E4709" t="str">
        <f>"$ 7,996"</f>
        <v>$ 7,996</v>
      </c>
      <c r="F4709">
        <v>16</v>
      </c>
    </row>
    <row r="4710" spans="1:6">
      <c r="A4710" t="s">
        <v>4709</v>
      </c>
      <c r="B4710" t="str">
        <f t="shared" ref="B4710:B4725" si="211">"0.00103%"</f>
        <v>0.00103%</v>
      </c>
      <c r="C4710" t="s">
        <v>10</v>
      </c>
      <c r="D4710" t="s">
        <v>10</v>
      </c>
      <c r="E4710" t="str">
        <f>"$ 7,955"</f>
        <v>$ 7,955</v>
      </c>
      <c r="F4710" s="1">
        <v>1627</v>
      </c>
    </row>
    <row r="4711" spans="1:6">
      <c r="A4711" t="s">
        <v>4710</v>
      </c>
      <c r="B4711" t="str">
        <f t="shared" si="211"/>
        <v>0.00103%</v>
      </c>
      <c r="C4711" t="s">
        <v>10</v>
      </c>
      <c r="D4711" t="s">
        <v>10</v>
      </c>
      <c r="E4711" t="str">
        <f>"$ 7,976"</f>
        <v>$ 7,976</v>
      </c>
      <c r="F4711">
        <v>297</v>
      </c>
    </row>
    <row r="4712" spans="1:6">
      <c r="A4712" t="s">
        <v>4711</v>
      </c>
      <c r="B4712" t="str">
        <f t="shared" si="211"/>
        <v>0.00103%</v>
      </c>
      <c r="C4712" t="s">
        <v>10</v>
      </c>
      <c r="D4712" t="s">
        <v>10</v>
      </c>
      <c r="E4712" t="str">
        <f>"$ 7,924"</f>
        <v>$ 7,924</v>
      </c>
      <c r="F4712" s="1">
        <v>1028</v>
      </c>
    </row>
    <row r="4713" spans="1:6">
      <c r="A4713" t="s">
        <v>4712</v>
      </c>
      <c r="B4713" t="str">
        <f t="shared" si="211"/>
        <v>0.00103%</v>
      </c>
      <c r="C4713" t="s">
        <v>10</v>
      </c>
      <c r="D4713" t="s">
        <v>10</v>
      </c>
      <c r="E4713" t="str">
        <f>"$ 7,944"</f>
        <v>$ 7,944</v>
      </c>
      <c r="F4713">
        <v>137</v>
      </c>
    </row>
    <row r="4714" spans="1:6">
      <c r="A4714" t="s">
        <v>4713</v>
      </c>
      <c r="B4714" t="str">
        <f t="shared" si="211"/>
        <v>0.00103%</v>
      </c>
      <c r="C4714" t="s">
        <v>10</v>
      </c>
      <c r="D4714" t="s">
        <v>10</v>
      </c>
      <c r="E4714" t="str">
        <f>"$ 7,980"</f>
        <v>$ 7,980</v>
      </c>
      <c r="F4714">
        <v>396</v>
      </c>
    </row>
    <row r="4715" spans="1:6">
      <c r="A4715" t="s">
        <v>4714</v>
      </c>
      <c r="B4715" t="str">
        <f t="shared" si="211"/>
        <v>0.00103%</v>
      </c>
      <c r="C4715" t="s">
        <v>10</v>
      </c>
      <c r="D4715" t="s">
        <v>10</v>
      </c>
      <c r="E4715" t="str">
        <f>"$ 7,919"</f>
        <v>$ 7,919</v>
      </c>
      <c r="F4715" s="1">
        <v>1039</v>
      </c>
    </row>
    <row r="4716" spans="1:6">
      <c r="A4716" t="s">
        <v>4715</v>
      </c>
      <c r="B4716" t="str">
        <f t="shared" si="211"/>
        <v>0.00103%</v>
      </c>
      <c r="C4716" t="s">
        <v>10</v>
      </c>
      <c r="D4716" t="s">
        <v>10</v>
      </c>
      <c r="E4716" t="str">
        <f>"$ 7,986"</f>
        <v>$ 7,986</v>
      </c>
      <c r="F4716" s="1">
        <v>13912</v>
      </c>
    </row>
    <row r="4717" spans="1:6">
      <c r="A4717" t="s">
        <v>4716</v>
      </c>
      <c r="B4717" t="str">
        <f t="shared" si="211"/>
        <v>0.00103%</v>
      </c>
      <c r="C4717" t="s">
        <v>10</v>
      </c>
      <c r="D4717" t="s">
        <v>10</v>
      </c>
      <c r="E4717" t="str">
        <f>"$ 7,971"</f>
        <v>$ 7,971</v>
      </c>
      <c r="F4717">
        <v>726</v>
      </c>
    </row>
    <row r="4718" spans="1:6">
      <c r="A4718" t="s">
        <v>4717</v>
      </c>
      <c r="B4718" t="str">
        <f t="shared" si="211"/>
        <v>0.00103%</v>
      </c>
      <c r="C4718" t="s">
        <v>10</v>
      </c>
      <c r="D4718" t="s">
        <v>10</v>
      </c>
      <c r="E4718" t="str">
        <f>"$ 7,945"</f>
        <v>$ 7,945</v>
      </c>
      <c r="F4718">
        <v>132</v>
      </c>
    </row>
    <row r="4719" spans="1:6">
      <c r="A4719" t="s">
        <v>4718</v>
      </c>
      <c r="B4719" t="str">
        <f t="shared" si="211"/>
        <v>0.00103%</v>
      </c>
      <c r="C4719" t="s">
        <v>10</v>
      </c>
      <c r="D4719" t="s">
        <v>10</v>
      </c>
      <c r="E4719" t="str">
        <f>"$ 7,966"</f>
        <v>$ 7,966</v>
      </c>
      <c r="F4719">
        <v>243</v>
      </c>
    </row>
    <row r="4720" spans="1:6">
      <c r="A4720" t="s">
        <v>4719</v>
      </c>
      <c r="B4720" t="str">
        <f t="shared" si="211"/>
        <v>0.00103%</v>
      </c>
      <c r="C4720" t="s">
        <v>10</v>
      </c>
      <c r="D4720" t="s">
        <v>10</v>
      </c>
      <c r="E4720" t="str">
        <f>"$ 7,921"</f>
        <v>$ 7,921</v>
      </c>
      <c r="F4720">
        <v>115</v>
      </c>
    </row>
    <row r="4721" spans="1:6">
      <c r="A4721" t="s">
        <v>4720</v>
      </c>
      <c r="B4721" t="str">
        <f t="shared" si="211"/>
        <v>0.00103%</v>
      </c>
      <c r="C4721" t="s">
        <v>10</v>
      </c>
      <c r="D4721" t="s">
        <v>10</v>
      </c>
      <c r="E4721" t="str">
        <f>"$ 7,979"</f>
        <v>$ 7,979</v>
      </c>
      <c r="F4721">
        <v>183</v>
      </c>
    </row>
    <row r="4722" spans="1:6">
      <c r="A4722" t="s">
        <v>4721</v>
      </c>
      <c r="B4722" t="str">
        <f t="shared" si="211"/>
        <v>0.00103%</v>
      </c>
      <c r="C4722" t="s">
        <v>10</v>
      </c>
      <c r="D4722" t="s">
        <v>10</v>
      </c>
      <c r="E4722" t="str">
        <f>"$ 7,932"</f>
        <v>$ 7,932</v>
      </c>
      <c r="F4722" s="1">
        <v>1320</v>
      </c>
    </row>
    <row r="4723" spans="1:6">
      <c r="A4723" t="s">
        <v>4722</v>
      </c>
      <c r="B4723" t="str">
        <f t="shared" si="211"/>
        <v>0.00103%</v>
      </c>
      <c r="C4723" t="s">
        <v>10</v>
      </c>
      <c r="D4723" t="s">
        <v>10</v>
      </c>
      <c r="E4723" t="str">
        <f>"$ 7,979"</f>
        <v>$ 7,979</v>
      </c>
      <c r="F4723">
        <v>49</v>
      </c>
    </row>
    <row r="4724" spans="1:6">
      <c r="A4724" t="s">
        <v>4723</v>
      </c>
      <c r="B4724" t="str">
        <f t="shared" si="211"/>
        <v>0.00103%</v>
      </c>
      <c r="C4724" t="s">
        <v>10</v>
      </c>
      <c r="D4724" t="s">
        <v>10</v>
      </c>
      <c r="E4724" t="str">
        <f>"$ 7,921"</f>
        <v>$ 7,921</v>
      </c>
      <c r="F4724" s="1">
        <v>3637</v>
      </c>
    </row>
    <row r="4725" spans="1:6">
      <c r="A4725" t="s">
        <v>4724</v>
      </c>
      <c r="B4725" t="str">
        <f t="shared" si="211"/>
        <v>0.00103%</v>
      </c>
      <c r="C4725" t="s">
        <v>10</v>
      </c>
      <c r="D4725" t="s">
        <v>10</v>
      </c>
      <c r="E4725" t="str">
        <f>"$ 7,967"</f>
        <v>$ 7,967</v>
      </c>
      <c r="F4725">
        <v>357</v>
      </c>
    </row>
    <row r="4726" spans="1:6">
      <c r="A4726" t="s">
        <v>4725</v>
      </c>
      <c r="B4726" t="str">
        <f t="shared" ref="B4726:B4749" si="212">"0.00102%"</f>
        <v>0.00102%</v>
      </c>
      <c r="C4726" t="s">
        <v>10</v>
      </c>
      <c r="D4726" t="s">
        <v>10</v>
      </c>
      <c r="E4726" t="str">
        <f>"$ 7,871"</f>
        <v>$ 7,871</v>
      </c>
      <c r="F4726">
        <v>162</v>
      </c>
    </row>
    <row r="4727" spans="1:6">
      <c r="A4727" t="s">
        <v>4726</v>
      </c>
      <c r="B4727" t="str">
        <f t="shared" si="212"/>
        <v>0.00102%</v>
      </c>
      <c r="C4727" t="s">
        <v>10</v>
      </c>
      <c r="D4727" t="s">
        <v>10</v>
      </c>
      <c r="E4727" t="str">
        <f>"$ 7,874"</f>
        <v>$ 7,874</v>
      </c>
      <c r="F4727">
        <v>242</v>
      </c>
    </row>
    <row r="4728" spans="1:6">
      <c r="A4728" t="s">
        <v>4727</v>
      </c>
      <c r="B4728" t="str">
        <f t="shared" si="212"/>
        <v>0.00102%</v>
      </c>
      <c r="C4728" t="s">
        <v>10</v>
      </c>
      <c r="D4728" t="s">
        <v>10</v>
      </c>
      <c r="E4728" t="str">
        <f>"$ 7,904"</f>
        <v>$ 7,904</v>
      </c>
      <c r="F4728">
        <v>230</v>
      </c>
    </row>
    <row r="4729" spans="1:6">
      <c r="A4729" t="s">
        <v>4728</v>
      </c>
      <c r="B4729" t="str">
        <f t="shared" si="212"/>
        <v>0.00102%</v>
      </c>
      <c r="C4729" t="s">
        <v>10</v>
      </c>
      <c r="D4729" t="s">
        <v>10</v>
      </c>
      <c r="E4729" t="str">
        <f>"$ 7,840"</f>
        <v>$ 7,840</v>
      </c>
      <c r="F4729">
        <v>267</v>
      </c>
    </row>
    <row r="4730" spans="1:6">
      <c r="A4730" t="s">
        <v>4729</v>
      </c>
      <c r="B4730" t="str">
        <f t="shared" si="212"/>
        <v>0.00102%</v>
      </c>
      <c r="C4730" t="s">
        <v>10</v>
      </c>
      <c r="D4730" t="s">
        <v>10</v>
      </c>
      <c r="E4730" t="str">
        <f>"$ 7,900"</f>
        <v>$ 7,900</v>
      </c>
      <c r="F4730">
        <v>994</v>
      </c>
    </row>
    <row r="4731" spans="1:6">
      <c r="A4731" t="s">
        <v>4730</v>
      </c>
      <c r="B4731" t="str">
        <f t="shared" si="212"/>
        <v>0.00102%</v>
      </c>
      <c r="C4731" t="s">
        <v>10</v>
      </c>
      <c r="D4731" t="s">
        <v>10</v>
      </c>
      <c r="E4731" t="str">
        <f>"$ 7,883"</f>
        <v>$ 7,883</v>
      </c>
      <c r="F4731" s="1">
        <v>7670</v>
      </c>
    </row>
    <row r="4732" spans="1:6">
      <c r="A4732" t="s">
        <v>4731</v>
      </c>
      <c r="B4732" t="str">
        <f t="shared" si="212"/>
        <v>0.00102%</v>
      </c>
      <c r="C4732" t="s">
        <v>10</v>
      </c>
      <c r="D4732" t="s">
        <v>10</v>
      </c>
      <c r="E4732" t="str">
        <f>"$ 7,872"</f>
        <v>$ 7,872</v>
      </c>
      <c r="F4732" s="1">
        <v>1435</v>
      </c>
    </row>
    <row r="4733" spans="1:6">
      <c r="A4733" t="s">
        <v>4732</v>
      </c>
      <c r="B4733" t="str">
        <f t="shared" si="212"/>
        <v>0.00102%</v>
      </c>
      <c r="C4733" t="s">
        <v>10</v>
      </c>
      <c r="D4733" t="s">
        <v>10</v>
      </c>
      <c r="E4733" t="str">
        <f>"$ 7,871"</f>
        <v>$ 7,871</v>
      </c>
      <c r="F4733">
        <v>434</v>
      </c>
    </row>
    <row r="4734" spans="1:6">
      <c r="A4734" t="s">
        <v>4733</v>
      </c>
      <c r="B4734" t="str">
        <f t="shared" si="212"/>
        <v>0.00102%</v>
      </c>
      <c r="C4734" t="s">
        <v>10</v>
      </c>
      <c r="D4734" t="s">
        <v>10</v>
      </c>
      <c r="E4734" t="str">
        <f>"$ 7,888"</f>
        <v>$ 7,888</v>
      </c>
      <c r="F4734">
        <v>80</v>
      </c>
    </row>
    <row r="4735" spans="1:6">
      <c r="A4735" t="s">
        <v>4734</v>
      </c>
      <c r="B4735" t="str">
        <f t="shared" si="212"/>
        <v>0.00102%</v>
      </c>
      <c r="C4735" t="s">
        <v>10</v>
      </c>
      <c r="D4735" t="s">
        <v>10</v>
      </c>
      <c r="E4735" t="str">
        <f>"$ 7,887"</f>
        <v>$ 7,887</v>
      </c>
      <c r="F4735">
        <v>214</v>
      </c>
    </row>
    <row r="4736" spans="1:6">
      <c r="A4736" t="s">
        <v>4735</v>
      </c>
      <c r="B4736" t="str">
        <f t="shared" si="212"/>
        <v>0.00102%</v>
      </c>
      <c r="C4736" t="s">
        <v>10</v>
      </c>
      <c r="D4736" t="s">
        <v>10</v>
      </c>
      <c r="E4736" t="str">
        <f>"$ 7,865"</f>
        <v>$ 7,865</v>
      </c>
      <c r="F4736">
        <v>642</v>
      </c>
    </row>
    <row r="4737" spans="1:6">
      <c r="A4737" t="s">
        <v>4736</v>
      </c>
      <c r="B4737" t="str">
        <f t="shared" si="212"/>
        <v>0.00102%</v>
      </c>
      <c r="C4737" t="s">
        <v>10</v>
      </c>
      <c r="D4737" t="s">
        <v>10</v>
      </c>
      <c r="E4737" t="str">
        <f>"$ 7,844"</f>
        <v>$ 7,844</v>
      </c>
      <c r="F4737">
        <v>719</v>
      </c>
    </row>
    <row r="4738" spans="1:6">
      <c r="A4738" t="s">
        <v>4737</v>
      </c>
      <c r="B4738" t="str">
        <f t="shared" si="212"/>
        <v>0.00102%</v>
      </c>
      <c r="C4738" t="s">
        <v>10</v>
      </c>
      <c r="D4738" t="s">
        <v>10</v>
      </c>
      <c r="E4738" t="str">
        <f>"$ 7,899"</f>
        <v>$ 7,899</v>
      </c>
      <c r="F4738" s="1">
        <v>1570</v>
      </c>
    </row>
    <row r="4739" spans="1:6">
      <c r="A4739" t="s">
        <v>4738</v>
      </c>
      <c r="B4739" t="str">
        <f t="shared" si="212"/>
        <v>0.00102%</v>
      </c>
      <c r="C4739" t="s">
        <v>10</v>
      </c>
      <c r="D4739" t="s">
        <v>10</v>
      </c>
      <c r="E4739" t="str">
        <f>"$ 7,861"</f>
        <v>$ 7,861</v>
      </c>
      <c r="F4739">
        <v>473</v>
      </c>
    </row>
    <row r="4740" spans="1:6">
      <c r="A4740" t="s">
        <v>4739</v>
      </c>
      <c r="B4740" t="str">
        <f t="shared" si="212"/>
        <v>0.00102%</v>
      </c>
      <c r="C4740" t="s">
        <v>10</v>
      </c>
      <c r="D4740" t="s">
        <v>10</v>
      </c>
      <c r="E4740" t="str">
        <f>"$ 7,845"</f>
        <v>$ 7,845</v>
      </c>
      <c r="F4740" s="1">
        <v>3200</v>
      </c>
    </row>
    <row r="4741" spans="1:6">
      <c r="A4741" t="s">
        <v>4740</v>
      </c>
      <c r="B4741" t="str">
        <f t="shared" si="212"/>
        <v>0.00102%</v>
      </c>
      <c r="C4741" t="s">
        <v>10</v>
      </c>
      <c r="D4741" t="s">
        <v>10</v>
      </c>
      <c r="E4741" t="str">
        <f>"$ 7,862"</f>
        <v>$ 7,862</v>
      </c>
      <c r="F4741">
        <v>431</v>
      </c>
    </row>
    <row r="4742" spans="1:6">
      <c r="A4742" t="s">
        <v>3739</v>
      </c>
      <c r="B4742" t="str">
        <f t="shared" si="212"/>
        <v>0.00102%</v>
      </c>
      <c r="C4742" t="s">
        <v>10</v>
      </c>
      <c r="D4742" t="s">
        <v>10</v>
      </c>
      <c r="E4742" t="str">
        <f>"$ 7,907"</f>
        <v>$ 7,907</v>
      </c>
      <c r="F4742" s="1">
        <v>10564</v>
      </c>
    </row>
    <row r="4743" spans="1:6">
      <c r="A4743" t="s">
        <v>4741</v>
      </c>
      <c r="B4743" t="str">
        <f t="shared" si="212"/>
        <v>0.00102%</v>
      </c>
      <c r="C4743" t="s">
        <v>10</v>
      </c>
      <c r="D4743" t="s">
        <v>10</v>
      </c>
      <c r="E4743" t="str">
        <f>"$ 7,914"</f>
        <v>$ 7,914</v>
      </c>
      <c r="F4743" s="1">
        <v>1122</v>
      </c>
    </row>
    <row r="4744" spans="1:6">
      <c r="A4744" t="s">
        <v>4742</v>
      </c>
      <c r="B4744" t="str">
        <f t="shared" si="212"/>
        <v>0.00102%</v>
      </c>
      <c r="C4744" t="s">
        <v>10</v>
      </c>
      <c r="D4744" t="s">
        <v>10</v>
      </c>
      <c r="E4744" t="str">
        <f>"$ 7,897"</f>
        <v>$ 7,897</v>
      </c>
      <c r="F4744">
        <v>227</v>
      </c>
    </row>
    <row r="4745" spans="1:6">
      <c r="A4745" t="s">
        <v>4743</v>
      </c>
      <c r="B4745" t="str">
        <f t="shared" si="212"/>
        <v>0.00102%</v>
      </c>
      <c r="C4745" t="s">
        <v>10</v>
      </c>
      <c r="D4745" t="s">
        <v>10</v>
      </c>
      <c r="E4745" t="str">
        <f>"$ 7,892"</f>
        <v>$ 7,892</v>
      </c>
      <c r="F4745" s="1">
        <v>1961</v>
      </c>
    </row>
    <row r="4746" spans="1:6">
      <c r="A4746" t="s">
        <v>4744</v>
      </c>
      <c r="B4746" t="str">
        <f t="shared" si="212"/>
        <v>0.00102%</v>
      </c>
      <c r="C4746" t="s">
        <v>10</v>
      </c>
      <c r="D4746" t="s">
        <v>10</v>
      </c>
      <c r="E4746" t="str">
        <f>"$ 7,895"</f>
        <v>$ 7,895</v>
      </c>
      <c r="F4746">
        <v>431</v>
      </c>
    </row>
    <row r="4747" spans="1:6">
      <c r="A4747" t="s">
        <v>4745</v>
      </c>
      <c r="B4747" t="str">
        <f t="shared" si="212"/>
        <v>0.00102%</v>
      </c>
      <c r="C4747" t="s">
        <v>10</v>
      </c>
      <c r="D4747" t="s">
        <v>10</v>
      </c>
      <c r="E4747" t="str">
        <f>"$ 7,890"</f>
        <v>$ 7,890</v>
      </c>
      <c r="F4747">
        <v>660</v>
      </c>
    </row>
    <row r="4748" spans="1:6">
      <c r="A4748" t="s">
        <v>4746</v>
      </c>
      <c r="B4748" t="str">
        <f t="shared" si="212"/>
        <v>0.00102%</v>
      </c>
      <c r="C4748" t="s">
        <v>10</v>
      </c>
      <c r="D4748" t="s">
        <v>10</v>
      </c>
      <c r="E4748" t="str">
        <f>"$ 7,872"</f>
        <v>$ 7,872</v>
      </c>
      <c r="F4748" s="1">
        <v>16165</v>
      </c>
    </row>
    <row r="4749" spans="1:6">
      <c r="A4749" t="s">
        <v>4747</v>
      </c>
      <c r="B4749" t="str">
        <f t="shared" si="212"/>
        <v>0.00102%</v>
      </c>
      <c r="C4749" t="s">
        <v>10</v>
      </c>
      <c r="D4749" t="s">
        <v>10</v>
      </c>
      <c r="E4749" t="str">
        <f>"$ 7,877"</f>
        <v>$ 7,877</v>
      </c>
      <c r="F4749">
        <v>379</v>
      </c>
    </row>
    <row r="4750" spans="1:6">
      <c r="A4750" t="s">
        <v>4748</v>
      </c>
      <c r="B4750" t="str">
        <f t="shared" ref="B4750:B4786" si="213">"0.00101%"</f>
        <v>0.00101%</v>
      </c>
      <c r="C4750" t="s">
        <v>10</v>
      </c>
      <c r="D4750" t="s">
        <v>10</v>
      </c>
      <c r="E4750" t="str">
        <f>"$ 7,776"</f>
        <v>$ 7,776</v>
      </c>
      <c r="F4750">
        <v>578</v>
      </c>
    </row>
    <row r="4751" spans="1:6">
      <c r="A4751" t="s">
        <v>4749</v>
      </c>
      <c r="B4751" t="str">
        <f t="shared" si="213"/>
        <v>0.00101%</v>
      </c>
      <c r="C4751" t="s">
        <v>10</v>
      </c>
      <c r="D4751" t="s">
        <v>10</v>
      </c>
      <c r="E4751" t="str">
        <f>"$ 7,792"</f>
        <v>$ 7,792</v>
      </c>
      <c r="F4751" s="1">
        <v>4274</v>
      </c>
    </row>
    <row r="4752" spans="1:6">
      <c r="A4752" t="s">
        <v>4750</v>
      </c>
      <c r="B4752" t="str">
        <f t="shared" si="213"/>
        <v>0.00101%</v>
      </c>
      <c r="C4752" t="s">
        <v>10</v>
      </c>
      <c r="D4752" t="s">
        <v>10</v>
      </c>
      <c r="E4752" t="str">
        <f>"$ 7,830"</f>
        <v>$ 7,830</v>
      </c>
      <c r="F4752" s="1">
        <v>25630</v>
      </c>
    </row>
    <row r="4753" spans="1:6">
      <c r="A4753" t="s">
        <v>4751</v>
      </c>
      <c r="B4753" t="str">
        <f t="shared" si="213"/>
        <v>0.00101%</v>
      </c>
      <c r="C4753" t="s">
        <v>10</v>
      </c>
      <c r="D4753" t="s">
        <v>10</v>
      </c>
      <c r="E4753" t="str">
        <f>"$ 7,768"</f>
        <v>$ 7,768</v>
      </c>
      <c r="F4753">
        <v>943</v>
      </c>
    </row>
    <row r="4754" spans="1:6">
      <c r="A4754" t="s">
        <v>4752</v>
      </c>
      <c r="B4754" t="str">
        <f t="shared" si="213"/>
        <v>0.00101%</v>
      </c>
      <c r="C4754" t="s">
        <v>10</v>
      </c>
      <c r="D4754" t="s">
        <v>10</v>
      </c>
      <c r="E4754" t="str">
        <f>"$ 7,786"</f>
        <v>$ 7,786</v>
      </c>
      <c r="F4754" s="1">
        <v>1760</v>
      </c>
    </row>
    <row r="4755" spans="1:6">
      <c r="A4755" t="s">
        <v>4753</v>
      </c>
      <c r="B4755" t="str">
        <f t="shared" si="213"/>
        <v>0.00101%</v>
      </c>
      <c r="C4755" t="s">
        <v>10</v>
      </c>
      <c r="D4755" t="s">
        <v>10</v>
      </c>
      <c r="E4755" t="str">
        <f>"$ 7,823"</f>
        <v>$ 7,823</v>
      </c>
      <c r="F4755">
        <v>327</v>
      </c>
    </row>
    <row r="4756" spans="1:6">
      <c r="A4756" t="s">
        <v>4754</v>
      </c>
      <c r="B4756" t="str">
        <f t="shared" si="213"/>
        <v>0.00101%</v>
      </c>
      <c r="C4756" t="s">
        <v>10</v>
      </c>
      <c r="D4756" t="s">
        <v>10</v>
      </c>
      <c r="E4756" t="str">
        <f>"$ 7,791"</f>
        <v>$ 7,791</v>
      </c>
      <c r="F4756">
        <v>103</v>
      </c>
    </row>
    <row r="4757" spans="1:6">
      <c r="A4757" t="s">
        <v>4755</v>
      </c>
      <c r="B4757" t="str">
        <f t="shared" si="213"/>
        <v>0.00101%</v>
      </c>
      <c r="C4757" t="s">
        <v>10</v>
      </c>
      <c r="D4757" t="s">
        <v>10</v>
      </c>
      <c r="E4757" t="str">
        <f>"$ 7,792"</f>
        <v>$ 7,792</v>
      </c>
      <c r="F4757">
        <v>414</v>
      </c>
    </row>
    <row r="4758" spans="1:6">
      <c r="A4758" t="s">
        <v>4756</v>
      </c>
      <c r="B4758" t="str">
        <f t="shared" si="213"/>
        <v>0.00101%</v>
      </c>
      <c r="C4758" t="s">
        <v>10</v>
      </c>
      <c r="D4758" t="s">
        <v>10</v>
      </c>
      <c r="E4758" t="str">
        <f>"$ 7,772"</f>
        <v>$ 7,772</v>
      </c>
      <c r="F4758">
        <v>120</v>
      </c>
    </row>
    <row r="4759" spans="1:6">
      <c r="A4759" t="s">
        <v>4757</v>
      </c>
      <c r="B4759" t="str">
        <f t="shared" si="213"/>
        <v>0.00101%</v>
      </c>
      <c r="C4759" t="s">
        <v>10</v>
      </c>
      <c r="D4759" t="s">
        <v>10</v>
      </c>
      <c r="E4759" t="str">
        <f>"$ 7,827"</f>
        <v>$ 7,827</v>
      </c>
      <c r="F4759">
        <v>113</v>
      </c>
    </row>
    <row r="4760" spans="1:6">
      <c r="A4760" t="s">
        <v>4758</v>
      </c>
      <c r="B4760" t="str">
        <f t="shared" si="213"/>
        <v>0.00101%</v>
      </c>
      <c r="C4760" t="s">
        <v>10</v>
      </c>
      <c r="D4760" t="s">
        <v>10</v>
      </c>
      <c r="E4760" t="str">
        <f>"$ 7,797"</f>
        <v>$ 7,797</v>
      </c>
      <c r="F4760">
        <v>430</v>
      </c>
    </row>
    <row r="4761" spans="1:6">
      <c r="A4761" t="s">
        <v>4759</v>
      </c>
      <c r="B4761" t="str">
        <f t="shared" si="213"/>
        <v>0.00101%</v>
      </c>
      <c r="C4761" t="s">
        <v>10</v>
      </c>
      <c r="D4761" t="s">
        <v>10</v>
      </c>
      <c r="E4761" t="str">
        <f>"$ 7,778"</f>
        <v>$ 7,778</v>
      </c>
      <c r="F4761">
        <v>202</v>
      </c>
    </row>
    <row r="4762" spans="1:6">
      <c r="A4762" t="s">
        <v>4760</v>
      </c>
      <c r="B4762" t="str">
        <f t="shared" si="213"/>
        <v>0.00101%</v>
      </c>
      <c r="C4762" t="s">
        <v>10</v>
      </c>
      <c r="D4762" t="s">
        <v>10</v>
      </c>
      <c r="E4762" t="str">
        <f>"$ 7,793"</f>
        <v>$ 7,793</v>
      </c>
      <c r="F4762">
        <v>333</v>
      </c>
    </row>
    <row r="4763" spans="1:6">
      <c r="A4763" t="s">
        <v>4761</v>
      </c>
      <c r="B4763" t="str">
        <f t="shared" si="213"/>
        <v>0.00101%</v>
      </c>
      <c r="C4763" t="s">
        <v>10</v>
      </c>
      <c r="D4763" t="s">
        <v>10</v>
      </c>
      <c r="E4763" t="str">
        <f>"$ 7,804"</f>
        <v>$ 7,804</v>
      </c>
      <c r="F4763">
        <v>556</v>
      </c>
    </row>
    <row r="4764" spans="1:6">
      <c r="A4764" t="s">
        <v>4762</v>
      </c>
      <c r="B4764" t="str">
        <f t="shared" si="213"/>
        <v>0.00101%</v>
      </c>
      <c r="C4764" t="s">
        <v>10</v>
      </c>
      <c r="D4764" t="s">
        <v>10</v>
      </c>
      <c r="E4764" t="str">
        <f>"$ 7,772"</f>
        <v>$ 7,772</v>
      </c>
      <c r="F4764">
        <v>364</v>
      </c>
    </row>
    <row r="4765" spans="1:6">
      <c r="A4765" t="s">
        <v>4763</v>
      </c>
      <c r="B4765" t="str">
        <f t="shared" si="213"/>
        <v>0.00101%</v>
      </c>
      <c r="C4765" t="s">
        <v>10</v>
      </c>
      <c r="D4765" t="s">
        <v>10</v>
      </c>
      <c r="E4765" t="str">
        <f>"$ 7,765"</f>
        <v>$ 7,765</v>
      </c>
      <c r="F4765">
        <v>235</v>
      </c>
    </row>
    <row r="4766" spans="1:6">
      <c r="A4766" t="s">
        <v>4764</v>
      </c>
      <c r="B4766" t="str">
        <f t="shared" si="213"/>
        <v>0.00101%</v>
      </c>
      <c r="C4766" t="s">
        <v>10</v>
      </c>
      <c r="D4766" t="s">
        <v>10</v>
      </c>
      <c r="E4766" t="str">
        <f>"$ 7,780"</f>
        <v>$ 7,780</v>
      </c>
      <c r="F4766">
        <v>32</v>
      </c>
    </row>
    <row r="4767" spans="1:6">
      <c r="A4767" t="s">
        <v>4765</v>
      </c>
      <c r="B4767" t="str">
        <f t="shared" si="213"/>
        <v>0.00101%</v>
      </c>
      <c r="C4767" t="s">
        <v>10</v>
      </c>
      <c r="D4767" t="s">
        <v>10</v>
      </c>
      <c r="E4767" t="str">
        <f>"$ 7,790"</f>
        <v>$ 7,790</v>
      </c>
      <c r="F4767">
        <v>82</v>
      </c>
    </row>
    <row r="4768" spans="1:6">
      <c r="A4768" t="s">
        <v>4766</v>
      </c>
      <c r="B4768" t="str">
        <f t="shared" si="213"/>
        <v>0.00101%</v>
      </c>
      <c r="C4768" t="s">
        <v>10</v>
      </c>
      <c r="D4768" t="s">
        <v>10</v>
      </c>
      <c r="E4768" t="str">
        <f>"$ 7,831"</f>
        <v>$ 7,831</v>
      </c>
      <c r="F4768" s="1">
        <v>8848</v>
      </c>
    </row>
    <row r="4769" spans="1:6">
      <c r="A4769" t="s">
        <v>4767</v>
      </c>
      <c r="B4769" t="str">
        <f t="shared" si="213"/>
        <v>0.00101%</v>
      </c>
      <c r="C4769" t="s">
        <v>10</v>
      </c>
      <c r="D4769" t="s">
        <v>10</v>
      </c>
      <c r="E4769" t="str">
        <f>"$ 7,766"</f>
        <v>$ 7,766</v>
      </c>
      <c r="F4769" s="1">
        <v>5063</v>
      </c>
    </row>
    <row r="4770" spans="1:6">
      <c r="A4770" t="s">
        <v>4768</v>
      </c>
      <c r="B4770" t="str">
        <f t="shared" si="213"/>
        <v>0.00101%</v>
      </c>
      <c r="C4770" t="s">
        <v>10</v>
      </c>
      <c r="D4770" t="s">
        <v>10</v>
      </c>
      <c r="E4770" t="str">
        <f>"$ 7,812"</f>
        <v>$ 7,812</v>
      </c>
      <c r="F4770" s="1">
        <v>8583</v>
      </c>
    </row>
    <row r="4771" spans="1:6">
      <c r="A4771" t="s">
        <v>4769</v>
      </c>
      <c r="B4771" t="str">
        <f t="shared" si="213"/>
        <v>0.00101%</v>
      </c>
      <c r="C4771" t="s">
        <v>10</v>
      </c>
      <c r="D4771" t="s">
        <v>10</v>
      </c>
      <c r="E4771" t="str">
        <f>"$ 7,792"</f>
        <v>$ 7,792</v>
      </c>
      <c r="F4771" s="1">
        <v>5968</v>
      </c>
    </row>
    <row r="4772" spans="1:6">
      <c r="A4772" t="s">
        <v>4770</v>
      </c>
      <c r="B4772" t="str">
        <f t="shared" si="213"/>
        <v>0.00101%</v>
      </c>
      <c r="C4772" t="s">
        <v>10</v>
      </c>
      <c r="D4772" t="s">
        <v>10</v>
      </c>
      <c r="E4772" t="str">
        <f>"$ 7,817"</f>
        <v>$ 7,817</v>
      </c>
      <c r="F4772" s="1">
        <v>2223</v>
      </c>
    </row>
    <row r="4773" spans="1:6">
      <c r="A4773" t="s">
        <v>4771</v>
      </c>
      <c r="B4773" t="str">
        <f t="shared" si="213"/>
        <v>0.00101%</v>
      </c>
      <c r="C4773" t="s">
        <v>10</v>
      </c>
      <c r="D4773" t="s">
        <v>10</v>
      </c>
      <c r="E4773" t="str">
        <f>"$ 7,797"</f>
        <v>$ 7,797</v>
      </c>
      <c r="F4773">
        <v>675</v>
      </c>
    </row>
    <row r="4774" spans="1:6">
      <c r="A4774" t="s">
        <v>4772</v>
      </c>
      <c r="B4774" t="str">
        <f t="shared" si="213"/>
        <v>0.00101%</v>
      </c>
      <c r="C4774" t="s">
        <v>10</v>
      </c>
      <c r="D4774" t="s">
        <v>10</v>
      </c>
      <c r="E4774" t="str">
        <f>"$ 7,801"</f>
        <v>$ 7,801</v>
      </c>
      <c r="F4774">
        <v>103</v>
      </c>
    </row>
    <row r="4775" spans="1:6">
      <c r="A4775" t="s">
        <v>4773</v>
      </c>
      <c r="B4775" t="str">
        <f t="shared" si="213"/>
        <v>0.00101%</v>
      </c>
      <c r="C4775" t="s">
        <v>10</v>
      </c>
      <c r="D4775" t="s">
        <v>10</v>
      </c>
      <c r="E4775" t="str">
        <f>"$ 7,802"</f>
        <v>$ 7,802</v>
      </c>
      <c r="F4775">
        <v>940</v>
      </c>
    </row>
    <row r="4776" spans="1:6">
      <c r="A4776" t="s">
        <v>4774</v>
      </c>
      <c r="B4776" t="str">
        <f t="shared" si="213"/>
        <v>0.00101%</v>
      </c>
      <c r="C4776" t="s">
        <v>10</v>
      </c>
      <c r="D4776" t="s">
        <v>10</v>
      </c>
      <c r="E4776" t="str">
        <f>"$ 7,790"</f>
        <v>$ 7,790</v>
      </c>
      <c r="F4776">
        <v>774</v>
      </c>
    </row>
    <row r="4777" spans="1:6">
      <c r="A4777" t="s">
        <v>4775</v>
      </c>
      <c r="B4777" t="str">
        <f t="shared" si="213"/>
        <v>0.00101%</v>
      </c>
      <c r="C4777" t="s">
        <v>10</v>
      </c>
      <c r="D4777" t="s">
        <v>10</v>
      </c>
      <c r="E4777" t="str">
        <f>"$ 7,762"</f>
        <v>$ 7,762</v>
      </c>
      <c r="F4777">
        <v>51</v>
      </c>
    </row>
    <row r="4778" spans="1:6">
      <c r="A4778" t="s">
        <v>4776</v>
      </c>
      <c r="B4778" t="str">
        <f t="shared" si="213"/>
        <v>0.00101%</v>
      </c>
      <c r="C4778" t="s">
        <v>10</v>
      </c>
      <c r="D4778" t="s">
        <v>10</v>
      </c>
      <c r="E4778" t="str">
        <f>"$ 7,827"</f>
        <v>$ 7,827</v>
      </c>
      <c r="F4778" s="1">
        <v>1332</v>
      </c>
    </row>
    <row r="4779" spans="1:6">
      <c r="A4779" t="s">
        <v>4777</v>
      </c>
      <c r="B4779" t="str">
        <f t="shared" si="213"/>
        <v>0.00101%</v>
      </c>
      <c r="C4779" t="s">
        <v>10</v>
      </c>
      <c r="D4779" t="s">
        <v>10</v>
      </c>
      <c r="E4779" t="str">
        <f>"$ 7,829"</f>
        <v>$ 7,829</v>
      </c>
      <c r="F4779" s="1">
        <v>12315</v>
      </c>
    </row>
    <row r="4780" spans="1:6">
      <c r="A4780" t="s">
        <v>4778</v>
      </c>
      <c r="B4780" t="str">
        <f t="shared" si="213"/>
        <v>0.00101%</v>
      </c>
      <c r="C4780" t="s">
        <v>10</v>
      </c>
      <c r="D4780" t="s">
        <v>10</v>
      </c>
      <c r="E4780" t="str">
        <f>"$ 7,833"</f>
        <v>$ 7,833</v>
      </c>
      <c r="F4780">
        <v>136</v>
      </c>
    </row>
    <row r="4781" spans="1:6">
      <c r="A4781" t="s">
        <v>4779</v>
      </c>
      <c r="B4781" t="str">
        <f t="shared" si="213"/>
        <v>0.00101%</v>
      </c>
      <c r="C4781" t="s">
        <v>10</v>
      </c>
      <c r="D4781" t="s">
        <v>10</v>
      </c>
      <c r="E4781" t="str">
        <f>"$ 7,831"</f>
        <v>$ 7,831</v>
      </c>
      <c r="F4781">
        <v>228</v>
      </c>
    </row>
    <row r="4782" spans="1:6">
      <c r="A4782" t="s">
        <v>4780</v>
      </c>
      <c r="B4782" t="str">
        <f t="shared" si="213"/>
        <v>0.00101%</v>
      </c>
      <c r="C4782" t="s">
        <v>10</v>
      </c>
      <c r="D4782" t="s">
        <v>10</v>
      </c>
      <c r="E4782" t="str">
        <f>"$ 7,823"</f>
        <v>$ 7,823</v>
      </c>
      <c r="F4782" s="1">
        <v>1836</v>
      </c>
    </row>
    <row r="4783" spans="1:6">
      <c r="A4783" t="s">
        <v>4781</v>
      </c>
      <c r="B4783" t="str">
        <f t="shared" si="213"/>
        <v>0.00101%</v>
      </c>
      <c r="C4783" t="s">
        <v>10</v>
      </c>
      <c r="D4783" t="s">
        <v>10</v>
      </c>
      <c r="E4783" t="str">
        <f>"$ 7,823"</f>
        <v>$ 7,823</v>
      </c>
      <c r="F4783">
        <v>155</v>
      </c>
    </row>
    <row r="4784" spans="1:6">
      <c r="A4784" t="s">
        <v>4782</v>
      </c>
      <c r="B4784" t="str">
        <f t="shared" si="213"/>
        <v>0.00101%</v>
      </c>
      <c r="C4784" t="s">
        <v>10</v>
      </c>
      <c r="D4784" t="s">
        <v>10</v>
      </c>
      <c r="E4784" t="str">
        <f>"$ 7,766"</f>
        <v>$ 7,766</v>
      </c>
      <c r="F4784">
        <v>545</v>
      </c>
    </row>
    <row r="4785" spans="1:6">
      <c r="A4785" t="s">
        <v>4783</v>
      </c>
      <c r="B4785" t="str">
        <f t="shared" si="213"/>
        <v>0.00101%</v>
      </c>
      <c r="C4785" t="s">
        <v>10</v>
      </c>
      <c r="D4785" t="s">
        <v>10</v>
      </c>
      <c r="E4785" t="str">
        <f>"$ 7,806"</f>
        <v>$ 7,806</v>
      </c>
      <c r="F4785" s="1">
        <v>1670</v>
      </c>
    </row>
    <row r="4786" spans="1:6">
      <c r="A4786" t="s">
        <v>4784</v>
      </c>
      <c r="B4786" t="str">
        <f t="shared" si="213"/>
        <v>0.00101%</v>
      </c>
      <c r="C4786" t="s">
        <v>10</v>
      </c>
      <c r="D4786" t="s">
        <v>10</v>
      </c>
      <c r="E4786" t="str">
        <f>"$ 7,789"</f>
        <v>$ 7,789</v>
      </c>
      <c r="F4786">
        <v>187</v>
      </c>
    </row>
    <row r="4787" spans="1:6">
      <c r="A4787" t="s">
        <v>4785</v>
      </c>
      <c r="B4787" t="str">
        <f t="shared" ref="B4787:B4811" si="214">"0.00100%"</f>
        <v>0.00100%</v>
      </c>
      <c r="C4787" t="s">
        <v>10</v>
      </c>
      <c r="D4787" t="s">
        <v>10</v>
      </c>
      <c r="E4787" t="str">
        <f>"$ 7,742"</f>
        <v>$ 7,742</v>
      </c>
      <c r="F4787">
        <v>608</v>
      </c>
    </row>
    <row r="4788" spans="1:6">
      <c r="A4788" t="s">
        <v>4786</v>
      </c>
      <c r="B4788" t="str">
        <f t="shared" si="214"/>
        <v>0.00100%</v>
      </c>
      <c r="C4788" t="s">
        <v>10</v>
      </c>
      <c r="D4788" t="s">
        <v>10</v>
      </c>
      <c r="E4788" t="str">
        <f>"$ 7,710"</f>
        <v>$ 7,710</v>
      </c>
      <c r="F4788">
        <v>198</v>
      </c>
    </row>
    <row r="4789" spans="1:6">
      <c r="A4789" t="s">
        <v>4787</v>
      </c>
      <c r="B4789" t="str">
        <f t="shared" si="214"/>
        <v>0.00100%</v>
      </c>
      <c r="C4789" t="s">
        <v>10</v>
      </c>
      <c r="D4789" t="s">
        <v>10</v>
      </c>
      <c r="E4789" t="str">
        <f>"$ 7,759"</f>
        <v>$ 7,759</v>
      </c>
      <c r="F4789">
        <v>570</v>
      </c>
    </row>
    <row r="4790" spans="1:6">
      <c r="A4790" t="s">
        <v>4788</v>
      </c>
      <c r="B4790" t="str">
        <f t="shared" si="214"/>
        <v>0.00100%</v>
      </c>
      <c r="C4790" t="s">
        <v>10</v>
      </c>
      <c r="D4790" t="s">
        <v>10</v>
      </c>
      <c r="E4790" t="str">
        <f>"$ 7,737"</f>
        <v>$ 7,737</v>
      </c>
      <c r="F4790" s="1">
        <v>2935</v>
      </c>
    </row>
    <row r="4791" spans="1:6">
      <c r="A4791" t="s">
        <v>4789</v>
      </c>
      <c r="B4791" t="str">
        <f t="shared" si="214"/>
        <v>0.00100%</v>
      </c>
      <c r="C4791" t="s">
        <v>10</v>
      </c>
      <c r="D4791" t="s">
        <v>10</v>
      </c>
      <c r="E4791" t="str">
        <f>"$ 7,744"</f>
        <v>$ 7,744</v>
      </c>
      <c r="F4791" s="1">
        <v>13093</v>
      </c>
    </row>
    <row r="4792" spans="1:6">
      <c r="A4792" t="s">
        <v>4790</v>
      </c>
      <c r="B4792" t="str">
        <f t="shared" si="214"/>
        <v>0.00100%</v>
      </c>
      <c r="C4792" t="s">
        <v>10</v>
      </c>
      <c r="D4792" t="s">
        <v>10</v>
      </c>
      <c r="E4792" t="str">
        <f>"$ 7,728"</f>
        <v>$ 7,728</v>
      </c>
      <c r="F4792" s="1">
        <v>2747</v>
      </c>
    </row>
    <row r="4793" spans="1:6">
      <c r="A4793" t="s">
        <v>4791</v>
      </c>
      <c r="B4793" t="str">
        <f t="shared" si="214"/>
        <v>0.00100%</v>
      </c>
      <c r="C4793" t="s">
        <v>10</v>
      </c>
      <c r="D4793" t="s">
        <v>10</v>
      </c>
      <c r="E4793" t="str">
        <f>"$ 7,736"</f>
        <v>$ 7,736</v>
      </c>
      <c r="F4793">
        <v>478</v>
      </c>
    </row>
    <row r="4794" spans="1:6">
      <c r="A4794" t="s">
        <v>4792</v>
      </c>
      <c r="B4794" t="str">
        <f t="shared" si="214"/>
        <v>0.00100%</v>
      </c>
      <c r="C4794" t="s">
        <v>10</v>
      </c>
      <c r="D4794" t="s">
        <v>10</v>
      </c>
      <c r="E4794" t="str">
        <f>"$ 7,692"</f>
        <v>$ 7,692</v>
      </c>
      <c r="F4794" s="1">
        <v>2887</v>
      </c>
    </row>
    <row r="4795" spans="1:6">
      <c r="A4795" t="s">
        <v>4793</v>
      </c>
      <c r="B4795" t="str">
        <f t="shared" si="214"/>
        <v>0.00100%</v>
      </c>
      <c r="C4795" t="s">
        <v>10</v>
      </c>
      <c r="D4795" t="s">
        <v>10</v>
      </c>
      <c r="E4795" t="str">
        <f>"$ 7,695"</f>
        <v>$ 7,695</v>
      </c>
      <c r="F4795">
        <v>104</v>
      </c>
    </row>
    <row r="4796" spans="1:6">
      <c r="A4796" t="s">
        <v>4794</v>
      </c>
      <c r="B4796" t="str">
        <f t="shared" si="214"/>
        <v>0.00100%</v>
      </c>
      <c r="C4796" t="s">
        <v>10</v>
      </c>
      <c r="D4796" t="s">
        <v>10</v>
      </c>
      <c r="E4796" t="str">
        <f>"$ 7,710"</f>
        <v>$ 7,710</v>
      </c>
      <c r="F4796" s="1">
        <v>3217</v>
      </c>
    </row>
    <row r="4797" spans="1:6">
      <c r="A4797" t="s">
        <v>4795</v>
      </c>
      <c r="B4797" t="str">
        <f t="shared" si="214"/>
        <v>0.00100%</v>
      </c>
      <c r="C4797" t="s">
        <v>10</v>
      </c>
      <c r="D4797" t="s">
        <v>10</v>
      </c>
      <c r="E4797" t="str">
        <f>"$ 7,738"</f>
        <v>$ 7,738</v>
      </c>
      <c r="F4797">
        <v>114</v>
      </c>
    </row>
    <row r="4798" spans="1:6">
      <c r="A4798" t="s">
        <v>4796</v>
      </c>
      <c r="B4798" t="str">
        <f t="shared" si="214"/>
        <v>0.00100%</v>
      </c>
      <c r="C4798" t="s">
        <v>10</v>
      </c>
      <c r="D4798" t="s">
        <v>10</v>
      </c>
      <c r="E4798" t="str">
        <f>"$ 7,721"</f>
        <v>$ 7,721</v>
      </c>
      <c r="F4798" s="1">
        <v>13856</v>
      </c>
    </row>
    <row r="4799" spans="1:6">
      <c r="A4799" t="s">
        <v>4797</v>
      </c>
      <c r="B4799" t="str">
        <f t="shared" si="214"/>
        <v>0.00100%</v>
      </c>
      <c r="C4799" t="s">
        <v>10</v>
      </c>
      <c r="D4799" t="s">
        <v>10</v>
      </c>
      <c r="E4799" t="str">
        <f>"$ 7,755"</f>
        <v>$ 7,755</v>
      </c>
      <c r="F4799">
        <v>226</v>
      </c>
    </row>
    <row r="4800" spans="1:6">
      <c r="A4800" t="s">
        <v>4798</v>
      </c>
      <c r="B4800" t="str">
        <f t="shared" si="214"/>
        <v>0.00100%</v>
      </c>
      <c r="C4800" t="s">
        <v>10</v>
      </c>
      <c r="D4800" t="s">
        <v>10</v>
      </c>
      <c r="E4800" t="str">
        <f>"$ 7,708"</f>
        <v>$ 7,708</v>
      </c>
      <c r="F4800">
        <v>103</v>
      </c>
    </row>
    <row r="4801" spans="1:6">
      <c r="A4801" t="s">
        <v>4799</v>
      </c>
      <c r="B4801" t="str">
        <f t="shared" si="214"/>
        <v>0.00100%</v>
      </c>
      <c r="C4801" t="s">
        <v>10</v>
      </c>
      <c r="D4801" t="s">
        <v>10</v>
      </c>
      <c r="E4801" t="str">
        <f>"$ 7,716"</f>
        <v>$ 7,716</v>
      </c>
      <c r="F4801">
        <v>290</v>
      </c>
    </row>
    <row r="4802" spans="1:6">
      <c r="A4802" t="s">
        <v>4800</v>
      </c>
      <c r="B4802" t="str">
        <f t="shared" si="214"/>
        <v>0.00100%</v>
      </c>
      <c r="C4802" t="s">
        <v>10</v>
      </c>
      <c r="D4802" t="s">
        <v>10</v>
      </c>
      <c r="E4802" t="str">
        <f>"$ 7,727"</f>
        <v>$ 7,727</v>
      </c>
      <c r="F4802">
        <v>256</v>
      </c>
    </row>
    <row r="4803" spans="1:6">
      <c r="A4803" t="s">
        <v>4801</v>
      </c>
      <c r="B4803" t="str">
        <f t="shared" si="214"/>
        <v>0.00100%</v>
      </c>
      <c r="C4803" t="s">
        <v>10</v>
      </c>
      <c r="D4803" t="s">
        <v>10</v>
      </c>
      <c r="E4803" t="str">
        <f>"$ 7,722"</f>
        <v>$ 7,722</v>
      </c>
      <c r="F4803">
        <v>67</v>
      </c>
    </row>
    <row r="4804" spans="1:6">
      <c r="A4804" t="s">
        <v>4802</v>
      </c>
      <c r="B4804" t="str">
        <f t="shared" si="214"/>
        <v>0.00100%</v>
      </c>
      <c r="C4804" t="s">
        <v>10</v>
      </c>
      <c r="D4804" t="s">
        <v>10</v>
      </c>
      <c r="E4804" t="str">
        <f>"$ 7,750"</f>
        <v>$ 7,750</v>
      </c>
      <c r="F4804">
        <v>799</v>
      </c>
    </row>
    <row r="4805" spans="1:6">
      <c r="A4805" t="s">
        <v>4803</v>
      </c>
      <c r="B4805" t="str">
        <f t="shared" si="214"/>
        <v>0.00100%</v>
      </c>
      <c r="C4805" t="s">
        <v>10</v>
      </c>
      <c r="D4805" t="s">
        <v>10</v>
      </c>
      <c r="E4805" t="str">
        <f>"$ 7,700"</f>
        <v>$ 7,700</v>
      </c>
      <c r="F4805">
        <v>168</v>
      </c>
    </row>
    <row r="4806" spans="1:6">
      <c r="A4806" t="s">
        <v>4804</v>
      </c>
      <c r="B4806" t="str">
        <f t="shared" si="214"/>
        <v>0.00100%</v>
      </c>
      <c r="C4806" t="s">
        <v>10</v>
      </c>
      <c r="D4806" t="s">
        <v>10</v>
      </c>
      <c r="E4806" t="str">
        <f>"$ 7,714"</f>
        <v>$ 7,714</v>
      </c>
      <c r="F4806">
        <v>735</v>
      </c>
    </row>
    <row r="4807" spans="1:6">
      <c r="A4807" t="s">
        <v>4805</v>
      </c>
      <c r="B4807" t="str">
        <f t="shared" si="214"/>
        <v>0.00100%</v>
      </c>
      <c r="C4807" t="s">
        <v>10</v>
      </c>
      <c r="D4807" t="s">
        <v>10</v>
      </c>
      <c r="E4807" t="str">
        <f>"$ 7,706"</f>
        <v>$ 7,706</v>
      </c>
      <c r="F4807" s="1">
        <v>21421</v>
      </c>
    </row>
    <row r="4808" spans="1:6">
      <c r="A4808" t="s">
        <v>4806</v>
      </c>
      <c r="B4808" t="str">
        <f t="shared" si="214"/>
        <v>0.00100%</v>
      </c>
      <c r="C4808" t="s">
        <v>10</v>
      </c>
      <c r="D4808" t="s">
        <v>10</v>
      </c>
      <c r="E4808" t="str">
        <f>"$ 7,718"</f>
        <v>$ 7,718</v>
      </c>
      <c r="F4808" s="1">
        <v>4845</v>
      </c>
    </row>
    <row r="4809" spans="1:6">
      <c r="A4809" t="s">
        <v>4807</v>
      </c>
      <c r="B4809" t="str">
        <f t="shared" si="214"/>
        <v>0.00100%</v>
      </c>
      <c r="C4809" t="s">
        <v>10</v>
      </c>
      <c r="D4809" t="s">
        <v>10</v>
      </c>
      <c r="E4809" t="str">
        <f>"$ 7,712"</f>
        <v>$ 7,712</v>
      </c>
      <c r="F4809">
        <v>115</v>
      </c>
    </row>
    <row r="4810" spans="1:6">
      <c r="A4810" t="s">
        <v>4808</v>
      </c>
      <c r="B4810" t="str">
        <f t="shared" si="214"/>
        <v>0.00100%</v>
      </c>
      <c r="C4810" t="s">
        <v>10</v>
      </c>
      <c r="D4810" t="s">
        <v>10</v>
      </c>
      <c r="E4810" t="str">
        <f>"$ 7,698"</f>
        <v>$ 7,698</v>
      </c>
      <c r="F4810" s="1">
        <v>2053</v>
      </c>
    </row>
    <row r="4811" spans="1:6">
      <c r="A4811" t="s">
        <v>4809</v>
      </c>
      <c r="B4811" t="str">
        <f t="shared" si="214"/>
        <v>0.00100%</v>
      </c>
      <c r="C4811" t="s">
        <v>10</v>
      </c>
      <c r="D4811" t="s">
        <v>10</v>
      </c>
      <c r="E4811" t="str">
        <f>"$ 7,719"</f>
        <v>$ 7,719</v>
      </c>
      <c r="F4811" s="1">
        <v>1240</v>
      </c>
    </row>
    <row r="4812" spans="1:6">
      <c r="A4812" t="s">
        <v>4810</v>
      </c>
      <c r="B4812" t="str">
        <f t="shared" ref="B4812:B4839" si="215">"0.00099%"</f>
        <v>0.00099%</v>
      </c>
      <c r="C4812" t="s">
        <v>10</v>
      </c>
      <c r="D4812" t="s">
        <v>10</v>
      </c>
      <c r="E4812" t="str">
        <f>"$ 7,616"</f>
        <v>$ 7,616</v>
      </c>
      <c r="F4812" s="1">
        <v>15052</v>
      </c>
    </row>
    <row r="4813" spans="1:6">
      <c r="A4813" t="s">
        <v>4811</v>
      </c>
      <c r="B4813" t="str">
        <f t="shared" si="215"/>
        <v>0.00099%</v>
      </c>
      <c r="C4813" t="s">
        <v>10</v>
      </c>
      <c r="D4813" t="s">
        <v>10</v>
      </c>
      <c r="E4813" t="str">
        <f>"$ 7,665"</f>
        <v>$ 7,665</v>
      </c>
      <c r="F4813">
        <v>234</v>
      </c>
    </row>
    <row r="4814" spans="1:6">
      <c r="A4814" t="s">
        <v>4812</v>
      </c>
      <c r="B4814" t="str">
        <f t="shared" si="215"/>
        <v>0.00099%</v>
      </c>
      <c r="C4814" t="s">
        <v>10</v>
      </c>
      <c r="D4814" t="s">
        <v>10</v>
      </c>
      <c r="E4814" t="str">
        <f>"$ 7,656"</f>
        <v>$ 7,656</v>
      </c>
      <c r="F4814">
        <v>693</v>
      </c>
    </row>
    <row r="4815" spans="1:6">
      <c r="A4815" t="s">
        <v>4813</v>
      </c>
      <c r="B4815" t="str">
        <f t="shared" si="215"/>
        <v>0.00099%</v>
      </c>
      <c r="C4815" t="s">
        <v>10</v>
      </c>
      <c r="D4815" t="s">
        <v>10</v>
      </c>
      <c r="E4815" t="str">
        <f>"$ 7,643"</f>
        <v>$ 7,643</v>
      </c>
      <c r="F4815">
        <v>115</v>
      </c>
    </row>
    <row r="4816" spans="1:6">
      <c r="A4816" t="s">
        <v>4814</v>
      </c>
      <c r="B4816" t="str">
        <f t="shared" si="215"/>
        <v>0.00099%</v>
      </c>
      <c r="C4816" t="s">
        <v>10</v>
      </c>
      <c r="D4816" t="s">
        <v>10</v>
      </c>
      <c r="E4816" t="str">
        <f>"$ 7,614"</f>
        <v>$ 7,614</v>
      </c>
      <c r="F4816" s="1">
        <v>2206</v>
      </c>
    </row>
    <row r="4817" spans="1:6">
      <c r="A4817" t="s">
        <v>4815</v>
      </c>
      <c r="B4817" t="str">
        <f t="shared" si="215"/>
        <v>0.00099%</v>
      </c>
      <c r="C4817" t="s">
        <v>10</v>
      </c>
      <c r="D4817" t="s">
        <v>10</v>
      </c>
      <c r="E4817" t="str">
        <f>"$ 7,647"</f>
        <v>$ 7,647</v>
      </c>
      <c r="F4817" s="1">
        <v>1133</v>
      </c>
    </row>
    <row r="4818" spans="1:6">
      <c r="A4818" t="s">
        <v>4816</v>
      </c>
      <c r="B4818" t="str">
        <f t="shared" si="215"/>
        <v>0.00099%</v>
      </c>
      <c r="C4818" t="s">
        <v>10</v>
      </c>
      <c r="D4818" t="s">
        <v>10</v>
      </c>
      <c r="E4818" t="str">
        <f>"$ 7,634"</f>
        <v>$ 7,634</v>
      </c>
      <c r="F4818">
        <v>192</v>
      </c>
    </row>
    <row r="4819" spans="1:6">
      <c r="A4819" t="s">
        <v>4817</v>
      </c>
      <c r="B4819" t="str">
        <f t="shared" si="215"/>
        <v>0.00099%</v>
      </c>
      <c r="C4819" t="s">
        <v>10</v>
      </c>
      <c r="D4819" t="s">
        <v>10</v>
      </c>
      <c r="E4819" t="str">
        <f>"$ 7,661"</f>
        <v>$ 7,661</v>
      </c>
      <c r="F4819" s="1">
        <v>8147</v>
      </c>
    </row>
    <row r="4820" spans="1:6">
      <c r="A4820" t="s">
        <v>4818</v>
      </c>
      <c r="B4820" t="str">
        <f t="shared" si="215"/>
        <v>0.00099%</v>
      </c>
      <c r="C4820" t="s">
        <v>10</v>
      </c>
      <c r="D4820" t="s">
        <v>10</v>
      </c>
      <c r="E4820" t="str">
        <f>"$ 7,648"</f>
        <v>$ 7,648</v>
      </c>
      <c r="F4820">
        <v>346</v>
      </c>
    </row>
    <row r="4821" spans="1:6">
      <c r="A4821" t="s">
        <v>4819</v>
      </c>
      <c r="B4821" t="str">
        <f t="shared" si="215"/>
        <v>0.00099%</v>
      </c>
      <c r="C4821" t="s">
        <v>10</v>
      </c>
      <c r="D4821" t="s">
        <v>10</v>
      </c>
      <c r="E4821" t="str">
        <f>"$ 7,659"</f>
        <v>$ 7,659</v>
      </c>
      <c r="F4821">
        <v>175</v>
      </c>
    </row>
    <row r="4822" spans="1:6">
      <c r="A4822" t="s">
        <v>4820</v>
      </c>
      <c r="B4822" t="str">
        <f t="shared" si="215"/>
        <v>0.00099%</v>
      </c>
      <c r="C4822" t="s">
        <v>10</v>
      </c>
      <c r="D4822" t="s">
        <v>10</v>
      </c>
      <c r="E4822" t="str">
        <f>"$ 7,643"</f>
        <v>$ 7,643</v>
      </c>
      <c r="F4822">
        <v>929</v>
      </c>
    </row>
    <row r="4823" spans="1:6">
      <c r="A4823" t="s">
        <v>4821</v>
      </c>
      <c r="B4823" t="str">
        <f t="shared" si="215"/>
        <v>0.00099%</v>
      </c>
      <c r="C4823" t="s">
        <v>10</v>
      </c>
      <c r="D4823" t="s">
        <v>10</v>
      </c>
      <c r="E4823" t="str">
        <f>"$ 7,638"</f>
        <v>$ 7,638</v>
      </c>
      <c r="F4823" s="1">
        <v>1326</v>
      </c>
    </row>
    <row r="4824" spans="1:6">
      <c r="A4824" t="s">
        <v>4822</v>
      </c>
      <c r="B4824" t="str">
        <f t="shared" si="215"/>
        <v>0.00099%</v>
      </c>
      <c r="C4824" t="s">
        <v>10</v>
      </c>
      <c r="D4824" t="s">
        <v>10</v>
      </c>
      <c r="E4824" t="str">
        <f>"$ 7,660"</f>
        <v>$ 7,660</v>
      </c>
      <c r="F4824">
        <v>408</v>
      </c>
    </row>
    <row r="4825" spans="1:6">
      <c r="A4825" t="s">
        <v>4823</v>
      </c>
      <c r="B4825" t="str">
        <f t="shared" si="215"/>
        <v>0.00099%</v>
      </c>
      <c r="C4825" t="s">
        <v>10</v>
      </c>
      <c r="D4825" t="s">
        <v>10</v>
      </c>
      <c r="E4825" t="str">
        <f>"$ 7,670"</f>
        <v>$ 7,670</v>
      </c>
      <c r="F4825">
        <v>231</v>
      </c>
    </row>
    <row r="4826" spans="1:6">
      <c r="A4826" t="s">
        <v>4824</v>
      </c>
      <c r="B4826" t="str">
        <f t="shared" si="215"/>
        <v>0.00099%</v>
      </c>
      <c r="C4826" t="s">
        <v>10</v>
      </c>
      <c r="D4826" t="s">
        <v>10</v>
      </c>
      <c r="E4826" t="str">
        <f>"$ 7,673"</f>
        <v>$ 7,673</v>
      </c>
      <c r="F4826" s="1">
        <v>1104</v>
      </c>
    </row>
    <row r="4827" spans="1:6">
      <c r="A4827" t="s">
        <v>4825</v>
      </c>
      <c r="B4827" t="str">
        <f t="shared" si="215"/>
        <v>0.00099%</v>
      </c>
      <c r="C4827" t="s">
        <v>10</v>
      </c>
      <c r="D4827" t="s">
        <v>10</v>
      </c>
      <c r="E4827" t="str">
        <f>"$ 7,631"</f>
        <v>$ 7,631</v>
      </c>
      <c r="F4827" s="1">
        <v>4095</v>
      </c>
    </row>
    <row r="4828" spans="1:6">
      <c r="A4828" t="s">
        <v>4826</v>
      </c>
      <c r="B4828" t="str">
        <f t="shared" si="215"/>
        <v>0.00099%</v>
      </c>
      <c r="C4828" t="s">
        <v>10</v>
      </c>
      <c r="D4828" t="s">
        <v>10</v>
      </c>
      <c r="E4828" t="str">
        <f>"$ 7,626"</f>
        <v>$ 7,626</v>
      </c>
      <c r="F4828" s="1">
        <v>3166</v>
      </c>
    </row>
    <row r="4829" spans="1:6">
      <c r="A4829" t="s">
        <v>4827</v>
      </c>
      <c r="B4829" t="str">
        <f t="shared" si="215"/>
        <v>0.00099%</v>
      </c>
      <c r="C4829" t="s">
        <v>10</v>
      </c>
      <c r="D4829" t="s">
        <v>10</v>
      </c>
      <c r="E4829" t="str">
        <f>"$ 7,650"</f>
        <v>$ 7,650</v>
      </c>
      <c r="F4829" s="1">
        <v>2309</v>
      </c>
    </row>
    <row r="4830" spans="1:6">
      <c r="A4830" t="s">
        <v>4828</v>
      </c>
      <c r="B4830" t="str">
        <f t="shared" si="215"/>
        <v>0.00099%</v>
      </c>
      <c r="C4830" t="s">
        <v>10</v>
      </c>
      <c r="D4830" t="s">
        <v>10</v>
      </c>
      <c r="E4830" t="str">
        <f>"$ 7,683"</f>
        <v>$ 7,683</v>
      </c>
      <c r="F4830">
        <v>310</v>
      </c>
    </row>
    <row r="4831" spans="1:6">
      <c r="A4831" t="s">
        <v>4829</v>
      </c>
      <c r="B4831" t="str">
        <f t="shared" si="215"/>
        <v>0.00099%</v>
      </c>
      <c r="C4831" t="s">
        <v>10</v>
      </c>
      <c r="D4831" t="s">
        <v>10</v>
      </c>
      <c r="E4831" t="str">
        <f>"$ 7,632"</f>
        <v>$ 7,632</v>
      </c>
      <c r="F4831" s="1">
        <v>3394</v>
      </c>
    </row>
    <row r="4832" spans="1:6">
      <c r="A4832" t="s">
        <v>4830</v>
      </c>
      <c r="B4832" t="str">
        <f t="shared" si="215"/>
        <v>0.00099%</v>
      </c>
      <c r="C4832" t="s">
        <v>10</v>
      </c>
      <c r="D4832" t="s">
        <v>10</v>
      </c>
      <c r="E4832" t="str">
        <f>"$ 7,645"</f>
        <v>$ 7,645</v>
      </c>
      <c r="F4832" s="1">
        <v>15324</v>
      </c>
    </row>
    <row r="4833" spans="1:6">
      <c r="A4833" t="s">
        <v>4831</v>
      </c>
      <c r="B4833" t="str">
        <f t="shared" si="215"/>
        <v>0.00099%</v>
      </c>
      <c r="C4833" t="s">
        <v>10</v>
      </c>
      <c r="D4833" t="s">
        <v>10</v>
      </c>
      <c r="E4833" t="str">
        <f>"$ 7,681"</f>
        <v>$ 7,681</v>
      </c>
      <c r="F4833">
        <v>192</v>
      </c>
    </row>
    <row r="4834" spans="1:6">
      <c r="A4834" t="s">
        <v>4832</v>
      </c>
      <c r="B4834" t="str">
        <f t="shared" si="215"/>
        <v>0.00099%</v>
      </c>
      <c r="C4834" t="s">
        <v>10</v>
      </c>
      <c r="D4834" t="s">
        <v>10</v>
      </c>
      <c r="E4834" t="str">
        <f>"$ 7,653"</f>
        <v>$ 7,653</v>
      </c>
      <c r="F4834">
        <v>202</v>
      </c>
    </row>
    <row r="4835" spans="1:6">
      <c r="A4835" t="s">
        <v>4833</v>
      </c>
      <c r="B4835" t="str">
        <f t="shared" si="215"/>
        <v>0.00099%</v>
      </c>
      <c r="C4835" t="s">
        <v>10</v>
      </c>
      <c r="D4835" t="s">
        <v>10</v>
      </c>
      <c r="E4835" t="str">
        <f>"$ 7,609"</f>
        <v>$ 7,609</v>
      </c>
      <c r="F4835">
        <v>305</v>
      </c>
    </row>
    <row r="4836" spans="1:6">
      <c r="A4836" t="s">
        <v>4834</v>
      </c>
      <c r="B4836" t="str">
        <f t="shared" si="215"/>
        <v>0.00099%</v>
      </c>
      <c r="C4836" t="s">
        <v>10</v>
      </c>
      <c r="D4836" t="s">
        <v>10</v>
      </c>
      <c r="E4836" t="str">
        <f>"$ 7,646"</f>
        <v>$ 7,646</v>
      </c>
      <c r="F4836" s="1">
        <v>2768</v>
      </c>
    </row>
    <row r="4837" spans="1:6">
      <c r="A4837" t="s">
        <v>4835</v>
      </c>
      <c r="B4837" t="str">
        <f t="shared" si="215"/>
        <v>0.00099%</v>
      </c>
      <c r="C4837" t="s">
        <v>10</v>
      </c>
      <c r="D4837" t="s">
        <v>10</v>
      </c>
      <c r="E4837" t="str">
        <f>"$ 7,627"</f>
        <v>$ 7,627</v>
      </c>
      <c r="F4837">
        <v>198</v>
      </c>
    </row>
    <row r="4838" spans="1:6">
      <c r="A4838" t="s">
        <v>4836</v>
      </c>
      <c r="B4838" t="str">
        <f t="shared" si="215"/>
        <v>0.00099%</v>
      </c>
      <c r="C4838" t="s">
        <v>10</v>
      </c>
      <c r="D4838" t="s">
        <v>10</v>
      </c>
      <c r="E4838" t="str">
        <f>"$ 7,673"</f>
        <v>$ 7,673</v>
      </c>
      <c r="F4838">
        <v>922</v>
      </c>
    </row>
    <row r="4839" spans="1:6">
      <c r="A4839" t="s">
        <v>4837</v>
      </c>
      <c r="B4839" t="str">
        <f t="shared" si="215"/>
        <v>0.00099%</v>
      </c>
      <c r="C4839" t="s">
        <v>10</v>
      </c>
      <c r="D4839" t="s">
        <v>10</v>
      </c>
      <c r="E4839" t="str">
        <f>"$ 7,634"</f>
        <v>$ 7,634</v>
      </c>
      <c r="F4839">
        <v>801</v>
      </c>
    </row>
    <row r="4840" spans="1:6">
      <c r="A4840" t="s">
        <v>4838</v>
      </c>
      <c r="B4840" t="str">
        <f t="shared" ref="B4840:B4863" si="216">"0.00098%"</f>
        <v>0.00098%</v>
      </c>
      <c r="C4840" t="s">
        <v>10</v>
      </c>
      <c r="D4840" t="s">
        <v>10</v>
      </c>
      <c r="E4840" t="str">
        <f>"$ 7,580"</f>
        <v>$ 7,580</v>
      </c>
      <c r="F4840" s="1">
        <v>4332</v>
      </c>
    </row>
    <row r="4841" spans="1:6">
      <c r="A4841" t="s">
        <v>4839</v>
      </c>
      <c r="B4841" t="str">
        <f t="shared" si="216"/>
        <v>0.00098%</v>
      </c>
      <c r="C4841" t="s">
        <v>10</v>
      </c>
      <c r="D4841" t="s">
        <v>10</v>
      </c>
      <c r="E4841" t="str">
        <f>"$ 7,536"</f>
        <v>$ 7,536</v>
      </c>
      <c r="F4841">
        <v>94</v>
      </c>
    </row>
    <row r="4842" spans="1:6">
      <c r="A4842" t="s">
        <v>4840</v>
      </c>
      <c r="B4842" t="str">
        <f t="shared" si="216"/>
        <v>0.00098%</v>
      </c>
      <c r="C4842" t="s">
        <v>10</v>
      </c>
      <c r="D4842" t="s">
        <v>10</v>
      </c>
      <c r="E4842" t="str">
        <f>"$ 7,571"</f>
        <v>$ 7,571</v>
      </c>
      <c r="F4842">
        <v>660</v>
      </c>
    </row>
    <row r="4843" spans="1:6">
      <c r="A4843" t="s">
        <v>4841</v>
      </c>
      <c r="B4843" t="str">
        <f t="shared" si="216"/>
        <v>0.00098%</v>
      </c>
      <c r="C4843" t="s">
        <v>10</v>
      </c>
      <c r="D4843" t="s">
        <v>10</v>
      </c>
      <c r="E4843" t="str">
        <f>"$ 7,545"</f>
        <v>$ 7,545</v>
      </c>
      <c r="F4843" s="1">
        <v>19902</v>
      </c>
    </row>
    <row r="4844" spans="1:6">
      <c r="A4844" t="s">
        <v>4842</v>
      </c>
      <c r="B4844" t="str">
        <f t="shared" si="216"/>
        <v>0.00098%</v>
      </c>
      <c r="C4844" t="s">
        <v>10</v>
      </c>
      <c r="D4844" t="s">
        <v>10</v>
      </c>
      <c r="E4844" t="str">
        <f>"$ 7,537"</f>
        <v>$ 7,537</v>
      </c>
      <c r="F4844" s="1">
        <v>2294</v>
      </c>
    </row>
    <row r="4845" spans="1:6">
      <c r="A4845" t="s">
        <v>4843</v>
      </c>
      <c r="B4845" t="str">
        <f t="shared" si="216"/>
        <v>0.00098%</v>
      </c>
      <c r="C4845" t="s">
        <v>10</v>
      </c>
      <c r="D4845" t="s">
        <v>10</v>
      </c>
      <c r="E4845" t="str">
        <f>"$ 7,551"</f>
        <v>$ 7,551</v>
      </c>
      <c r="F4845">
        <v>353</v>
      </c>
    </row>
    <row r="4846" spans="1:6">
      <c r="A4846" t="s">
        <v>4844</v>
      </c>
      <c r="B4846" t="str">
        <f t="shared" si="216"/>
        <v>0.00098%</v>
      </c>
      <c r="C4846" t="s">
        <v>10</v>
      </c>
      <c r="D4846" t="s">
        <v>10</v>
      </c>
      <c r="E4846" t="str">
        <f>"$ 7,598"</f>
        <v>$ 7,598</v>
      </c>
      <c r="F4846" s="1">
        <v>3440</v>
      </c>
    </row>
    <row r="4847" spans="1:6">
      <c r="A4847" t="s">
        <v>4845</v>
      </c>
      <c r="B4847" t="str">
        <f t="shared" si="216"/>
        <v>0.00098%</v>
      </c>
      <c r="C4847" t="s">
        <v>10</v>
      </c>
      <c r="D4847" t="s">
        <v>10</v>
      </c>
      <c r="E4847" t="str">
        <f>"$ 7,566"</f>
        <v>$ 7,566</v>
      </c>
      <c r="F4847">
        <v>23</v>
      </c>
    </row>
    <row r="4848" spans="1:6">
      <c r="A4848" t="s">
        <v>4846</v>
      </c>
      <c r="B4848" t="str">
        <f t="shared" si="216"/>
        <v>0.00098%</v>
      </c>
      <c r="C4848" t="s">
        <v>10</v>
      </c>
      <c r="D4848" t="s">
        <v>10</v>
      </c>
      <c r="E4848" t="str">
        <f>"$ 7,574"</f>
        <v>$ 7,574</v>
      </c>
      <c r="F4848">
        <v>528</v>
      </c>
    </row>
    <row r="4849" spans="1:6">
      <c r="A4849" t="s">
        <v>4847</v>
      </c>
      <c r="B4849" t="str">
        <f t="shared" si="216"/>
        <v>0.00098%</v>
      </c>
      <c r="C4849" t="s">
        <v>10</v>
      </c>
      <c r="D4849" t="s">
        <v>10</v>
      </c>
      <c r="E4849" t="str">
        <f>"$ 7,537"</f>
        <v>$ 7,537</v>
      </c>
      <c r="F4849">
        <v>233</v>
      </c>
    </row>
    <row r="4850" spans="1:6">
      <c r="A4850" t="s">
        <v>4848</v>
      </c>
      <c r="B4850" t="str">
        <f t="shared" si="216"/>
        <v>0.00098%</v>
      </c>
      <c r="C4850" t="s">
        <v>10</v>
      </c>
      <c r="D4850" t="s">
        <v>10</v>
      </c>
      <c r="E4850" t="str">
        <f>"$ 7,583"</f>
        <v>$ 7,583</v>
      </c>
      <c r="F4850">
        <v>442</v>
      </c>
    </row>
    <row r="4851" spans="1:6">
      <c r="A4851" t="s">
        <v>4849</v>
      </c>
      <c r="B4851" t="str">
        <f t="shared" si="216"/>
        <v>0.00098%</v>
      </c>
      <c r="C4851" t="s">
        <v>10</v>
      </c>
      <c r="D4851" t="s">
        <v>10</v>
      </c>
      <c r="E4851" t="str">
        <f>"$ 7,565"</f>
        <v>$ 7,565</v>
      </c>
      <c r="F4851" s="1">
        <v>2969</v>
      </c>
    </row>
    <row r="4852" spans="1:6">
      <c r="A4852" t="s">
        <v>4850</v>
      </c>
      <c r="B4852" t="str">
        <f t="shared" si="216"/>
        <v>0.00098%</v>
      </c>
      <c r="C4852" t="s">
        <v>10</v>
      </c>
      <c r="D4852" t="s">
        <v>10</v>
      </c>
      <c r="E4852" t="str">
        <f>"$ 7,556"</f>
        <v>$ 7,556</v>
      </c>
      <c r="F4852">
        <v>126</v>
      </c>
    </row>
    <row r="4853" spans="1:6">
      <c r="A4853" t="s">
        <v>4851</v>
      </c>
      <c r="B4853" t="str">
        <f t="shared" si="216"/>
        <v>0.00098%</v>
      </c>
      <c r="C4853" t="s">
        <v>10</v>
      </c>
      <c r="D4853" t="s">
        <v>10</v>
      </c>
      <c r="E4853" t="str">
        <f>"$ 7,548"</f>
        <v>$ 7,548</v>
      </c>
      <c r="F4853">
        <v>231</v>
      </c>
    </row>
    <row r="4854" spans="1:6">
      <c r="A4854" t="s">
        <v>4852</v>
      </c>
      <c r="B4854" t="str">
        <f t="shared" si="216"/>
        <v>0.00098%</v>
      </c>
      <c r="C4854" t="s">
        <v>10</v>
      </c>
      <c r="D4854" t="s">
        <v>10</v>
      </c>
      <c r="E4854" t="str">
        <f>"$ 7,592"</f>
        <v>$ 7,592</v>
      </c>
      <c r="F4854">
        <v>173</v>
      </c>
    </row>
    <row r="4855" spans="1:6">
      <c r="A4855" t="s">
        <v>4853</v>
      </c>
      <c r="B4855" t="str">
        <f t="shared" si="216"/>
        <v>0.00098%</v>
      </c>
      <c r="C4855" t="s">
        <v>10</v>
      </c>
      <c r="D4855" t="s">
        <v>10</v>
      </c>
      <c r="E4855" t="str">
        <f>"$ 7,540"</f>
        <v>$ 7,540</v>
      </c>
      <c r="F4855">
        <v>148</v>
      </c>
    </row>
    <row r="4856" spans="1:6">
      <c r="A4856" t="s">
        <v>4854</v>
      </c>
      <c r="B4856" t="str">
        <f t="shared" si="216"/>
        <v>0.00098%</v>
      </c>
      <c r="C4856" t="s">
        <v>10</v>
      </c>
      <c r="D4856" t="s">
        <v>10</v>
      </c>
      <c r="E4856" t="str">
        <f>"$ 7,560"</f>
        <v>$ 7,560</v>
      </c>
      <c r="F4856">
        <v>280</v>
      </c>
    </row>
    <row r="4857" spans="1:6">
      <c r="A4857" t="s">
        <v>4855</v>
      </c>
      <c r="B4857" t="str">
        <f t="shared" si="216"/>
        <v>0.00098%</v>
      </c>
      <c r="C4857" t="s">
        <v>10</v>
      </c>
      <c r="D4857" t="s">
        <v>10</v>
      </c>
      <c r="E4857" t="str">
        <f>"$ 7,541"</f>
        <v>$ 7,541</v>
      </c>
      <c r="F4857">
        <v>97</v>
      </c>
    </row>
    <row r="4858" spans="1:6">
      <c r="A4858" t="s">
        <v>4856</v>
      </c>
      <c r="B4858" t="str">
        <f t="shared" si="216"/>
        <v>0.00098%</v>
      </c>
      <c r="C4858" t="s">
        <v>10</v>
      </c>
      <c r="D4858" t="s">
        <v>10</v>
      </c>
      <c r="E4858" t="str">
        <f>"$ 7,529"</f>
        <v>$ 7,529</v>
      </c>
      <c r="F4858">
        <v>492</v>
      </c>
    </row>
    <row r="4859" spans="1:6">
      <c r="A4859" t="s">
        <v>4857</v>
      </c>
      <c r="B4859" t="str">
        <f t="shared" si="216"/>
        <v>0.00098%</v>
      </c>
      <c r="C4859" t="s">
        <v>10</v>
      </c>
      <c r="D4859" t="s">
        <v>10</v>
      </c>
      <c r="E4859" t="str">
        <f>"$ 7,532"</f>
        <v>$ 7,532</v>
      </c>
      <c r="F4859" s="1">
        <v>5248</v>
      </c>
    </row>
    <row r="4860" spans="1:6">
      <c r="A4860" t="s">
        <v>4858</v>
      </c>
      <c r="B4860" t="str">
        <f t="shared" si="216"/>
        <v>0.00098%</v>
      </c>
      <c r="C4860" t="s">
        <v>10</v>
      </c>
      <c r="D4860" t="s">
        <v>10</v>
      </c>
      <c r="E4860" t="str">
        <f>"$ 7,540"</f>
        <v>$ 7,540</v>
      </c>
      <c r="F4860">
        <v>293</v>
      </c>
    </row>
    <row r="4861" spans="1:6">
      <c r="A4861" t="s">
        <v>4859</v>
      </c>
      <c r="B4861" t="str">
        <f t="shared" si="216"/>
        <v>0.00098%</v>
      </c>
      <c r="C4861" t="s">
        <v>10</v>
      </c>
      <c r="D4861" t="s">
        <v>10</v>
      </c>
      <c r="E4861" t="str">
        <f>"$ 7,547"</f>
        <v>$ 7,547</v>
      </c>
      <c r="F4861">
        <v>133</v>
      </c>
    </row>
    <row r="4862" spans="1:6">
      <c r="A4862" t="s">
        <v>4860</v>
      </c>
      <c r="B4862" t="str">
        <f t="shared" si="216"/>
        <v>0.00098%</v>
      </c>
      <c r="C4862" t="s">
        <v>10</v>
      </c>
      <c r="D4862" t="s">
        <v>10</v>
      </c>
      <c r="E4862" t="str">
        <f>"$ 7,572"</f>
        <v>$ 7,572</v>
      </c>
      <c r="F4862">
        <v>230</v>
      </c>
    </row>
    <row r="4863" spans="1:6">
      <c r="A4863" t="s">
        <v>4861</v>
      </c>
      <c r="B4863" t="str">
        <f t="shared" si="216"/>
        <v>0.00098%</v>
      </c>
      <c r="C4863" t="s">
        <v>10</v>
      </c>
      <c r="D4863" t="s">
        <v>10</v>
      </c>
      <c r="E4863" t="str">
        <f>"$ 7,601"</f>
        <v>$ 7,601</v>
      </c>
      <c r="F4863">
        <v>178</v>
      </c>
    </row>
    <row r="4864" spans="1:6">
      <c r="A4864" t="s">
        <v>4862</v>
      </c>
      <c r="B4864" t="str">
        <f t="shared" ref="B4864:B4888" si="217">"0.00097%"</f>
        <v>0.00097%</v>
      </c>
      <c r="C4864" t="s">
        <v>10</v>
      </c>
      <c r="D4864" t="s">
        <v>10</v>
      </c>
      <c r="E4864" t="str">
        <f>"$ 7,487"</f>
        <v>$ 7,487</v>
      </c>
      <c r="F4864">
        <v>398</v>
      </c>
    </row>
    <row r="4865" spans="1:6">
      <c r="A4865" t="s">
        <v>4863</v>
      </c>
      <c r="B4865" t="str">
        <f t="shared" si="217"/>
        <v>0.00097%</v>
      </c>
      <c r="C4865" t="s">
        <v>10</v>
      </c>
      <c r="D4865" t="s">
        <v>10</v>
      </c>
      <c r="E4865" t="str">
        <f>"$ 7,487"</f>
        <v>$ 7,487</v>
      </c>
      <c r="F4865">
        <v>377</v>
      </c>
    </row>
    <row r="4866" spans="1:6">
      <c r="A4866" t="s">
        <v>4864</v>
      </c>
      <c r="B4866" t="str">
        <f t="shared" si="217"/>
        <v>0.00097%</v>
      </c>
      <c r="C4866" t="s">
        <v>10</v>
      </c>
      <c r="D4866" t="s">
        <v>10</v>
      </c>
      <c r="E4866" t="str">
        <f>"$ 7,462"</f>
        <v>$ 7,462</v>
      </c>
      <c r="F4866" s="1">
        <v>2174</v>
      </c>
    </row>
    <row r="4867" spans="1:6">
      <c r="A4867" t="s">
        <v>4865</v>
      </c>
      <c r="B4867" t="str">
        <f t="shared" si="217"/>
        <v>0.00097%</v>
      </c>
      <c r="C4867" t="s">
        <v>10</v>
      </c>
      <c r="D4867" t="s">
        <v>10</v>
      </c>
      <c r="E4867" t="str">
        <f>"$ 7,496"</f>
        <v>$ 7,496</v>
      </c>
      <c r="F4867">
        <v>106</v>
      </c>
    </row>
    <row r="4868" spans="1:6">
      <c r="A4868" t="s">
        <v>4866</v>
      </c>
      <c r="B4868" t="str">
        <f t="shared" si="217"/>
        <v>0.00097%</v>
      </c>
      <c r="C4868" t="s">
        <v>10</v>
      </c>
      <c r="D4868" t="s">
        <v>10</v>
      </c>
      <c r="E4868" t="str">
        <f>"$ 7,474"</f>
        <v>$ 7,474</v>
      </c>
      <c r="F4868">
        <v>379</v>
      </c>
    </row>
    <row r="4869" spans="1:6">
      <c r="A4869" t="s">
        <v>4867</v>
      </c>
      <c r="B4869" t="str">
        <f t="shared" si="217"/>
        <v>0.00097%</v>
      </c>
      <c r="C4869" t="s">
        <v>10</v>
      </c>
      <c r="D4869" t="s">
        <v>10</v>
      </c>
      <c r="E4869" t="str">
        <f>"$ 7,478"</f>
        <v>$ 7,478</v>
      </c>
      <c r="F4869" s="1">
        <v>6657</v>
      </c>
    </row>
    <row r="4870" spans="1:6">
      <c r="A4870" t="s">
        <v>4868</v>
      </c>
      <c r="B4870" t="str">
        <f t="shared" si="217"/>
        <v>0.00097%</v>
      </c>
      <c r="C4870" t="s">
        <v>10</v>
      </c>
      <c r="D4870" t="s">
        <v>10</v>
      </c>
      <c r="E4870" t="str">
        <f>"$ 7,456"</f>
        <v>$ 7,456</v>
      </c>
      <c r="F4870" s="1">
        <v>3448</v>
      </c>
    </row>
    <row r="4871" spans="1:6">
      <c r="A4871" t="s">
        <v>4869</v>
      </c>
      <c r="B4871" t="str">
        <f t="shared" si="217"/>
        <v>0.00097%</v>
      </c>
      <c r="C4871" t="s">
        <v>10</v>
      </c>
      <c r="D4871" t="s">
        <v>10</v>
      </c>
      <c r="E4871" t="str">
        <f>"$ 7,500"</f>
        <v>$ 7,500</v>
      </c>
      <c r="F4871">
        <v>201</v>
      </c>
    </row>
    <row r="4872" spans="1:6">
      <c r="A4872" t="s">
        <v>4870</v>
      </c>
      <c r="B4872" t="str">
        <f t="shared" si="217"/>
        <v>0.00097%</v>
      </c>
      <c r="C4872" t="s">
        <v>10</v>
      </c>
      <c r="D4872" t="s">
        <v>10</v>
      </c>
      <c r="E4872" t="str">
        <f>"$ 7,511"</f>
        <v>$ 7,511</v>
      </c>
      <c r="F4872">
        <v>66</v>
      </c>
    </row>
    <row r="4873" spans="1:6">
      <c r="A4873" t="s">
        <v>4871</v>
      </c>
      <c r="B4873" t="str">
        <f t="shared" si="217"/>
        <v>0.00097%</v>
      </c>
      <c r="C4873" t="s">
        <v>10</v>
      </c>
      <c r="D4873" t="s">
        <v>10</v>
      </c>
      <c r="E4873" t="str">
        <f>"$ 7,492"</f>
        <v>$ 7,492</v>
      </c>
      <c r="F4873">
        <v>112</v>
      </c>
    </row>
    <row r="4874" spans="1:6">
      <c r="A4874" t="s">
        <v>4872</v>
      </c>
      <c r="B4874" t="str">
        <f t="shared" si="217"/>
        <v>0.00097%</v>
      </c>
      <c r="C4874" t="s">
        <v>10</v>
      </c>
      <c r="D4874" t="s">
        <v>10</v>
      </c>
      <c r="E4874" t="str">
        <f>"$ 7,463"</f>
        <v>$ 7,463</v>
      </c>
      <c r="F4874">
        <v>142</v>
      </c>
    </row>
    <row r="4875" spans="1:6">
      <c r="A4875" t="s">
        <v>4873</v>
      </c>
      <c r="B4875" t="str">
        <f t="shared" si="217"/>
        <v>0.00097%</v>
      </c>
      <c r="C4875" t="s">
        <v>10</v>
      </c>
      <c r="D4875" t="s">
        <v>10</v>
      </c>
      <c r="E4875" t="str">
        <f>"$ 7,481"</f>
        <v>$ 7,481</v>
      </c>
      <c r="F4875">
        <v>297</v>
      </c>
    </row>
    <row r="4876" spans="1:6">
      <c r="A4876" t="s">
        <v>4874</v>
      </c>
      <c r="B4876" t="str">
        <f t="shared" si="217"/>
        <v>0.00097%</v>
      </c>
      <c r="C4876" t="s">
        <v>10</v>
      </c>
      <c r="D4876" t="s">
        <v>10</v>
      </c>
      <c r="E4876" t="str">
        <f>"$ 7,471"</f>
        <v>$ 7,471</v>
      </c>
      <c r="F4876">
        <v>99</v>
      </c>
    </row>
    <row r="4877" spans="1:6">
      <c r="A4877" t="s">
        <v>4875</v>
      </c>
      <c r="B4877" t="str">
        <f t="shared" si="217"/>
        <v>0.00097%</v>
      </c>
      <c r="C4877" t="s">
        <v>10</v>
      </c>
      <c r="D4877" t="s">
        <v>10</v>
      </c>
      <c r="E4877" t="str">
        <f>"$ 7,518"</f>
        <v>$ 7,518</v>
      </c>
      <c r="F4877">
        <v>167</v>
      </c>
    </row>
    <row r="4878" spans="1:6">
      <c r="A4878" t="s">
        <v>4876</v>
      </c>
      <c r="B4878" t="str">
        <f t="shared" si="217"/>
        <v>0.00097%</v>
      </c>
      <c r="C4878" t="s">
        <v>10</v>
      </c>
      <c r="D4878" t="s">
        <v>10</v>
      </c>
      <c r="E4878" t="str">
        <f>"$ 7,527"</f>
        <v>$ 7,527</v>
      </c>
      <c r="F4878">
        <v>817</v>
      </c>
    </row>
    <row r="4879" spans="1:6">
      <c r="A4879" t="s">
        <v>4877</v>
      </c>
      <c r="B4879" t="str">
        <f t="shared" si="217"/>
        <v>0.00097%</v>
      </c>
      <c r="C4879" t="s">
        <v>10</v>
      </c>
      <c r="D4879" t="s">
        <v>10</v>
      </c>
      <c r="E4879" t="str">
        <f>"$ 7,502"</f>
        <v>$ 7,502</v>
      </c>
      <c r="F4879" s="1">
        <v>12536</v>
      </c>
    </row>
    <row r="4880" spans="1:6">
      <c r="A4880" t="s">
        <v>4878</v>
      </c>
      <c r="B4880" t="str">
        <f t="shared" si="217"/>
        <v>0.00097%</v>
      </c>
      <c r="C4880" t="s">
        <v>10</v>
      </c>
      <c r="D4880" t="s">
        <v>10</v>
      </c>
      <c r="E4880" t="str">
        <f>"$ 7,470"</f>
        <v>$ 7,470</v>
      </c>
      <c r="F4880">
        <v>301</v>
      </c>
    </row>
    <row r="4881" spans="1:6">
      <c r="A4881" t="s">
        <v>4879</v>
      </c>
      <c r="B4881" t="str">
        <f t="shared" si="217"/>
        <v>0.00097%</v>
      </c>
      <c r="C4881" t="s">
        <v>10</v>
      </c>
      <c r="D4881" t="s">
        <v>10</v>
      </c>
      <c r="E4881" t="str">
        <f>"$ 7,471"</f>
        <v>$ 7,471</v>
      </c>
      <c r="F4881">
        <v>451</v>
      </c>
    </row>
    <row r="4882" spans="1:6">
      <c r="A4882" t="s">
        <v>4880</v>
      </c>
      <c r="B4882" t="str">
        <f t="shared" si="217"/>
        <v>0.00097%</v>
      </c>
      <c r="C4882" t="s">
        <v>10</v>
      </c>
      <c r="D4882" t="s">
        <v>10</v>
      </c>
      <c r="E4882" t="str">
        <f>"$ 7,495"</f>
        <v>$ 7,495</v>
      </c>
      <c r="F4882">
        <v>181</v>
      </c>
    </row>
    <row r="4883" spans="1:6">
      <c r="A4883" t="s">
        <v>4881</v>
      </c>
      <c r="B4883" t="str">
        <f t="shared" si="217"/>
        <v>0.00097%</v>
      </c>
      <c r="C4883" t="s">
        <v>10</v>
      </c>
      <c r="D4883" t="s">
        <v>10</v>
      </c>
      <c r="E4883" t="str">
        <f>"$ 7,503"</f>
        <v>$ 7,503</v>
      </c>
      <c r="F4883" s="1">
        <v>5235</v>
      </c>
    </row>
    <row r="4884" spans="1:6">
      <c r="A4884" t="s">
        <v>4882</v>
      </c>
      <c r="B4884" t="str">
        <f t="shared" si="217"/>
        <v>0.00097%</v>
      </c>
      <c r="C4884" t="s">
        <v>10</v>
      </c>
      <c r="D4884" t="s">
        <v>10</v>
      </c>
      <c r="E4884" t="str">
        <f>"$ 7,489"</f>
        <v>$ 7,489</v>
      </c>
      <c r="F4884" s="1">
        <v>3472</v>
      </c>
    </row>
    <row r="4885" spans="1:6">
      <c r="A4885" t="s">
        <v>4883</v>
      </c>
      <c r="B4885" t="str">
        <f t="shared" si="217"/>
        <v>0.00097%</v>
      </c>
      <c r="C4885" t="s">
        <v>10</v>
      </c>
      <c r="D4885" t="s">
        <v>10</v>
      </c>
      <c r="E4885" t="str">
        <f>"$ 7,476"</f>
        <v>$ 7,476</v>
      </c>
      <c r="F4885">
        <v>27</v>
      </c>
    </row>
    <row r="4886" spans="1:6">
      <c r="A4886" t="s">
        <v>4884</v>
      </c>
      <c r="B4886" t="str">
        <f t="shared" si="217"/>
        <v>0.00097%</v>
      </c>
      <c r="C4886" t="s">
        <v>10</v>
      </c>
      <c r="D4886" t="s">
        <v>10</v>
      </c>
      <c r="E4886" t="str">
        <f>"$ 7,467"</f>
        <v>$ 7,467</v>
      </c>
      <c r="F4886">
        <v>574</v>
      </c>
    </row>
    <row r="4887" spans="1:6">
      <c r="A4887" t="s">
        <v>4885</v>
      </c>
      <c r="B4887" t="str">
        <f t="shared" si="217"/>
        <v>0.00097%</v>
      </c>
      <c r="C4887" t="s">
        <v>10</v>
      </c>
      <c r="D4887" t="s">
        <v>10</v>
      </c>
      <c r="E4887" t="str">
        <f>"$ 7,467"</f>
        <v>$ 7,467</v>
      </c>
      <c r="F4887">
        <v>189</v>
      </c>
    </row>
    <row r="4888" spans="1:6">
      <c r="A4888" t="s">
        <v>4886</v>
      </c>
      <c r="B4888" t="str">
        <f t="shared" si="217"/>
        <v>0.00097%</v>
      </c>
      <c r="C4888" t="s">
        <v>10</v>
      </c>
      <c r="D4888" t="s">
        <v>10</v>
      </c>
      <c r="E4888" t="str">
        <f>"$ 7,453"</f>
        <v>$ 7,453</v>
      </c>
      <c r="F4888">
        <v>104</v>
      </c>
    </row>
    <row r="4889" spans="1:6">
      <c r="A4889" t="s">
        <v>4887</v>
      </c>
      <c r="B4889" t="str">
        <f t="shared" ref="B4889:B4911" si="218">"0.00096%"</f>
        <v>0.00096%</v>
      </c>
      <c r="C4889" t="s">
        <v>10</v>
      </c>
      <c r="D4889" t="s">
        <v>10</v>
      </c>
      <c r="E4889" t="str">
        <f>"$ 7,416"</f>
        <v>$ 7,416</v>
      </c>
      <c r="F4889" s="1">
        <v>7817</v>
      </c>
    </row>
    <row r="4890" spans="1:6">
      <c r="A4890" t="s">
        <v>4888</v>
      </c>
      <c r="B4890" t="str">
        <f t="shared" si="218"/>
        <v>0.00096%</v>
      </c>
      <c r="C4890" t="s">
        <v>10</v>
      </c>
      <c r="D4890" t="s">
        <v>10</v>
      </c>
      <c r="E4890" t="str">
        <f>"$ 7,428"</f>
        <v>$ 7,428</v>
      </c>
      <c r="F4890">
        <v>185</v>
      </c>
    </row>
    <row r="4891" spans="1:6">
      <c r="A4891" t="s">
        <v>4889</v>
      </c>
      <c r="B4891" t="str">
        <f t="shared" si="218"/>
        <v>0.00096%</v>
      </c>
      <c r="C4891" t="s">
        <v>10</v>
      </c>
      <c r="D4891" t="s">
        <v>10</v>
      </c>
      <c r="E4891" t="str">
        <f>"$ 7,435"</f>
        <v>$ 7,435</v>
      </c>
      <c r="F4891">
        <v>686</v>
      </c>
    </row>
    <row r="4892" spans="1:6">
      <c r="A4892" t="s">
        <v>4890</v>
      </c>
      <c r="B4892" t="str">
        <f t="shared" si="218"/>
        <v>0.00096%</v>
      </c>
      <c r="C4892" t="s">
        <v>10</v>
      </c>
      <c r="D4892" t="s">
        <v>10</v>
      </c>
      <c r="E4892" t="str">
        <f>"$ 7,448"</f>
        <v>$ 7,448</v>
      </c>
      <c r="F4892">
        <v>184</v>
      </c>
    </row>
    <row r="4893" spans="1:6">
      <c r="A4893" t="s">
        <v>4891</v>
      </c>
      <c r="B4893" t="str">
        <f t="shared" si="218"/>
        <v>0.00096%</v>
      </c>
      <c r="C4893" t="s">
        <v>10</v>
      </c>
      <c r="D4893" t="s">
        <v>10</v>
      </c>
      <c r="E4893" t="str">
        <f>"$ 7,378"</f>
        <v>$ 7,378</v>
      </c>
      <c r="F4893">
        <v>201</v>
      </c>
    </row>
    <row r="4894" spans="1:6">
      <c r="A4894" t="s">
        <v>4892</v>
      </c>
      <c r="B4894" t="str">
        <f t="shared" si="218"/>
        <v>0.00096%</v>
      </c>
      <c r="C4894" t="s">
        <v>10</v>
      </c>
      <c r="D4894" t="s">
        <v>10</v>
      </c>
      <c r="E4894" t="str">
        <f>"$ 7,395"</f>
        <v>$ 7,395</v>
      </c>
      <c r="F4894" s="1">
        <v>1542</v>
      </c>
    </row>
    <row r="4895" spans="1:6">
      <c r="A4895" t="s">
        <v>4893</v>
      </c>
      <c r="B4895" t="str">
        <f t="shared" si="218"/>
        <v>0.00096%</v>
      </c>
      <c r="C4895" t="s">
        <v>10</v>
      </c>
      <c r="D4895" t="s">
        <v>10</v>
      </c>
      <c r="E4895" t="str">
        <f>"$ 7,392"</f>
        <v>$ 7,392</v>
      </c>
      <c r="F4895">
        <v>336</v>
      </c>
    </row>
    <row r="4896" spans="1:6">
      <c r="A4896" t="s">
        <v>4894</v>
      </c>
      <c r="B4896" t="str">
        <f t="shared" si="218"/>
        <v>0.00096%</v>
      </c>
      <c r="C4896" t="s">
        <v>10</v>
      </c>
      <c r="D4896" t="s">
        <v>10</v>
      </c>
      <c r="E4896" t="str">
        <f>"$ 7,383"</f>
        <v>$ 7,383</v>
      </c>
      <c r="F4896">
        <v>297</v>
      </c>
    </row>
    <row r="4897" spans="1:6">
      <c r="A4897" t="s">
        <v>4895</v>
      </c>
      <c r="B4897" t="str">
        <f t="shared" si="218"/>
        <v>0.00096%</v>
      </c>
      <c r="C4897" t="s">
        <v>10</v>
      </c>
      <c r="D4897" t="s">
        <v>10</v>
      </c>
      <c r="E4897" t="str">
        <f>"$ 7,381"</f>
        <v>$ 7,381</v>
      </c>
      <c r="F4897" s="1">
        <v>2561</v>
      </c>
    </row>
    <row r="4898" spans="1:6">
      <c r="A4898" t="s">
        <v>4896</v>
      </c>
      <c r="B4898" t="str">
        <f t="shared" si="218"/>
        <v>0.00096%</v>
      </c>
      <c r="C4898" t="s">
        <v>10</v>
      </c>
      <c r="D4898" t="s">
        <v>10</v>
      </c>
      <c r="E4898" t="str">
        <f>"$ 7,428"</f>
        <v>$ 7,428</v>
      </c>
      <c r="F4898" s="1">
        <v>4107</v>
      </c>
    </row>
    <row r="4899" spans="1:6">
      <c r="A4899" t="s">
        <v>4897</v>
      </c>
      <c r="B4899" t="str">
        <f t="shared" si="218"/>
        <v>0.00096%</v>
      </c>
      <c r="C4899" t="s">
        <v>10</v>
      </c>
      <c r="D4899" t="s">
        <v>10</v>
      </c>
      <c r="E4899" t="str">
        <f>"$ 7,427"</f>
        <v>$ 7,427</v>
      </c>
      <c r="F4899" s="1">
        <v>33320</v>
      </c>
    </row>
    <row r="4900" spans="1:6">
      <c r="A4900" t="s">
        <v>4898</v>
      </c>
      <c r="B4900" t="str">
        <f t="shared" si="218"/>
        <v>0.00096%</v>
      </c>
      <c r="C4900" t="s">
        <v>10</v>
      </c>
      <c r="D4900" t="s">
        <v>10</v>
      </c>
      <c r="E4900" t="str">
        <f>"$ 7,380"</f>
        <v>$ 7,380</v>
      </c>
      <c r="F4900">
        <v>87</v>
      </c>
    </row>
    <row r="4901" spans="1:6">
      <c r="A4901" t="s">
        <v>4899</v>
      </c>
      <c r="B4901" t="str">
        <f t="shared" si="218"/>
        <v>0.00096%</v>
      </c>
      <c r="C4901" t="s">
        <v>10</v>
      </c>
      <c r="D4901" t="s">
        <v>10</v>
      </c>
      <c r="E4901" t="str">
        <f>"$ 7,439"</f>
        <v>$ 7,439</v>
      </c>
      <c r="F4901">
        <v>719</v>
      </c>
    </row>
    <row r="4902" spans="1:6">
      <c r="A4902" t="s">
        <v>4900</v>
      </c>
      <c r="B4902" t="str">
        <f t="shared" si="218"/>
        <v>0.00096%</v>
      </c>
      <c r="C4902" t="s">
        <v>10</v>
      </c>
      <c r="D4902" t="s">
        <v>10</v>
      </c>
      <c r="E4902" t="str">
        <f>"$ 7,388"</f>
        <v>$ 7,388</v>
      </c>
      <c r="F4902">
        <v>293</v>
      </c>
    </row>
    <row r="4903" spans="1:6">
      <c r="A4903" t="s">
        <v>4901</v>
      </c>
      <c r="B4903" t="str">
        <f t="shared" si="218"/>
        <v>0.00096%</v>
      </c>
      <c r="C4903" t="s">
        <v>10</v>
      </c>
      <c r="D4903" t="s">
        <v>10</v>
      </c>
      <c r="E4903" t="str">
        <f>"$ 7,442"</f>
        <v>$ 7,442</v>
      </c>
      <c r="F4903">
        <v>267</v>
      </c>
    </row>
    <row r="4904" spans="1:6">
      <c r="A4904" t="s">
        <v>4902</v>
      </c>
      <c r="B4904" t="str">
        <f t="shared" si="218"/>
        <v>0.00096%</v>
      </c>
      <c r="C4904" t="s">
        <v>10</v>
      </c>
      <c r="D4904" t="s">
        <v>10</v>
      </c>
      <c r="E4904" t="str">
        <f>"$ 7,398"</f>
        <v>$ 7,398</v>
      </c>
      <c r="F4904">
        <v>479</v>
      </c>
    </row>
    <row r="4905" spans="1:6">
      <c r="A4905" t="s">
        <v>4903</v>
      </c>
      <c r="B4905" t="str">
        <f t="shared" si="218"/>
        <v>0.00096%</v>
      </c>
      <c r="C4905" t="s">
        <v>10</v>
      </c>
      <c r="D4905" t="s">
        <v>10</v>
      </c>
      <c r="E4905" t="str">
        <f>"$ 7,408"</f>
        <v>$ 7,408</v>
      </c>
      <c r="F4905">
        <v>139</v>
      </c>
    </row>
    <row r="4906" spans="1:6">
      <c r="A4906" t="s">
        <v>4904</v>
      </c>
      <c r="B4906" t="str">
        <f t="shared" si="218"/>
        <v>0.00096%</v>
      </c>
      <c r="C4906" t="s">
        <v>10</v>
      </c>
      <c r="D4906" t="s">
        <v>10</v>
      </c>
      <c r="E4906" t="str">
        <f>"$ 7,420"</f>
        <v>$ 7,420</v>
      </c>
      <c r="F4906">
        <v>929</v>
      </c>
    </row>
    <row r="4907" spans="1:6">
      <c r="A4907" t="s">
        <v>4905</v>
      </c>
      <c r="B4907" t="str">
        <f t="shared" si="218"/>
        <v>0.00096%</v>
      </c>
      <c r="C4907" t="s">
        <v>10</v>
      </c>
      <c r="D4907" t="s">
        <v>10</v>
      </c>
      <c r="E4907" t="str">
        <f>"$ 7,408"</f>
        <v>$ 7,408</v>
      </c>
      <c r="F4907">
        <v>127</v>
      </c>
    </row>
    <row r="4908" spans="1:6">
      <c r="A4908" t="s">
        <v>4906</v>
      </c>
      <c r="B4908" t="str">
        <f t="shared" si="218"/>
        <v>0.00096%</v>
      </c>
      <c r="C4908" t="s">
        <v>10</v>
      </c>
      <c r="D4908" t="s">
        <v>10</v>
      </c>
      <c r="E4908" t="str">
        <f>"$ 7,414"</f>
        <v>$ 7,414</v>
      </c>
      <c r="F4908">
        <v>477</v>
      </c>
    </row>
    <row r="4909" spans="1:6">
      <c r="A4909" t="s">
        <v>4907</v>
      </c>
      <c r="B4909" t="str">
        <f t="shared" si="218"/>
        <v>0.00096%</v>
      </c>
      <c r="C4909" t="s">
        <v>10</v>
      </c>
      <c r="D4909" t="s">
        <v>10</v>
      </c>
      <c r="E4909" t="str">
        <f>"$ 7,375"</f>
        <v>$ 7,375</v>
      </c>
      <c r="F4909" s="1">
        <v>8742</v>
      </c>
    </row>
    <row r="4910" spans="1:6">
      <c r="A4910" t="s">
        <v>4908</v>
      </c>
      <c r="B4910" t="str">
        <f t="shared" si="218"/>
        <v>0.00096%</v>
      </c>
      <c r="C4910" t="s">
        <v>10</v>
      </c>
      <c r="D4910" t="s">
        <v>10</v>
      </c>
      <c r="E4910" t="str">
        <f>"$ 7,439"</f>
        <v>$ 7,439</v>
      </c>
      <c r="F4910">
        <v>444</v>
      </c>
    </row>
    <row r="4911" spans="1:6">
      <c r="A4911" t="s">
        <v>4909</v>
      </c>
      <c r="B4911" t="str">
        <f t="shared" si="218"/>
        <v>0.00096%</v>
      </c>
      <c r="C4911" t="s">
        <v>10</v>
      </c>
      <c r="D4911" t="s">
        <v>10</v>
      </c>
      <c r="E4911" t="str">
        <f>"$ 7,449"</f>
        <v>$ 7,449</v>
      </c>
      <c r="F4911" s="1">
        <v>1552</v>
      </c>
    </row>
    <row r="4912" spans="1:6">
      <c r="A4912" t="s">
        <v>4910</v>
      </c>
      <c r="B4912" t="str">
        <f t="shared" ref="B4912:B4936" si="219">"0.00095%"</f>
        <v>0.00095%</v>
      </c>
      <c r="C4912" t="s">
        <v>10</v>
      </c>
      <c r="D4912" t="s">
        <v>10</v>
      </c>
      <c r="E4912" t="str">
        <f>"$ 7,324"</f>
        <v>$ 7,324</v>
      </c>
      <c r="F4912" s="1">
        <v>1063</v>
      </c>
    </row>
    <row r="4913" spans="1:6">
      <c r="A4913" t="s">
        <v>4911</v>
      </c>
      <c r="B4913" t="str">
        <f t="shared" si="219"/>
        <v>0.00095%</v>
      </c>
      <c r="C4913" t="s">
        <v>10</v>
      </c>
      <c r="D4913" t="s">
        <v>10</v>
      </c>
      <c r="E4913" t="str">
        <f>"$ 7,342"</f>
        <v>$ 7,342</v>
      </c>
      <c r="F4913" s="1">
        <v>2497</v>
      </c>
    </row>
    <row r="4914" spans="1:6">
      <c r="A4914" t="s">
        <v>4912</v>
      </c>
      <c r="B4914" t="str">
        <f t="shared" si="219"/>
        <v>0.00095%</v>
      </c>
      <c r="C4914" t="s">
        <v>10</v>
      </c>
      <c r="D4914" t="s">
        <v>10</v>
      </c>
      <c r="E4914" t="str">
        <f>"$ 7,302"</f>
        <v>$ 7,302</v>
      </c>
      <c r="F4914" s="1">
        <v>2309</v>
      </c>
    </row>
    <row r="4915" spans="1:6">
      <c r="A4915" t="s">
        <v>4913</v>
      </c>
      <c r="B4915" t="str">
        <f t="shared" si="219"/>
        <v>0.00095%</v>
      </c>
      <c r="C4915" t="s">
        <v>10</v>
      </c>
      <c r="D4915" t="s">
        <v>10</v>
      </c>
      <c r="E4915" t="str">
        <f>"$ 7,301"</f>
        <v>$ 7,301</v>
      </c>
      <c r="F4915">
        <v>334</v>
      </c>
    </row>
    <row r="4916" spans="1:6">
      <c r="A4916" t="s">
        <v>4914</v>
      </c>
      <c r="B4916" t="str">
        <f t="shared" si="219"/>
        <v>0.00095%</v>
      </c>
      <c r="C4916" t="s">
        <v>10</v>
      </c>
      <c r="D4916" t="s">
        <v>10</v>
      </c>
      <c r="E4916" t="str">
        <f>"$ 7,300"</f>
        <v>$ 7,300</v>
      </c>
      <c r="F4916">
        <v>424</v>
      </c>
    </row>
    <row r="4917" spans="1:6">
      <c r="A4917" t="s">
        <v>4915</v>
      </c>
      <c r="B4917" t="str">
        <f t="shared" si="219"/>
        <v>0.00095%</v>
      </c>
      <c r="C4917" t="s">
        <v>10</v>
      </c>
      <c r="D4917" t="s">
        <v>10</v>
      </c>
      <c r="E4917" t="str">
        <f>"$ 7,300"</f>
        <v>$ 7,300</v>
      </c>
      <c r="F4917">
        <v>138</v>
      </c>
    </row>
    <row r="4918" spans="1:6">
      <c r="A4918" t="s">
        <v>4916</v>
      </c>
      <c r="B4918" t="str">
        <f t="shared" si="219"/>
        <v>0.00095%</v>
      </c>
      <c r="C4918" t="s">
        <v>10</v>
      </c>
      <c r="D4918" t="s">
        <v>10</v>
      </c>
      <c r="E4918" t="str">
        <f>"$ 7,354"</f>
        <v>$ 7,354</v>
      </c>
      <c r="F4918" s="1">
        <v>1350</v>
      </c>
    </row>
    <row r="4919" spans="1:6">
      <c r="A4919" t="s">
        <v>4917</v>
      </c>
      <c r="B4919" t="str">
        <f t="shared" si="219"/>
        <v>0.00095%</v>
      </c>
      <c r="C4919" t="s">
        <v>10</v>
      </c>
      <c r="D4919" t="s">
        <v>10</v>
      </c>
      <c r="E4919" t="str">
        <f>"$ 7,302"</f>
        <v>$ 7,302</v>
      </c>
      <c r="F4919">
        <v>313</v>
      </c>
    </row>
    <row r="4920" spans="1:6">
      <c r="A4920" t="s">
        <v>4918</v>
      </c>
      <c r="B4920" t="str">
        <f t="shared" si="219"/>
        <v>0.00095%</v>
      </c>
      <c r="C4920" t="s">
        <v>10</v>
      </c>
      <c r="D4920" t="s">
        <v>10</v>
      </c>
      <c r="E4920" t="str">
        <f>"$ 7,302"</f>
        <v>$ 7,302</v>
      </c>
      <c r="F4920">
        <v>514</v>
      </c>
    </row>
    <row r="4921" spans="1:6">
      <c r="A4921" t="s">
        <v>4919</v>
      </c>
      <c r="B4921" t="str">
        <f t="shared" si="219"/>
        <v>0.00095%</v>
      </c>
      <c r="C4921" t="s">
        <v>10</v>
      </c>
      <c r="D4921" t="s">
        <v>10</v>
      </c>
      <c r="E4921" t="str">
        <f>"$ 7,331"</f>
        <v>$ 7,331</v>
      </c>
      <c r="F4921">
        <v>247</v>
      </c>
    </row>
    <row r="4922" spans="1:6">
      <c r="A4922" t="s">
        <v>4920</v>
      </c>
      <c r="B4922" t="str">
        <f t="shared" si="219"/>
        <v>0.00095%</v>
      </c>
      <c r="C4922" t="s">
        <v>10</v>
      </c>
      <c r="D4922" t="s">
        <v>10</v>
      </c>
      <c r="E4922" t="str">
        <f>"$ 7,317"</f>
        <v>$ 7,317</v>
      </c>
      <c r="F4922">
        <v>62</v>
      </c>
    </row>
    <row r="4923" spans="1:6">
      <c r="A4923" t="s">
        <v>4921</v>
      </c>
      <c r="B4923" t="str">
        <f t="shared" si="219"/>
        <v>0.00095%</v>
      </c>
      <c r="C4923" t="s">
        <v>10</v>
      </c>
      <c r="D4923" t="s">
        <v>10</v>
      </c>
      <c r="E4923" t="str">
        <f>"$ 7,342"</f>
        <v>$ 7,342</v>
      </c>
      <c r="F4923">
        <v>85</v>
      </c>
    </row>
    <row r="4924" spans="1:6">
      <c r="A4924" t="s">
        <v>4922</v>
      </c>
      <c r="B4924" t="str">
        <f t="shared" si="219"/>
        <v>0.00095%</v>
      </c>
      <c r="C4924" t="s">
        <v>10</v>
      </c>
      <c r="D4924" t="s">
        <v>10</v>
      </c>
      <c r="E4924" t="str">
        <f>"$ 7,299"</f>
        <v>$ 7,299</v>
      </c>
      <c r="F4924">
        <v>337</v>
      </c>
    </row>
    <row r="4925" spans="1:6">
      <c r="A4925" t="s">
        <v>4923</v>
      </c>
      <c r="B4925" t="str">
        <f t="shared" si="219"/>
        <v>0.00095%</v>
      </c>
      <c r="C4925" t="s">
        <v>10</v>
      </c>
      <c r="D4925" t="s">
        <v>10</v>
      </c>
      <c r="E4925" t="str">
        <f>"$ 7,346"</f>
        <v>$ 7,346</v>
      </c>
      <c r="F4925" s="1">
        <v>3003</v>
      </c>
    </row>
    <row r="4926" spans="1:6">
      <c r="A4926" t="s">
        <v>4924</v>
      </c>
      <c r="B4926" t="str">
        <f t="shared" si="219"/>
        <v>0.00095%</v>
      </c>
      <c r="C4926" t="s">
        <v>10</v>
      </c>
      <c r="D4926" t="s">
        <v>10</v>
      </c>
      <c r="E4926" t="str">
        <f>"$ 7,366"</f>
        <v>$ 7,366</v>
      </c>
      <c r="F4926" s="1">
        <v>2774</v>
      </c>
    </row>
    <row r="4927" spans="1:6">
      <c r="A4927" t="s">
        <v>4925</v>
      </c>
      <c r="B4927" t="str">
        <f t="shared" si="219"/>
        <v>0.00095%</v>
      </c>
      <c r="C4927" t="s">
        <v>10</v>
      </c>
      <c r="D4927" t="s">
        <v>10</v>
      </c>
      <c r="E4927" t="str">
        <f>"$ 7,339"</f>
        <v>$ 7,339</v>
      </c>
      <c r="F4927" s="1">
        <v>2056</v>
      </c>
    </row>
    <row r="4928" spans="1:6">
      <c r="A4928" t="s">
        <v>4926</v>
      </c>
      <c r="B4928" t="str">
        <f t="shared" si="219"/>
        <v>0.00095%</v>
      </c>
      <c r="C4928" t="s">
        <v>10</v>
      </c>
      <c r="D4928" t="s">
        <v>10</v>
      </c>
      <c r="E4928" t="str">
        <f>"$ 7,298"</f>
        <v>$ 7,298</v>
      </c>
      <c r="F4928">
        <v>47</v>
      </c>
    </row>
    <row r="4929" spans="1:6">
      <c r="A4929" t="s">
        <v>4927</v>
      </c>
      <c r="B4929" t="str">
        <f t="shared" si="219"/>
        <v>0.00095%</v>
      </c>
      <c r="C4929" t="s">
        <v>10</v>
      </c>
      <c r="D4929" t="s">
        <v>10</v>
      </c>
      <c r="E4929" t="str">
        <f>"$ 7,308"</f>
        <v>$ 7,308</v>
      </c>
      <c r="F4929">
        <v>578</v>
      </c>
    </row>
    <row r="4930" spans="1:6">
      <c r="A4930" t="s">
        <v>4928</v>
      </c>
      <c r="B4930" t="str">
        <f t="shared" si="219"/>
        <v>0.00095%</v>
      </c>
      <c r="C4930" t="s">
        <v>10</v>
      </c>
      <c r="D4930" t="s">
        <v>10</v>
      </c>
      <c r="E4930" t="str">
        <f>"$ 7,312"</f>
        <v>$ 7,312</v>
      </c>
      <c r="F4930" s="1">
        <v>652809</v>
      </c>
    </row>
    <row r="4931" spans="1:6">
      <c r="A4931" t="s">
        <v>4929</v>
      </c>
      <c r="B4931" t="str">
        <f t="shared" si="219"/>
        <v>0.00095%</v>
      </c>
      <c r="C4931" t="s">
        <v>10</v>
      </c>
      <c r="D4931" t="s">
        <v>10</v>
      </c>
      <c r="E4931" t="str">
        <f>"$ 7,324"</f>
        <v>$ 7,324</v>
      </c>
      <c r="F4931">
        <v>129</v>
      </c>
    </row>
    <row r="4932" spans="1:6">
      <c r="A4932" t="s">
        <v>4930</v>
      </c>
      <c r="B4932" t="str">
        <f t="shared" si="219"/>
        <v>0.00095%</v>
      </c>
      <c r="C4932" t="s">
        <v>10</v>
      </c>
      <c r="D4932" t="s">
        <v>10</v>
      </c>
      <c r="E4932" t="str">
        <f>"$ 7,353"</f>
        <v>$ 7,353</v>
      </c>
      <c r="F4932">
        <v>758</v>
      </c>
    </row>
    <row r="4933" spans="1:6">
      <c r="A4933" t="s">
        <v>4931</v>
      </c>
      <c r="B4933" t="str">
        <f t="shared" si="219"/>
        <v>0.00095%</v>
      </c>
      <c r="C4933" t="s">
        <v>10</v>
      </c>
      <c r="D4933" t="s">
        <v>10</v>
      </c>
      <c r="E4933" t="str">
        <f>"$ 7,331"</f>
        <v>$ 7,331</v>
      </c>
      <c r="F4933" s="1">
        <v>10354</v>
      </c>
    </row>
    <row r="4934" spans="1:6">
      <c r="A4934" t="s">
        <v>4932</v>
      </c>
      <c r="B4934" t="str">
        <f t="shared" si="219"/>
        <v>0.00095%</v>
      </c>
      <c r="C4934" t="s">
        <v>10</v>
      </c>
      <c r="D4934" t="s">
        <v>10</v>
      </c>
      <c r="E4934" t="str">
        <f>"$ 7,350"</f>
        <v>$ 7,350</v>
      </c>
      <c r="F4934">
        <v>340</v>
      </c>
    </row>
    <row r="4935" spans="1:6">
      <c r="A4935" t="s">
        <v>4933</v>
      </c>
      <c r="B4935" t="str">
        <f t="shared" si="219"/>
        <v>0.00095%</v>
      </c>
      <c r="C4935" t="s">
        <v>10</v>
      </c>
      <c r="D4935" t="s">
        <v>10</v>
      </c>
      <c r="E4935" t="str">
        <f>"$ 7,361"</f>
        <v>$ 7,361</v>
      </c>
      <c r="F4935" s="1">
        <v>3309</v>
      </c>
    </row>
    <row r="4936" spans="1:6">
      <c r="A4936" t="s">
        <v>4934</v>
      </c>
      <c r="B4936" t="str">
        <f t="shared" si="219"/>
        <v>0.00095%</v>
      </c>
      <c r="C4936" t="s">
        <v>10</v>
      </c>
      <c r="D4936" t="s">
        <v>10</v>
      </c>
      <c r="E4936" t="str">
        <f>"$ 7,307"</f>
        <v>$ 7,307</v>
      </c>
      <c r="F4936">
        <v>152</v>
      </c>
    </row>
    <row r="4937" spans="1:6">
      <c r="A4937" t="s">
        <v>4935</v>
      </c>
      <c r="B4937" t="str">
        <f t="shared" ref="B4937:B4962" si="220">"0.00094%"</f>
        <v>0.00094%</v>
      </c>
      <c r="C4937" t="s">
        <v>10</v>
      </c>
      <c r="D4937" t="s">
        <v>10</v>
      </c>
      <c r="E4937" t="str">
        <f>"$ 7,237"</f>
        <v>$ 7,237</v>
      </c>
      <c r="F4937" s="1">
        <v>3015</v>
      </c>
    </row>
    <row r="4938" spans="1:6">
      <c r="A4938" t="s">
        <v>4936</v>
      </c>
      <c r="B4938" t="str">
        <f t="shared" si="220"/>
        <v>0.00094%</v>
      </c>
      <c r="C4938" t="s">
        <v>10</v>
      </c>
      <c r="D4938" t="s">
        <v>10</v>
      </c>
      <c r="E4938" t="str">
        <f>"$ 7,273"</f>
        <v>$ 7,273</v>
      </c>
      <c r="F4938" s="1">
        <v>6562</v>
      </c>
    </row>
    <row r="4939" spans="1:6">
      <c r="A4939" t="s">
        <v>4937</v>
      </c>
      <c r="B4939" t="str">
        <f t="shared" si="220"/>
        <v>0.00094%</v>
      </c>
      <c r="C4939" t="s">
        <v>10</v>
      </c>
      <c r="D4939" t="s">
        <v>10</v>
      </c>
      <c r="E4939" t="str">
        <f>"$ 7,260"</f>
        <v>$ 7,260</v>
      </c>
      <c r="F4939">
        <v>250</v>
      </c>
    </row>
    <row r="4940" spans="1:6">
      <c r="A4940" t="s">
        <v>4938</v>
      </c>
      <c r="B4940" t="str">
        <f t="shared" si="220"/>
        <v>0.00094%</v>
      </c>
      <c r="C4940" t="s">
        <v>10</v>
      </c>
      <c r="D4940" t="s">
        <v>10</v>
      </c>
      <c r="E4940" t="str">
        <f>"$ 7,246"</f>
        <v>$ 7,246</v>
      </c>
      <c r="F4940" s="1">
        <v>6527</v>
      </c>
    </row>
    <row r="4941" spans="1:6">
      <c r="A4941" t="s">
        <v>4939</v>
      </c>
      <c r="B4941" t="str">
        <f t="shared" si="220"/>
        <v>0.00094%</v>
      </c>
      <c r="C4941" t="s">
        <v>10</v>
      </c>
      <c r="D4941" t="s">
        <v>10</v>
      </c>
      <c r="E4941" t="str">
        <f>"$ 7,270"</f>
        <v>$ 7,270</v>
      </c>
      <c r="F4941" s="1">
        <v>1683</v>
      </c>
    </row>
    <row r="4942" spans="1:6">
      <c r="A4942" t="s">
        <v>4940</v>
      </c>
      <c r="B4942" t="str">
        <f t="shared" si="220"/>
        <v>0.00094%</v>
      </c>
      <c r="C4942" t="s">
        <v>10</v>
      </c>
      <c r="D4942" t="s">
        <v>10</v>
      </c>
      <c r="E4942" t="str">
        <f>"$ 7,285"</f>
        <v>$ 7,285</v>
      </c>
      <c r="F4942" s="1">
        <v>1730</v>
      </c>
    </row>
    <row r="4943" spans="1:6">
      <c r="A4943" t="s">
        <v>4941</v>
      </c>
      <c r="B4943" t="str">
        <f t="shared" si="220"/>
        <v>0.00094%</v>
      </c>
      <c r="C4943" t="s">
        <v>10</v>
      </c>
      <c r="D4943" t="s">
        <v>10</v>
      </c>
      <c r="E4943" t="str">
        <f>"$ 7,289"</f>
        <v>$ 7,289</v>
      </c>
      <c r="F4943">
        <v>182</v>
      </c>
    </row>
    <row r="4944" spans="1:6">
      <c r="A4944" t="s">
        <v>4942</v>
      </c>
      <c r="B4944" t="str">
        <f t="shared" si="220"/>
        <v>0.00094%</v>
      </c>
      <c r="C4944" t="s">
        <v>10</v>
      </c>
      <c r="D4944" t="s">
        <v>10</v>
      </c>
      <c r="E4944" t="str">
        <f>"$ 7,289"</f>
        <v>$ 7,289</v>
      </c>
      <c r="F4944" s="1">
        <v>1003</v>
      </c>
    </row>
    <row r="4945" spans="1:6">
      <c r="A4945" t="s">
        <v>4943</v>
      </c>
      <c r="B4945" t="str">
        <f t="shared" si="220"/>
        <v>0.00094%</v>
      </c>
      <c r="C4945" t="s">
        <v>10</v>
      </c>
      <c r="D4945" t="s">
        <v>10</v>
      </c>
      <c r="E4945" t="str">
        <f>"$ 7,223"</f>
        <v>$ 7,223</v>
      </c>
      <c r="F4945">
        <v>111</v>
      </c>
    </row>
    <row r="4946" spans="1:6">
      <c r="A4946" t="s">
        <v>4944</v>
      </c>
      <c r="B4946" t="str">
        <f t="shared" si="220"/>
        <v>0.00094%</v>
      </c>
      <c r="C4946" t="s">
        <v>10</v>
      </c>
      <c r="D4946" t="s">
        <v>10</v>
      </c>
      <c r="E4946" t="str">
        <f>"$ 7,290"</f>
        <v>$ 7,290</v>
      </c>
      <c r="F4946">
        <v>176</v>
      </c>
    </row>
    <row r="4947" spans="1:6">
      <c r="A4947" t="s">
        <v>4945</v>
      </c>
      <c r="B4947" t="str">
        <f t="shared" si="220"/>
        <v>0.00094%</v>
      </c>
      <c r="C4947" t="s">
        <v>10</v>
      </c>
      <c r="D4947" t="s">
        <v>10</v>
      </c>
      <c r="E4947" t="str">
        <f>"$ 7,282"</f>
        <v>$ 7,282</v>
      </c>
      <c r="F4947" s="1">
        <v>4954</v>
      </c>
    </row>
    <row r="4948" spans="1:6">
      <c r="A4948" t="s">
        <v>4946</v>
      </c>
      <c r="B4948" t="str">
        <f t="shared" si="220"/>
        <v>0.00094%</v>
      </c>
      <c r="C4948" t="s">
        <v>10</v>
      </c>
      <c r="D4948" t="s">
        <v>10</v>
      </c>
      <c r="E4948" t="str">
        <f>"$ 7,222"</f>
        <v>$ 7,222</v>
      </c>
      <c r="F4948" s="1">
        <v>10425</v>
      </c>
    </row>
    <row r="4949" spans="1:6">
      <c r="A4949" t="s">
        <v>4947</v>
      </c>
      <c r="B4949" t="str">
        <f t="shared" si="220"/>
        <v>0.00094%</v>
      </c>
      <c r="C4949" t="s">
        <v>10</v>
      </c>
      <c r="D4949" t="s">
        <v>10</v>
      </c>
      <c r="E4949" t="str">
        <f>"$ 7,283"</f>
        <v>$ 7,283</v>
      </c>
      <c r="F4949">
        <v>252</v>
      </c>
    </row>
    <row r="4950" spans="1:6">
      <c r="A4950" t="s">
        <v>4948</v>
      </c>
      <c r="B4950" t="str">
        <f t="shared" si="220"/>
        <v>0.00094%</v>
      </c>
      <c r="C4950" t="s">
        <v>10</v>
      </c>
      <c r="D4950" t="s">
        <v>10</v>
      </c>
      <c r="E4950" t="str">
        <f>"$ 7,252"</f>
        <v>$ 7,252</v>
      </c>
      <c r="F4950">
        <v>165</v>
      </c>
    </row>
    <row r="4951" spans="1:6">
      <c r="A4951" t="s">
        <v>4949</v>
      </c>
      <c r="B4951" t="str">
        <f t="shared" si="220"/>
        <v>0.00094%</v>
      </c>
      <c r="C4951" t="s">
        <v>10</v>
      </c>
      <c r="D4951" t="s">
        <v>10</v>
      </c>
      <c r="E4951" t="str">
        <f>"$ 7,265"</f>
        <v>$ 7,265</v>
      </c>
      <c r="F4951" s="1">
        <v>1066</v>
      </c>
    </row>
    <row r="4952" spans="1:6">
      <c r="A4952" t="s">
        <v>4950</v>
      </c>
      <c r="B4952" t="str">
        <f t="shared" si="220"/>
        <v>0.00094%</v>
      </c>
      <c r="C4952" t="s">
        <v>10</v>
      </c>
      <c r="D4952" t="s">
        <v>10</v>
      </c>
      <c r="E4952" t="str">
        <f>"$ 7,286"</f>
        <v>$ 7,286</v>
      </c>
      <c r="F4952">
        <v>83</v>
      </c>
    </row>
    <row r="4953" spans="1:6">
      <c r="A4953" t="s">
        <v>4951</v>
      </c>
      <c r="B4953" t="str">
        <f t="shared" si="220"/>
        <v>0.00094%</v>
      </c>
      <c r="C4953" t="s">
        <v>10</v>
      </c>
      <c r="D4953" t="s">
        <v>10</v>
      </c>
      <c r="E4953" t="str">
        <f>"$ 7,260"</f>
        <v>$ 7,260</v>
      </c>
      <c r="F4953" s="1">
        <v>2514</v>
      </c>
    </row>
    <row r="4954" spans="1:6">
      <c r="A4954" t="s">
        <v>4952</v>
      </c>
      <c r="B4954" t="str">
        <f t="shared" si="220"/>
        <v>0.00094%</v>
      </c>
      <c r="C4954" t="s">
        <v>10</v>
      </c>
      <c r="D4954" t="s">
        <v>10</v>
      </c>
      <c r="E4954" t="str">
        <f>"$ 7,274"</f>
        <v>$ 7,274</v>
      </c>
      <c r="F4954" s="1">
        <v>6097</v>
      </c>
    </row>
    <row r="4955" spans="1:6">
      <c r="A4955" t="s">
        <v>4953</v>
      </c>
      <c r="B4955" t="str">
        <f t="shared" si="220"/>
        <v>0.00094%</v>
      </c>
      <c r="C4955" t="s">
        <v>10</v>
      </c>
      <c r="D4955" t="s">
        <v>10</v>
      </c>
      <c r="E4955" t="str">
        <f>"$ 7,252"</f>
        <v>$ 7,252</v>
      </c>
      <c r="F4955">
        <v>544</v>
      </c>
    </row>
    <row r="4956" spans="1:6">
      <c r="A4956" t="s">
        <v>4954</v>
      </c>
      <c r="B4956" t="str">
        <f t="shared" si="220"/>
        <v>0.00094%</v>
      </c>
      <c r="C4956" t="s">
        <v>10</v>
      </c>
      <c r="D4956" t="s">
        <v>10</v>
      </c>
      <c r="E4956" t="str">
        <f>"$ 7,224"</f>
        <v>$ 7,224</v>
      </c>
      <c r="F4956" s="1">
        <v>1666</v>
      </c>
    </row>
    <row r="4957" spans="1:6">
      <c r="A4957" t="s">
        <v>4955</v>
      </c>
      <c r="B4957" t="str">
        <f t="shared" si="220"/>
        <v>0.00094%</v>
      </c>
      <c r="C4957" t="s">
        <v>10</v>
      </c>
      <c r="D4957" t="s">
        <v>10</v>
      </c>
      <c r="E4957" t="str">
        <f>"$ 7,282"</f>
        <v>$ 7,282</v>
      </c>
      <c r="F4957">
        <v>630</v>
      </c>
    </row>
    <row r="4958" spans="1:6">
      <c r="A4958" t="s">
        <v>4956</v>
      </c>
      <c r="B4958" t="str">
        <f t="shared" si="220"/>
        <v>0.00094%</v>
      </c>
      <c r="C4958" t="s">
        <v>10</v>
      </c>
      <c r="D4958" t="s">
        <v>10</v>
      </c>
      <c r="E4958" t="str">
        <f>"$ 7,270"</f>
        <v>$ 7,270</v>
      </c>
      <c r="F4958">
        <v>177</v>
      </c>
    </row>
    <row r="4959" spans="1:6">
      <c r="A4959" t="s">
        <v>4957</v>
      </c>
      <c r="B4959" t="str">
        <f t="shared" si="220"/>
        <v>0.00094%</v>
      </c>
      <c r="C4959" t="s">
        <v>10</v>
      </c>
      <c r="D4959" t="s">
        <v>10</v>
      </c>
      <c r="E4959" t="str">
        <f>"$ 7,295"</f>
        <v>$ 7,295</v>
      </c>
      <c r="F4959" s="1">
        <v>1675</v>
      </c>
    </row>
    <row r="4960" spans="1:6">
      <c r="A4960" t="s">
        <v>4958</v>
      </c>
      <c r="B4960" t="str">
        <f t="shared" si="220"/>
        <v>0.00094%</v>
      </c>
      <c r="C4960" t="s">
        <v>10</v>
      </c>
      <c r="D4960" t="s">
        <v>10</v>
      </c>
      <c r="E4960" t="str">
        <f>"$ 7,248"</f>
        <v>$ 7,248</v>
      </c>
      <c r="F4960" s="1">
        <v>8494</v>
      </c>
    </row>
    <row r="4961" spans="1:6">
      <c r="A4961" t="s">
        <v>4959</v>
      </c>
      <c r="B4961" t="str">
        <f t="shared" si="220"/>
        <v>0.00094%</v>
      </c>
      <c r="C4961" t="s">
        <v>10</v>
      </c>
      <c r="D4961" t="s">
        <v>10</v>
      </c>
      <c r="E4961" t="str">
        <f>"$ 7,222"</f>
        <v>$ 7,222</v>
      </c>
      <c r="F4961">
        <v>339</v>
      </c>
    </row>
    <row r="4962" spans="1:6">
      <c r="A4962" t="s">
        <v>4960</v>
      </c>
      <c r="B4962" t="str">
        <f t="shared" si="220"/>
        <v>0.00094%</v>
      </c>
      <c r="C4962" t="s">
        <v>10</v>
      </c>
      <c r="D4962" t="s">
        <v>10</v>
      </c>
      <c r="E4962" t="str">
        <f>"$ 7,236"</f>
        <v>$ 7,236</v>
      </c>
      <c r="F4962" s="1">
        <v>3986</v>
      </c>
    </row>
    <row r="4963" spans="1:6">
      <c r="A4963" t="s">
        <v>4961</v>
      </c>
      <c r="B4963" t="str">
        <f t="shared" ref="B4963:B4982" si="221">"0.00093%"</f>
        <v>0.00093%</v>
      </c>
      <c r="C4963" t="s">
        <v>10</v>
      </c>
      <c r="D4963" t="s">
        <v>10</v>
      </c>
      <c r="E4963" t="str">
        <f>"$ 7,179"</f>
        <v>$ 7,179</v>
      </c>
      <c r="F4963">
        <v>135</v>
      </c>
    </row>
    <row r="4964" spans="1:6">
      <c r="A4964" t="s">
        <v>4962</v>
      </c>
      <c r="B4964" t="str">
        <f t="shared" si="221"/>
        <v>0.00093%</v>
      </c>
      <c r="C4964" t="s">
        <v>10</v>
      </c>
      <c r="D4964" t="s">
        <v>10</v>
      </c>
      <c r="E4964" t="str">
        <f>"$ 7,179"</f>
        <v>$ 7,179</v>
      </c>
      <c r="F4964">
        <v>469</v>
      </c>
    </row>
    <row r="4965" spans="1:6">
      <c r="A4965" t="s">
        <v>4963</v>
      </c>
      <c r="B4965" t="str">
        <f t="shared" si="221"/>
        <v>0.00093%</v>
      </c>
      <c r="C4965" t="s">
        <v>10</v>
      </c>
      <c r="D4965" t="s">
        <v>10</v>
      </c>
      <c r="E4965" t="str">
        <f>"$ 7,154"</f>
        <v>$ 7,154</v>
      </c>
      <c r="F4965">
        <v>247</v>
      </c>
    </row>
    <row r="4966" spans="1:6">
      <c r="A4966" t="s">
        <v>4964</v>
      </c>
      <c r="B4966" t="str">
        <f t="shared" si="221"/>
        <v>0.00093%</v>
      </c>
      <c r="C4966" t="s">
        <v>10</v>
      </c>
      <c r="D4966" t="s">
        <v>10</v>
      </c>
      <c r="E4966" t="str">
        <f>"$ 7,173"</f>
        <v>$ 7,173</v>
      </c>
      <c r="F4966" s="1">
        <v>13031</v>
      </c>
    </row>
    <row r="4967" spans="1:6">
      <c r="A4967" t="s">
        <v>4965</v>
      </c>
      <c r="B4967" t="str">
        <f t="shared" si="221"/>
        <v>0.00093%</v>
      </c>
      <c r="C4967" t="s">
        <v>10</v>
      </c>
      <c r="D4967" t="s">
        <v>10</v>
      </c>
      <c r="E4967" t="str">
        <f>"$ 7,156"</f>
        <v>$ 7,156</v>
      </c>
      <c r="F4967">
        <v>170</v>
      </c>
    </row>
    <row r="4968" spans="1:6">
      <c r="A4968" t="s">
        <v>4966</v>
      </c>
      <c r="B4968" t="str">
        <f t="shared" si="221"/>
        <v>0.00093%</v>
      </c>
      <c r="C4968" t="s">
        <v>10</v>
      </c>
      <c r="D4968" t="s">
        <v>10</v>
      </c>
      <c r="E4968" t="str">
        <f>"$ 7,212"</f>
        <v>$ 7,212</v>
      </c>
      <c r="F4968">
        <v>165</v>
      </c>
    </row>
    <row r="4969" spans="1:6">
      <c r="A4969" t="s">
        <v>4967</v>
      </c>
      <c r="B4969" t="str">
        <f t="shared" si="221"/>
        <v>0.00093%</v>
      </c>
      <c r="C4969" t="s">
        <v>10</v>
      </c>
      <c r="D4969" t="s">
        <v>10</v>
      </c>
      <c r="E4969" t="str">
        <f>"$ 7,191"</f>
        <v>$ 7,191</v>
      </c>
      <c r="F4969">
        <v>129</v>
      </c>
    </row>
    <row r="4970" spans="1:6">
      <c r="A4970" t="s">
        <v>4968</v>
      </c>
      <c r="B4970" t="str">
        <f t="shared" si="221"/>
        <v>0.00093%</v>
      </c>
      <c r="C4970" t="s">
        <v>10</v>
      </c>
      <c r="D4970" t="s">
        <v>10</v>
      </c>
      <c r="E4970" t="str">
        <f>"$ 7,164"</f>
        <v>$ 7,164</v>
      </c>
      <c r="F4970" s="1">
        <v>1532</v>
      </c>
    </row>
    <row r="4971" spans="1:6">
      <c r="A4971" t="s">
        <v>4969</v>
      </c>
      <c r="B4971" t="str">
        <f t="shared" si="221"/>
        <v>0.00093%</v>
      </c>
      <c r="C4971" t="s">
        <v>10</v>
      </c>
      <c r="D4971" t="s">
        <v>10</v>
      </c>
      <c r="E4971" t="str">
        <f>"$ 7,197"</f>
        <v>$ 7,197</v>
      </c>
      <c r="F4971">
        <v>320</v>
      </c>
    </row>
    <row r="4972" spans="1:6">
      <c r="A4972" t="s">
        <v>4970</v>
      </c>
      <c r="B4972" t="str">
        <f t="shared" si="221"/>
        <v>0.00093%</v>
      </c>
      <c r="C4972" t="s">
        <v>10</v>
      </c>
      <c r="D4972" t="s">
        <v>10</v>
      </c>
      <c r="E4972" t="str">
        <f>"$ 7,190"</f>
        <v>$ 7,190</v>
      </c>
      <c r="F4972">
        <v>42</v>
      </c>
    </row>
    <row r="4973" spans="1:6">
      <c r="A4973" t="s">
        <v>4971</v>
      </c>
      <c r="B4973" t="str">
        <f t="shared" si="221"/>
        <v>0.00093%</v>
      </c>
      <c r="C4973" t="s">
        <v>10</v>
      </c>
      <c r="D4973" t="s">
        <v>10</v>
      </c>
      <c r="E4973" t="str">
        <f>"$ 7,147"</f>
        <v>$ 7,147</v>
      </c>
      <c r="F4973" s="1">
        <v>3052</v>
      </c>
    </row>
    <row r="4974" spans="1:6">
      <c r="A4974" t="s">
        <v>4972</v>
      </c>
      <c r="B4974" t="str">
        <f t="shared" si="221"/>
        <v>0.00093%</v>
      </c>
      <c r="C4974" t="s">
        <v>10</v>
      </c>
      <c r="D4974" t="s">
        <v>10</v>
      </c>
      <c r="E4974" t="str">
        <f>"$ 7,200"</f>
        <v>$ 7,200</v>
      </c>
      <c r="F4974" s="1">
        <v>17785</v>
      </c>
    </row>
    <row r="4975" spans="1:6">
      <c r="A4975" t="s">
        <v>4973</v>
      </c>
      <c r="B4975" t="str">
        <f t="shared" si="221"/>
        <v>0.00093%</v>
      </c>
      <c r="C4975" t="s">
        <v>10</v>
      </c>
      <c r="D4975" t="s">
        <v>10</v>
      </c>
      <c r="E4975" t="str">
        <f>"$ 7,144"</f>
        <v>$ 7,144</v>
      </c>
      <c r="F4975">
        <v>396</v>
      </c>
    </row>
    <row r="4976" spans="1:6">
      <c r="A4976" t="s">
        <v>4974</v>
      </c>
      <c r="B4976" t="str">
        <f t="shared" si="221"/>
        <v>0.00093%</v>
      </c>
      <c r="C4976" t="s">
        <v>10</v>
      </c>
      <c r="D4976" t="s">
        <v>10</v>
      </c>
      <c r="E4976" t="str">
        <f>"$ 7,202"</f>
        <v>$ 7,202</v>
      </c>
      <c r="F4976">
        <v>82</v>
      </c>
    </row>
    <row r="4977" spans="1:6">
      <c r="A4977" t="s">
        <v>4975</v>
      </c>
      <c r="B4977" t="str">
        <f t="shared" si="221"/>
        <v>0.00093%</v>
      </c>
      <c r="C4977" t="s">
        <v>10</v>
      </c>
      <c r="D4977" t="s">
        <v>10</v>
      </c>
      <c r="E4977" t="str">
        <f>"$ 7,187"</f>
        <v>$ 7,187</v>
      </c>
      <c r="F4977" s="1">
        <v>5217</v>
      </c>
    </row>
    <row r="4978" spans="1:6">
      <c r="A4978" t="s">
        <v>4976</v>
      </c>
      <c r="B4978" t="str">
        <f t="shared" si="221"/>
        <v>0.00093%</v>
      </c>
      <c r="C4978" t="s">
        <v>10</v>
      </c>
      <c r="D4978" t="s">
        <v>10</v>
      </c>
      <c r="E4978" t="str">
        <f>"$ 7,161"</f>
        <v>$ 7,161</v>
      </c>
      <c r="F4978">
        <v>238</v>
      </c>
    </row>
    <row r="4979" spans="1:6">
      <c r="A4979" t="s">
        <v>4977</v>
      </c>
      <c r="B4979" t="str">
        <f t="shared" si="221"/>
        <v>0.00093%</v>
      </c>
      <c r="C4979" t="s">
        <v>10</v>
      </c>
      <c r="D4979" t="s">
        <v>10</v>
      </c>
      <c r="E4979" t="str">
        <f>"$ 7,185"</f>
        <v>$ 7,185</v>
      </c>
      <c r="F4979" s="1">
        <v>21939</v>
      </c>
    </row>
    <row r="4980" spans="1:6">
      <c r="A4980" t="s">
        <v>4978</v>
      </c>
      <c r="B4980" t="str">
        <f t="shared" si="221"/>
        <v>0.00093%</v>
      </c>
      <c r="C4980" t="s">
        <v>10</v>
      </c>
      <c r="D4980" t="s">
        <v>10</v>
      </c>
      <c r="E4980" t="str">
        <f>"$ 7,206"</f>
        <v>$ 7,206</v>
      </c>
      <c r="F4980" s="1">
        <v>12820</v>
      </c>
    </row>
    <row r="4981" spans="1:6">
      <c r="A4981" t="s">
        <v>4979</v>
      </c>
      <c r="B4981" t="str">
        <f t="shared" si="221"/>
        <v>0.00093%</v>
      </c>
      <c r="C4981" t="s">
        <v>10</v>
      </c>
      <c r="D4981" t="s">
        <v>10</v>
      </c>
      <c r="E4981" t="str">
        <f>"$ 7,214"</f>
        <v>$ 7,214</v>
      </c>
      <c r="F4981" s="1">
        <v>4932</v>
      </c>
    </row>
    <row r="4982" spans="1:6">
      <c r="A4982" t="s">
        <v>4980</v>
      </c>
      <c r="B4982" t="str">
        <f t="shared" si="221"/>
        <v>0.00093%</v>
      </c>
      <c r="C4982" t="s">
        <v>10</v>
      </c>
      <c r="D4982" t="s">
        <v>10</v>
      </c>
      <c r="E4982" t="str">
        <f>"$ 7,185"</f>
        <v>$ 7,185</v>
      </c>
      <c r="F4982" s="1">
        <v>1617</v>
      </c>
    </row>
    <row r="4983" spans="1:6">
      <c r="A4983" t="s">
        <v>4981</v>
      </c>
      <c r="B4983" t="str">
        <f t="shared" ref="B4983:B5007" si="222">"0.00092%"</f>
        <v>0.00092%</v>
      </c>
      <c r="C4983" t="s">
        <v>10</v>
      </c>
      <c r="D4983" t="s">
        <v>10</v>
      </c>
      <c r="E4983" t="str">
        <f>"$ 7,088"</f>
        <v>$ 7,088</v>
      </c>
      <c r="F4983">
        <v>219</v>
      </c>
    </row>
    <row r="4984" spans="1:6">
      <c r="A4984" t="s">
        <v>4982</v>
      </c>
      <c r="B4984" t="str">
        <f t="shared" si="222"/>
        <v>0.00092%</v>
      </c>
      <c r="C4984" t="s">
        <v>10</v>
      </c>
      <c r="D4984" t="s">
        <v>10</v>
      </c>
      <c r="E4984" t="str">
        <f>"$ 7,137"</f>
        <v>$ 7,137</v>
      </c>
      <c r="F4984">
        <v>205</v>
      </c>
    </row>
    <row r="4985" spans="1:6">
      <c r="A4985" t="s">
        <v>4983</v>
      </c>
      <c r="B4985" t="str">
        <f t="shared" si="222"/>
        <v>0.00092%</v>
      </c>
      <c r="C4985" t="s">
        <v>10</v>
      </c>
      <c r="D4985" t="s">
        <v>10</v>
      </c>
      <c r="E4985" t="str">
        <f>"$ 7,075"</f>
        <v>$ 7,075</v>
      </c>
      <c r="F4985" s="1">
        <v>6674</v>
      </c>
    </row>
    <row r="4986" spans="1:6">
      <c r="A4986" t="s">
        <v>4984</v>
      </c>
      <c r="B4986" t="str">
        <f t="shared" si="222"/>
        <v>0.00092%</v>
      </c>
      <c r="C4986" t="s">
        <v>10</v>
      </c>
      <c r="D4986" t="s">
        <v>10</v>
      </c>
      <c r="E4986" t="str">
        <f>"$ 7,102"</f>
        <v>$ 7,102</v>
      </c>
      <c r="F4986">
        <v>429</v>
      </c>
    </row>
    <row r="4987" spans="1:6">
      <c r="A4987" t="s">
        <v>4985</v>
      </c>
      <c r="B4987" t="str">
        <f t="shared" si="222"/>
        <v>0.00092%</v>
      </c>
      <c r="C4987" t="s">
        <v>10</v>
      </c>
      <c r="D4987" t="s">
        <v>10</v>
      </c>
      <c r="E4987" t="str">
        <f>"$ 7,125"</f>
        <v>$ 7,125</v>
      </c>
      <c r="F4987" s="1">
        <v>8226</v>
      </c>
    </row>
    <row r="4988" spans="1:6">
      <c r="A4988" t="s">
        <v>4986</v>
      </c>
      <c r="B4988" t="str">
        <f t="shared" si="222"/>
        <v>0.00092%</v>
      </c>
      <c r="C4988" t="s">
        <v>10</v>
      </c>
      <c r="D4988" t="s">
        <v>10</v>
      </c>
      <c r="E4988" t="str">
        <f>"$ 7,126"</f>
        <v>$ 7,126</v>
      </c>
      <c r="F4988">
        <v>775</v>
      </c>
    </row>
    <row r="4989" spans="1:6">
      <c r="A4989" t="s">
        <v>4987</v>
      </c>
      <c r="B4989" t="str">
        <f t="shared" si="222"/>
        <v>0.00092%</v>
      </c>
      <c r="C4989" t="s">
        <v>10</v>
      </c>
      <c r="D4989" t="s">
        <v>10</v>
      </c>
      <c r="E4989" t="str">
        <f>"$ 7,140"</f>
        <v>$ 7,140</v>
      </c>
      <c r="F4989">
        <v>528</v>
      </c>
    </row>
    <row r="4990" spans="1:6">
      <c r="A4990" t="s">
        <v>4988</v>
      </c>
      <c r="B4990" t="str">
        <f t="shared" si="222"/>
        <v>0.00092%</v>
      </c>
      <c r="C4990" t="s">
        <v>10</v>
      </c>
      <c r="D4990" t="s">
        <v>10</v>
      </c>
      <c r="E4990" t="str">
        <f>"$ 7,075"</f>
        <v>$ 7,075</v>
      </c>
      <c r="F4990">
        <v>346</v>
      </c>
    </row>
    <row r="4991" spans="1:6">
      <c r="A4991" t="s">
        <v>4989</v>
      </c>
      <c r="B4991" t="str">
        <f t="shared" si="222"/>
        <v>0.00092%</v>
      </c>
      <c r="C4991" t="s">
        <v>10</v>
      </c>
      <c r="D4991" t="s">
        <v>10</v>
      </c>
      <c r="E4991" t="str">
        <f>"$ 7,087"</f>
        <v>$ 7,087</v>
      </c>
      <c r="F4991">
        <v>198</v>
      </c>
    </row>
    <row r="4992" spans="1:6">
      <c r="A4992" t="s">
        <v>4990</v>
      </c>
      <c r="B4992" t="str">
        <f t="shared" si="222"/>
        <v>0.00092%</v>
      </c>
      <c r="C4992" t="s">
        <v>10</v>
      </c>
      <c r="D4992" t="s">
        <v>10</v>
      </c>
      <c r="E4992" t="str">
        <f>"$ 7,085"</f>
        <v>$ 7,085</v>
      </c>
      <c r="F4992">
        <v>194</v>
      </c>
    </row>
    <row r="4993" spans="1:6">
      <c r="A4993" t="s">
        <v>4991</v>
      </c>
      <c r="B4993" t="str">
        <f t="shared" si="222"/>
        <v>0.00092%</v>
      </c>
      <c r="C4993" t="s">
        <v>10</v>
      </c>
      <c r="D4993" t="s">
        <v>10</v>
      </c>
      <c r="E4993" t="str">
        <f>"$ 7,113"</f>
        <v>$ 7,113</v>
      </c>
      <c r="F4993">
        <v>99</v>
      </c>
    </row>
    <row r="4994" spans="1:6">
      <c r="A4994" t="s">
        <v>4992</v>
      </c>
      <c r="B4994" t="str">
        <f t="shared" si="222"/>
        <v>0.00092%</v>
      </c>
      <c r="C4994" t="s">
        <v>10</v>
      </c>
      <c r="D4994" t="s">
        <v>10</v>
      </c>
      <c r="E4994" t="str">
        <f>"$ 7,117"</f>
        <v>$ 7,117</v>
      </c>
      <c r="F4994">
        <v>867</v>
      </c>
    </row>
    <row r="4995" spans="1:6">
      <c r="A4995" t="s">
        <v>4993</v>
      </c>
      <c r="B4995" t="str">
        <f t="shared" si="222"/>
        <v>0.00092%</v>
      </c>
      <c r="C4995" t="s">
        <v>10</v>
      </c>
      <c r="D4995" t="s">
        <v>10</v>
      </c>
      <c r="E4995" t="str">
        <f>"$ 7,138"</f>
        <v>$ 7,138</v>
      </c>
      <c r="F4995">
        <v>365</v>
      </c>
    </row>
    <row r="4996" spans="1:6">
      <c r="A4996" t="s">
        <v>4994</v>
      </c>
      <c r="B4996" t="str">
        <f t="shared" si="222"/>
        <v>0.00092%</v>
      </c>
      <c r="C4996" t="s">
        <v>10</v>
      </c>
      <c r="D4996" t="s">
        <v>10</v>
      </c>
      <c r="E4996" t="str">
        <f>"$ 7,113"</f>
        <v>$ 7,113</v>
      </c>
      <c r="F4996" s="1">
        <v>1167</v>
      </c>
    </row>
    <row r="4997" spans="1:6">
      <c r="A4997" t="s">
        <v>4995</v>
      </c>
      <c r="B4997" t="str">
        <f t="shared" si="222"/>
        <v>0.00092%</v>
      </c>
      <c r="C4997" t="s">
        <v>10</v>
      </c>
      <c r="D4997" t="s">
        <v>10</v>
      </c>
      <c r="E4997" t="str">
        <f>"$ 7,090"</f>
        <v>$ 7,090</v>
      </c>
      <c r="F4997">
        <v>567</v>
      </c>
    </row>
    <row r="4998" spans="1:6">
      <c r="A4998" t="s">
        <v>4996</v>
      </c>
      <c r="B4998" t="str">
        <f t="shared" si="222"/>
        <v>0.00092%</v>
      </c>
      <c r="C4998" t="s">
        <v>10</v>
      </c>
      <c r="D4998" t="s">
        <v>10</v>
      </c>
      <c r="E4998" t="str">
        <f>"$ 7,134"</f>
        <v>$ 7,134</v>
      </c>
      <c r="F4998">
        <v>309</v>
      </c>
    </row>
    <row r="4999" spans="1:6">
      <c r="A4999" t="s">
        <v>4997</v>
      </c>
      <c r="B4999" t="str">
        <f t="shared" si="222"/>
        <v>0.00092%</v>
      </c>
      <c r="C4999" t="s">
        <v>10</v>
      </c>
      <c r="D4999" t="s">
        <v>10</v>
      </c>
      <c r="E4999" t="str">
        <f>"$ 7,097"</f>
        <v>$ 7,097</v>
      </c>
      <c r="F4999" s="1">
        <v>38614</v>
      </c>
    </row>
    <row r="5000" spans="1:6">
      <c r="A5000" t="s">
        <v>4998</v>
      </c>
      <c r="B5000" t="str">
        <f t="shared" si="222"/>
        <v>0.00092%</v>
      </c>
      <c r="C5000" t="s">
        <v>10</v>
      </c>
      <c r="D5000" t="s">
        <v>10</v>
      </c>
      <c r="E5000" t="str">
        <f>"$ 7,131"</f>
        <v>$ 7,131</v>
      </c>
      <c r="F5000">
        <v>281</v>
      </c>
    </row>
    <row r="5001" spans="1:6">
      <c r="A5001" t="s">
        <v>4999</v>
      </c>
      <c r="B5001" t="str">
        <f t="shared" si="222"/>
        <v>0.00092%</v>
      </c>
      <c r="C5001" t="s">
        <v>10</v>
      </c>
      <c r="D5001" t="s">
        <v>10</v>
      </c>
      <c r="E5001" t="str">
        <f>"$ 7,079"</f>
        <v>$ 7,079</v>
      </c>
      <c r="F5001" s="1">
        <v>1159</v>
      </c>
    </row>
    <row r="5002" spans="1:6">
      <c r="A5002" t="s">
        <v>5000</v>
      </c>
      <c r="B5002" t="str">
        <f t="shared" si="222"/>
        <v>0.00092%</v>
      </c>
      <c r="C5002" t="s">
        <v>10</v>
      </c>
      <c r="D5002" t="s">
        <v>10</v>
      </c>
      <c r="E5002" t="str">
        <f>"$ 7,129"</f>
        <v>$ 7,129</v>
      </c>
      <c r="F5002">
        <v>194</v>
      </c>
    </row>
    <row r="5003" spans="1:6">
      <c r="A5003" t="s">
        <v>5001</v>
      </c>
      <c r="B5003" t="str">
        <f t="shared" si="222"/>
        <v>0.00092%</v>
      </c>
      <c r="C5003" t="s">
        <v>10</v>
      </c>
      <c r="D5003" t="s">
        <v>10</v>
      </c>
      <c r="E5003" t="str">
        <f>"$ 7,089"</f>
        <v>$ 7,089</v>
      </c>
      <c r="F5003">
        <v>75</v>
      </c>
    </row>
    <row r="5004" spans="1:6">
      <c r="A5004" t="s">
        <v>5002</v>
      </c>
      <c r="B5004" t="str">
        <f t="shared" si="222"/>
        <v>0.00092%</v>
      </c>
      <c r="C5004" t="s">
        <v>10</v>
      </c>
      <c r="D5004" t="s">
        <v>10</v>
      </c>
      <c r="E5004" t="str">
        <f>"$ 7,134"</f>
        <v>$ 7,134</v>
      </c>
      <c r="F5004">
        <v>148</v>
      </c>
    </row>
    <row r="5005" spans="1:6">
      <c r="A5005" t="s">
        <v>5003</v>
      </c>
      <c r="B5005" t="str">
        <f t="shared" si="222"/>
        <v>0.00092%</v>
      </c>
      <c r="C5005" t="s">
        <v>10</v>
      </c>
      <c r="D5005" t="s">
        <v>10</v>
      </c>
      <c r="E5005" t="str">
        <f>"$ 7,080"</f>
        <v>$ 7,080</v>
      </c>
      <c r="F5005" s="1">
        <v>16538</v>
      </c>
    </row>
    <row r="5006" spans="1:6">
      <c r="A5006" t="s">
        <v>5004</v>
      </c>
      <c r="B5006" t="str">
        <f t="shared" si="222"/>
        <v>0.00092%</v>
      </c>
      <c r="C5006" t="s">
        <v>10</v>
      </c>
      <c r="D5006" t="s">
        <v>10</v>
      </c>
      <c r="E5006" t="str">
        <f>"$ 7,111"</f>
        <v>$ 7,111</v>
      </c>
      <c r="F5006">
        <v>135</v>
      </c>
    </row>
    <row r="5007" spans="1:6">
      <c r="A5007" t="s">
        <v>5005</v>
      </c>
      <c r="B5007" t="str">
        <f t="shared" si="222"/>
        <v>0.00092%</v>
      </c>
      <c r="C5007" t="s">
        <v>10</v>
      </c>
      <c r="D5007" t="s">
        <v>10</v>
      </c>
      <c r="E5007" t="str">
        <f>"$ 7,133"</f>
        <v>$ 7,133</v>
      </c>
      <c r="F5007" s="1">
        <v>5740</v>
      </c>
    </row>
    <row r="5008" spans="1:6">
      <c r="A5008" t="s">
        <v>5006</v>
      </c>
      <c r="B5008" t="str">
        <f t="shared" ref="B5008:B5030" si="223">"0.00091%"</f>
        <v>0.00091%</v>
      </c>
      <c r="C5008" t="s">
        <v>10</v>
      </c>
      <c r="D5008" t="s">
        <v>10</v>
      </c>
      <c r="E5008" t="str">
        <f>"$ 7,001"</f>
        <v>$ 7,001</v>
      </c>
      <c r="F5008">
        <v>203</v>
      </c>
    </row>
    <row r="5009" spans="1:6">
      <c r="A5009" t="s">
        <v>5007</v>
      </c>
      <c r="B5009" t="str">
        <f t="shared" si="223"/>
        <v>0.00091%</v>
      </c>
      <c r="C5009" t="s">
        <v>10</v>
      </c>
      <c r="D5009" t="s">
        <v>10</v>
      </c>
      <c r="E5009" t="str">
        <f>"$ 6,990"</f>
        <v>$ 6,990</v>
      </c>
      <c r="F5009" s="1">
        <v>18849</v>
      </c>
    </row>
    <row r="5010" spans="1:6">
      <c r="A5010" t="s">
        <v>5008</v>
      </c>
      <c r="B5010" t="str">
        <f t="shared" si="223"/>
        <v>0.00091%</v>
      </c>
      <c r="C5010" t="s">
        <v>10</v>
      </c>
      <c r="D5010" t="s">
        <v>10</v>
      </c>
      <c r="E5010" t="str">
        <f>"$ 7,061"</f>
        <v>$ 7,061</v>
      </c>
      <c r="F5010">
        <v>283</v>
      </c>
    </row>
    <row r="5011" spans="1:6">
      <c r="A5011" t="s">
        <v>5009</v>
      </c>
      <c r="B5011" t="str">
        <f t="shared" si="223"/>
        <v>0.00091%</v>
      </c>
      <c r="C5011" t="s">
        <v>10</v>
      </c>
      <c r="D5011" t="s">
        <v>10</v>
      </c>
      <c r="E5011" t="str">
        <f>"$ 7,017"</f>
        <v>$ 7,017</v>
      </c>
      <c r="F5011">
        <v>145</v>
      </c>
    </row>
    <row r="5012" spans="1:6">
      <c r="A5012" t="s">
        <v>5010</v>
      </c>
      <c r="B5012" t="str">
        <f t="shared" si="223"/>
        <v>0.00091%</v>
      </c>
      <c r="C5012" t="s">
        <v>10</v>
      </c>
      <c r="D5012" t="s">
        <v>10</v>
      </c>
      <c r="E5012" t="str">
        <f>"$ 7,024"</f>
        <v>$ 7,024</v>
      </c>
      <c r="F5012">
        <v>122</v>
      </c>
    </row>
    <row r="5013" spans="1:6">
      <c r="A5013" t="s">
        <v>5011</v>
      </c>
      <c r="B5013" t="str">
        <f t="shared" si="223"/>
        <v>0.00091%</v>
      </c>
      <c r="C5013" t="s">
        <v>10</v>
      </c>
      <c r="D5013" t="s">
        <v>10</v>
      </c>
      <c r="E5013" t="str">
        <f>"$ 7,031"</f>
        <v>$ 7,031</v>
      </c>
      <c r="F5013">
        <v>280</v>
      </c>
    </row>
    <row r="5014" spans="1:6">
      <c r="A5014" t="s">
        <v>5012</v>
      </c>
      <c r="B5014" t="str">
        <f t="shared" si="223"/>
        <v>0.00091%</v>
      </c>
      <c r="C5014" t="s">
        <v>10</v>
      </c>
      <c r="D5014" t="s">
        <v>10</v>
      </c>
      <c r="E5014" t="str">
        <f>"$ 6,996"</f>
        <v>$ 6,996</v>
      </c>
      <c r="F5014">
        <v>77</v>
      </c>
    </row>
    <row r="5015" spans="1:6">
      <c r="A5015" t="s">
        <v>5013</v>
      </c>
      <c r="B5015" t="str">
        <f t="shared" si="223"/>
        <v>0.00091%</v>
      </c>
      <c r="C5015" t="s">
        <v>10</v>
      </c>
      <c r="D5015" t="s">
        <v>10</v>
      </c>
      <c r="E5015" t="str">
        <f>"$ 7,006"</f>
        <v>$ 7,006</v>
      </c>
      <c r="F5015">
        <v>186</v>
      </c>
    </row>
    <row r="5016" spans="1:6">
      <c r="A5016" t="s">
        <v>5014</v>
      </c>
      <c r="B5016" t="str">
        <f t="shared" si="223"/>
        <v>0.00091%</v>
      </c>
      <c r="C5016" t="s">
        <v>10</v>
      </c>
      <c r="D5016" t="s">
        <v>10</v>
      </c>
      <c r="E5016" t="str">
        <f>"$ 7,055"</f>
        <v>$ 7,055</v>
      </c>
      <c r="F5016" s="1">
        <v>3138</v>
      </c>
    </row>
    <row r="5017" spans="1:6">
      <c r="A5017" t="s">
        <v>5015</v>
      </c>
      <c r="B5017" t="str">
        <f t="shared" si="223"/>
        <v>0.00091%</v>
      </c>
      <c r="C5017" t="s">
        <v>10</v>
      </c>
      <c r="D5017" t="s">
        <v>10</v>
      </c>
      <c r="E5017" t="str">
        <f>"$ 7,005"</f>
        <v>$ 7,005</v>
      </c>
      <c r="F5017">
        <v>183</v>
      </c>
    </row>
    <row r="5018" spans="1:6">
      <c r="A5018" t="s">
        <v>5016</v>
      </c>
      <c r="B5018" t="str">
        <f t="shared" si="223"/>
        <v>0.00091%</v>
      </c>
      <c r="C5018" t="s">
        <v>10</v>
      </c>
      <c r="D5018" t="s">
        <v>10</v>
      </c>
      <c r="E5018" t="str">
        <f>"$ 7,000"</f>
        <v>$ 7,000</v>
      </c>
      <c r="F5018">
        <v>133</v>
      </c>
    </row>
    <row r="5019" spans="1:6">
      <c r="A5019" t="s">
        <v>5017</v>
      </c>
      <c r="B5019" t="str">
        <f t="shared" si="223"/>
        <v>0.00091%</v>
      </c>
      <c r="C5019" t="s">
        <v>10</v>
      </c>
      <c r="D5019" t="s">
        <v>10</v>
      </c>
      <c r="E5019" t="str">
        <f>"$ 7,032"</f>
        <v>$ 7,032</v>
      </c>
      <c r="F5019">
        <v>706</v>
      </c>
    </row>
    <row r="5020" spans="1:6">
      <c r="A5020" t="s">
        <v>5018</v>
      </c>
      <c r="B5020" t="str">
        <f t="shared" si="223"/>
        <v>0.00091%</v>
      </c>
      <c r="C5020" t="s">
        <v>10</v>
      </c>
      <c r="D5020" t="s">
        <v>10</v>
      </c>
      <c r="E5020" t="str">
        <f>"$ 7,047"</f>
        <v>$ 7,047</v>
      </c>
      <c r="F5020">
        <v>297</v>
      </c>
    </row>
    <row r="5021" spans="1:6">
      <c r="A5021" t="s">
        <v>5019</v>
      </c>
      <c r="B5021" t="str">
        <f t="shared" si="223"/>
        <v>0.00091%</v>
      </c>
      <c r="C5021" t="s">
        <v>10</v>
      </c>
      <c r="D5021" t="s">
        <v>10</v>
      </c>
      <c r="E5021" t="str">
        <f>"$ 7,045"</f>
        <v>$ 7,045</v>
      </c>
      <c r="F5021">
        <v>132</v>
      </c>
    </row>
    <row r="5022" spans="1:6">
      <c r="A5022" t="s">
        <v>5020</v>
      </c>
      <c r="B5022" t="str">
        <f t="shared" si="223"/>
        <v>0.00091%</v>
      </c>
      <c r="C5022" t="s">
        <v>10</v>
      </c>
      <c r="D5022" t="s">
        <v>10</v>
      </c>
      <c r="E5022" t="str">
        <f>"$ 7,025"</f>
        <v>$ 7,025</v>
      </c>
      <c r="F5022" s="1">
        <v>1958</v>
      </c>
    </row>
    <row r="5023" spans="1:6">
      <c r="A5023" t="s">
        <v>5021</v>
      </c>
      <c r="B5023" t="str">
        <f t="shared" si="223"/>
        <v>0.00091%</v>
      </c>
      <c r="C5023" t="s">
        <v>10</v>
      </c>
      <c r="D5023" t="s">
        <v>10</v>
      </c>
      <c r="E5023" t="str">
        <f>"$ 7,063"</f>
        <v>$ 7,063</v>
      </c>
      <c r="F5023">
        <v>166</v>
      </c>
    </row>
    <row r="5024" spans="1:6">
      <c r="A5024" t="s">
        <v>5022</v>
      </c>
      <c r="B5024" t="str">
        <f t="shared" si="223"/>
        <v>0.00091%</v>
      </c>
      <c r="C5024" t="s">
        <v>10</v>
      </c>
      <c r="D5024" t="s">
        <v>10</v>
      </c>
      <c r="E5024" t="str">
        <f>"$ 7,060"</f>
        <v>$ 7,060</v>
      </c>
      <c r="F5024">
        <v>43</v>
      </c>
    </row>
    <row r="5025" spans="1:6">
      <c r="A5025" t="s">
        <v>5023</v>
      </c>
      <c r="B5025" t="str">
        <f t="shared" si="223"/>
        <v>0.00091%</v>
      </c>
      <c r="C5025" t="s">
        <v>10</v>
      </c>
      <c r="D5025" t="s">
        <v>10</v>
      </c>
      <c r="E5025" t="str">
        <f>"$ 7,000"</f>
        <v>$ 7,000</v>
      </c>
      <c r="F5025">
        <v>107</v>
      </c>
    </row>
    <row r="5026" spans="1:6">
      <c r="A5026" t="s">
        <v>5024</v>
      </c>
      <c r="B5026" t="str">
        <f t="shared" si="223"/>
        <v>0.00091%</v>
      </c>
      <c r="C5026" t="s">
        <v>10</v>
      </c>
      <c r="D5026" t="s">
        <v>10</v>
      </c>
      <c r="E5026" t="str">
        <f>"$ 7,032"</f>
        <v>$ 7,032</v>
      </c>
      <c r="F5026" s="1">
        <v>3056</v>
      </c>
    </row>
    <row r="5027" spans="1:6">
      <c r="A5027" t="s">
        <v>5025</v>
      </c>
      <c r="B5027" t="str">
        <f t="shared" si="223"/>
        <v>0.00091%</v>
      </c>
      <c r="C5027" t="s">
        <v>10</v>
      </c>
      <c r="D5027" t="s">
        <v>10</v>
      </c>
      <c r="E5027" t="str">
        <f>"$ 7,027"</f>
        <v>$ 7,027</v>
      </c>
      <c r="F5027" s="1">
        <v>3213</v>
      </c>
    </row>
    <row r="5028" spans="1:6">
      <c r="A5028" t="s">
        <v>5026</v>
      </c>
      <c r="B5028" t="str">
        <f t="shared" si="223"/>
        <v>0.00091%</v>
      </c>
      <c r="C5028" t="s">
        <v>10</v>
      </c>
      <c r="D5028" t="s">
        <v>10</v>
      </c>
      <c r="E5028" t="str">
        <f>"$ 7,062"</f>
        <v>$ 7,062</v>
      </c>
      <c r="F5028">
        <v>107</v>
      </c>
    </row>
    <row r="5029" spans="1:6">
      <c r="A5029" t="s">
        <v>5027</v>
      </c>
      <c r="B5029" t="str">
        <f t="shared" si="223"/>
        <v>0.00091%</v>
      </c>
      <c r="C5029" t="s">
        <v>10</v>
      </c>
      <c r="D5029" t="s">
        <v>10</v>
      </c>
      <c r="E5029" t="str">
        <f>"$ 6,997"</f>
        <v>$ 6,997</v>
      </c>
      <c r="F5029">
        <v>132</v>
      </c>
    </row>
    <row r="5030" spans="1:6">
      <c r="A5030" t="s">
        <v>5028</v>
      </c>
      <c r="B5030" t="str">
        <f t="shared" si="223"/>
        <v>0.00091%</v>
      </c>
      <c r="C5030" t="s">
        <v>10</v>
      </c>
      <c r="D5030" t="s">
        <v>10</v>
      </c>
      <c r="E5030" t="str">
        <f>"$ 7,038"</f>
        <v>$ 7,038</v>
      </c>
      <c r="F5030">
        <v>148</v>
      </c>
    </row>
    <row r="5031" spans="1:6">
      <c r="A5031" t="s">
        <v>5029</v>
      </c>
      <c r="B5031" t="str">
        <f t="shared" ref="B5031:B5058" si="224">"0.00090%"</f>
        <v>0.00090%</v>
      </c>
      <c r="C5031" t="s">
        <v>10</v>
      </c>
      <c r="D5031" t="s">
        <v>10</v>
      </c>
      <c r="E5031" t="str">
        <f>"$ 6,916"</f>
        <v>$ 6,916</v>
      </c>
      <c r="F5031">
        <v>901</v>
      </c>
    </row>
    <row r="5032" spans="1:6">
      <c r="A5032" t="s">
        <v>5030</v>
      </c>
      <c r="B5032" t="str">
        <f t="shared" si="224"/>
        <v>0.00090%</v>
      </c>
      <c r="C5032" t="s">
        <v>10</v>
      </c>
      <c r="D5032" t="s">
        <v>10</v>
      </c>
      <c r="E5032" t="str">
        <f>"$ 6,962"</f>
        <v>$ 6,962</v>
      </c>
      <c r="F5032">
        <v>359</v>
      </c>
    </row>
    <row r="5033" spans="1:6">
      <c r="A5033" t="s">
        <v>5031</v>
      </c>
      <c r="B5033" t="str">
        <f t="shared" si="224"/>
        <v>0.00090%</v>
      </c>
      <c r="C5033" t="s">
        <v>10</v>
      </c>
      <c r="D5033" t="s">
        <v>10</v>
      </c>
      <c r="E5033" t="str">
        <f>"$ 6,984"</f>
        <v>$ 6,984</v>
      </c>
      <c r="F5033" s="1">
        <v>5121</v>
      </c>
    </row>
    <row r="5034" spans="1:6">
      <c r="A5034" t="s">
        <v>5032</v>
      </c>
      <c r="B5034" t="str">
        <f t="shared" si="224"/>
        <v>0.00090%</v>
      </c>
      <c r="C5034" t="s">
        <v>10</v>
      </c>
      <c r="D5034" t="s">
        <v>10</v>
      </c>
      <c r="E5034" t="str">
        <f>"$ 6,958"</f>
        <v>$ 6,958</v>
      </c>
      <c r="F5034">
        <v>199</v>
      </c>
    </row>
    <row r="5035" spans="1:6">
      <c r="A5035" t="s">
        <v>5033</v>
      </c>
      <c r="B5035" t="str">
        <f t="shared" si="224"/>
        <v>0.00090%</v>
      </c>
      <c r="C5035" t="s">
        <v>10</v>
      </c>
      <c r="D5035" t="s">
        <v>10</v>
      </c>
      <c r="E5035" t="str">
        <f>"$ 6,977"</f>
        <v>$ 6,977</v>
      </c>
      <c r="F5035">
        <v>280</v>
      </c>
    </row>
    <row r="5036" spans="1:6">
      <c r="A5036" t="s">
        <v>5034</v>
      </c>
      <c r="B5036" t="str">
        <f t="shared" si="224"/>
        <v>0.00090%</v>
      </c>
      <c r="C5036" t="s">
        <v>10</v>
      </c>
      <c r="D5036" t="s">
        <v>10</v>
      </c>
      <c r="E5036" t="str">
        <f>"$ 6,931"</f>
        <v>$ 6,931</v>
      </c>
      <c r="F5036">
        <v>643</v>
      </c>
    </row>
    <row r="5037" spans="1:6">
      <c r="A5037" t="s">
        <v>5035</v>
      </c>
      <c r="B5037" t="str">
        <f t="shared" si="224"/>
        <v>0.00090%</v>
      </c>
      <c r="C5037" t="s">
        <v>10</v>
      </c>
      <c r="D5037" t="s">
        <v>10</v>
      </c>
      <c r="E5037" t="str">
        <f>"$ 6,932"</f>
        <v>$ 6,932</v>
      </c>
      <c r="F5037" s="1">
        <v>4248</v>
      </c>
    </row>
    <row r="5038" spans="1:6">
      <c r="A5038" t="s">
        <v>5036</v>
      </c>
      <c r="B5038" t="str">
        <f t="shared" si="224"/>
        <v>0.00090%</v>
      </c>
      <c r="C5038" t="s">
        <v>10</v>
      </c>
      <c r="D5038" t="s">
        <v>10</v>
      </c>
      <c r="E5038" t="str">
        <f>"$ 6,927"</f>
        <v>$ 6,927</v>
      </c>
      <c r="F5038">
        <v>263</v>
      </c>
    </row>
    <row r="5039" spans="1:6">
      <c r="A5039" t="s">
        <v>5037</v>
      </c>
      <c r="B5039" t="str">
        <f t="shared" si="224"/>
        <v>0.00090%</v>
      </c>
      <c r="C5039" t="s">
        <v>10</v>
      </c>
      <c r="D5039" t="s">
        <v>10</v>
      </c>
      <c r="E5039" t="str">
        <f>"$ 6,951"</f>
        <v>$ 6,951</v>
      </c>
      <c r="F5039" s="1">
        <v>1856</v>
      </c>
    </row>
    <row r="5040" spans="1:6">
      <c r="A5040" t="s">
        <v>5038</v>
      </c>
      <c r="B5040" t="str">
        <f t="shared" si="224"/>
        <v>0.00090%</v>
      </c>
      <c r="C5040" t="s">
        <v>10</v>
      </c>
      <c r="D5040" t="s">
        <v>10</v>
      </c>
      <c r="E5040" t="str">
        <f>"$ 6,952"</f>
        <v>$ 6,952</v>
      </c>
      <c r="F5040" s="1">
        <v>2465</v>
      </c>
    </row>
    <row r="5041" spans="1:6">
      <c r="A5041" t="s">
        <v>5039</v>
      </c>
      <c r="B5041" t="str">
        <f t="shared" si="224"/>
        <v>0.00090%</v>
      </c>
      <c r="C5041" t="s">
        <v>10</v>
      </c>
      <c r="D5041" t="s">
        <v>10</v>
      </c>
      <c r="E5041" t="str">
        <f>"$ 6,947"</f>
        <v>$ 6,947</v>
      </c>
      <c r="F5041" s="1">
        <v>2043</v>
      </c>
    </row>
    <row r="5042" spans="1:6">
      <c r="A5042" t="s">
        <v>5040</v>
      </c>
      <c r="B5042" t="str">
        <f t="shared" si="224"/>
        <v>0.00090%</v>
      </c>
      <c r="C5042" t="s">
        <v>10</v>
      </c>
      <c r="D5042" t="s">
        <v>10</v>
      </c>
      <c r="E5042" t="str">
        <f>"$ 6,933"</f>
        <v>$ 6,933</v>
      </c>
      <c r="F5042">
        <v>859</v>
      </c>
    </row>
    <row r="5043" spans="1:6">
      <c r="A5043" t="s">
        <v>5041</v>
      </c>
      <c r="B5043" t="str">
        <f t="shared" si="224"/>
        <v>0.00090%</v>
      </c>
      <c r="C5043" t="s">
        <v>10</v>
      </c>
      <c r="D5043" t="s">
        <v>10</v>
      </c>
      <c r="E5043" t="str">
        <f>"$ 6,937"</f>
        <v>$ 6,937</v>
      </c>
      <c r="F5043">
        <v>620</v>
      </c>
    </row>
    <row r="5044" spans="1:6">
      <c r="A5044" t="s">
        <v>5042</v>
      </c>
      <c r="B5044" t="str">
        <f t="shared" si="224"/>
        <v>0.00090%</v>
      </c>
      <c r="C5044" t="s">
        <v>10</v>
      </c>
      <c r="D5044" t="s">
        <v>10</v>
      </c>
      <c r="E5044" t="str">
        <f>"$ 6,944"</f>
        <v>$ 6,944</v>
      </c>
      <c r="F5044" s="1">
        <v>2600</v>
      </c>
    </row>
    <row r="5045" spans="1:6">
      <c r="A5045" t="s">
        <v>5043</v>
      </c>
      <c r="B5045" t="str">
        <f t="shared" si="224"/>
        <v>0.00090%</v>
      </c>
      <c r="C5045" t="s">
        <v>10</v>
      </c>
      <c r="D5045" t="s">
        <v>10</v>
      </c>
      <c r="E5045" t="str">
        <f>"$ 6,911"</f>
        <v>$ 6,911</v>
      </c>
      <c r="F5045">
        <v>307</v>
      </c>
    </row>
    <row r="5046" spans="1:6">
      <c r="A5046" t="s">
        <v>5044</v>
      </c>
      <c r="B5046" t="str">
        <f t="shared" si="224"/>
        <v>0.00090%</v>
      </c>
      <c r="C5046" t="s">
        <v>10</v>
      </c>
      <c r="D5046" t="s">
        <v>10</v>
      </c>
      <c r="E5046" t="str">
        <f>"$ 6,980"</f>
        <v>$ 6,980</v>
      </c>
      <c r="F5046">
        <v>152</v>
      </c>
    </row>
    <row r="5047" spans="1:6">
      <c r="A5047" t="s">
        <v>5045</v>
      </c>
      <c r="B5047" t="str">
        <f t="shared" si="224"/>
        <v>0.00090%</v>
      </c>
      <c r="C5047" t="s">
        <v>10</v>
      </c>
      <c r="D5047" t="s">
        <v>10</v>
      </c>
      <c r="E5047" t="str">
        <f>"$ 6,928"</f>
        <v>$ 6,928</v>
      </c>
      <c r="F5047">
        <v>101</v>
      </c>
    </row>
    <row r="5048" spans="1:6">
      <c r="A5048" t="s">
        <v>5046</v>
      </c>
      <c r="B5048" t="str">
        <f t="shared" si="224"/>
        <v>0.00090%</v>
      </c>
      <c r="C5048" t="s">
        <v>10</v>
      </c>
      <c r="D5048" t="s">
        <v>10</v>
      </c>
      <c r="E5048" t="str">
        <f>"$ 6,949"</f>
        <v>$ 6,949</v>
      </c>
      <c r="F5048">
        <v>132</v>
      </c>
    </row>
    <row r="5049" spans="1:6">
      <c r="A5049" t="s">
        <v>5047</v>
      </c>
      <c r="B5049" t="str">
        <f t="shared" si="224"/>
        <v>0.00090%</v>
      </c>
      <c r="C5049" t="s">
        <v>10</v>
      </c>
      <c r="D5049" t="s">
        <v>10</v>
      </c>
      <c r="E5049" t="str">
        <f>"$ 6,925"</f>
        <v>$ 6,925</v>
      </c>
      <c r="F5049">
        <v>845</v>
      </c>
    </row>
    <row r="5050" spans="1:6">
      <c r="A5050" t="s">
        <v>5048</v>
      </c>
      <c r="B5050" t="str">
        <f t="shared" si="224"/>
        <v>0.00090%</v>
      </c>
      <c r="C5050" t="s">
        <v>10</v>
      </c>
      <c r="D5050" t="s">
        <v>10</v>
      </c>
      <c r="E5050" t="str">
        <f>"$ 6,944"</f>
        <v>$ 6,944</v>
      </c>
      <c r="F5050">
        <v>610</v>
      </c>
    </row>
    <row r="5051" spans="1:6">
      <c r="A5051" t="s">
        <v>5049</v>
      </c>
      <c r="B5051" t="str">
        <f t="shared" si="224"/>
        <v>0.00090%</v>
      </c>
      <c r="C5051" t="s">
        <v>10</v>
      </c>
      <c r="D5051" t="s">
        <v>10</v>
      </c>
      <c r="E5051" t="str">
        <f>"$ 6,941"</f>
        <v>$ 6,941</v>
      </c>
      <c r="F5051">
        <v>76</v>
      </c>
    </row>
    <row r="5052" spans="1:6">
      <c r="A5052" t="s">
        <v>5050</v>
      </c>
      <c r="B5052" t="str">
        <f t="shared" si="224"/>
        <v>0.00090%</v>
      </c>
      <c r="C5052" t="s">
        <v>10</v>
      </c>
      <c r="D5052" t="s">
        <v>10</v>
      </c>
      <c r="E5052" t="str">
        <f>"$ 6,949"</f>
        <v>$ 6,949</v>
      </c>
      <c r="F5052" s="1">
        <v>1060</v>
      </c>
    </row>
    <row r="5053" spans="1:6">
      <c r="A5053" t="s">
        <v>5051</v>
      </c>
      <c r="B5053" t="str">
        <f t="shared" si="224"/>
        <v>0.00090%</v>
      </c>
      <c r="C5053" t="s">
        <v>10</v>
      </c>
      <c r="D5053" t="s">
        <v>10</v>
      </c>
      <c r="E5053" t="str">
        <f>"$ 6,956"</f>
        <v>$ 6,956</v>
      </c>
      <c r="F5053">
        <v>173</v>
      </c>
    </row>
    <row r="5054" spans="1:6">
      <c r="A5054" t="s">
        <v>5052</v>
      </c>
      <c r="B5054" t="str">
        <f t="shared" si="224"/>
        <v>0.00090%</v>
      </c>
      <c r="C5054" t="s">
        <v>10</v>
      </c>
      <c r="D5054" t="s">
        <v>10</v>
      </c>
      <c r="E5054" t="str">
        <f>"$ 6,921"</f>
        <v>$ 6,921</v>
      </c>
      <c r="F5054" s="1">
        <v>1077</v>
      </c>
    </row>
    <row r="5055" spans="1:6">
      <c r="A5055" t="s">
        <v>5053</v>
      </c>
      <c r="B5055" t="str">
        <f t="shared" si="224"/>
        <v>0.00090%</v>
      </c>
      <c r="C5055" t="s">
        <v>10</v>
      </c>
      <c r="D5055" t="s">
        <v>10</v>
      </c>
      <c r="E5055" t="str">
        <f>"$ 6,938"</f>
        <v>$ 6,938</v>
      </c>
      <c r="F5055" s="1">
        <v>4861</v>
      </c>
    </row>
    <row r="5056" spans="1:6">
      <c r="A5056" t="s">
        <v>5054</v>
      </c>
      <c r="B5056" t="str">
        <f t="shared" si="224"/>
        <v>0.00090%</v>
      </c>
      <c r="C5056" t="s">
        <v>10</v>
      </c>
      <c r="D5056" t="s">
        <v>10</v>
      </c>
      <c r="E5056" t="str">
        <f>"$ 6,962"</f>
        <v>$ 6,962</v>
      </c>
      <c r="F5056">
        <v>722</v>
      </c>
    </row>
    <row r="5057" spans="1:6">
      <c r="A5057" t="s">
        <v>5055</v>
      </c>
      <c r="B5057" t="str">
        <f t="shared" si="224"/>
        <v>0.00090%</v>
      </c>
      <c r="C5057" t="s">
        <v>10</v>
      </c>
      <c r="D5057" t="s">
        <v>10</v>
      </c>
      <c r="E5057" t="str">
        <f>"$ 6,975"</f>
        <v>$ 6,975</v>
      </c>
      <c r="F5057">
        <v>475</v>
      </c>
    </row>
    <row r="5058" spans="1:6">
      <c r="A5058" t="s">
        <v>5056</v>
      </c>
      <c r="B5058" t="str">
        <f t="shared" si="224"/>
        <v>0.00090%</v>
      </c>
      <c r="C5058" t="s">
        <v>10</v>
      </c>
      <c r="D5058" t="s">
        <v>10</v>
      </c>
      <c r="E5058" t="str">
        <f>"$ 6,936"</f>
        <v>$ 6,936</v>
      </c>
      <c r="F5058" s="1">
        <v>12358</v>
      </c>
    </row>
    <row r="5059" spans="1:6">
      <c r="A5059" t="s">
        <v>5057</v>
      </c>
      <c r="B5059" t="str">
        <f t="shared" ref="B5059:B5099" si="225">"0.00089%"</f>
        <v>0.00089%</v>
      </c>
      <c r="C5059" t="s">
        <v>10</v>
      </c>
      <c r="D5059" t="s">
        <v>10</v>
      </c>
      <c r="E5059" t="str">
        <f>"$ 6,866"</f>
        <v>$ 6,866</v>
      </c>
      <c r="F5059">
        <v>257</v>
      </c>
    </row>
    <row r="5060" spans="1:6">
      <c r="A5060" t="s">
        <v>5058</v>
      </c>
      <c r="B5060" t="str">
        <f t="shared" si="225"/>
        <v>0.00089%</v>
      </c>
      <c r="C5060" t="s">
        <v>10</v>
      </c>
      <c r="D5060" t="s">
        <v>10</v>
      </c>
      <c r="E5060" t="str">
        <f>"$ 6,897"</f>
        <v>$ 6,897</v>
      </c>
      <c r="F5060">
        <v>236</v>
      </c>
    </row>
    <row r="5061" spans="1:6">
      <c r="A5061" t="s">
        <v>5059</v>
      </c>
      <c r="B5061" t="str">
        <f t="shared" si="225"/>
        <v>0.00089%</v>
      </c>
      <c r="C5061" t="s">
        <v>10</v>
      </c>
      <c r="D5061" t="s">
        <v>10</v>
      </c>
      <c r="E5061" t="str">
        <f>"$ 6,866"</f>
        <v>$ 6,866</v>
      </c>
      <c r="F5061">
        <v>109</v>
      </c>
    </row>
    <row r="5062" spans="1:6">
      <c r="A5062" t="s">
        <v>5060</v>
      </c>
      <c r="B5062" t="str">
        <f t="shared" si="225"/>
        <v>0.00089%</v>
      </c>
      <c r="C5062" t="s">
        <v>10</v>
      </c>
      <c r="D5062" t="s">
        <v>10</v>
      </c>
      <c r="E5062" t="str">
        <f>"$ 6,862"</f>
        <v>$ 6,862</v>
      </c>
      <c r="F5062">
        <v>330</v>
      </c>
    </row>
    <row r="5063" spans="1:6">
      <c r="A5063" t="s">
        <v>5061</v>
      </c>
      <c r="B5063" t="str">
        <f t="shared" si="225"/>
        <v>0.00089%</v>
      </c>
      <c r="C5063" t="s">
        <v>10</v>
      </c>
      <c r="D5063" t="s">
        <v>10</v>
      </c>
      <c r="E5063" t="str">
        <f>"$ 6,845"</f>
        <v>$ 6,845</v>
      </c>
      <c r="F5063" s="1">
        <v>23852</v>
      </c>
    </row>
    <row r="5064" spans="1:6">
      <c r="A5064" t="s">
        <v>5062</v>
      </c>
      <c r="B5064" t="str">
        <f t="shared" si="225"/>
        <v>0.00089%</v>
      </c>
      <c r="C5064" t="s">
        <v>10</v>
      </c>
      <c r="D5064" t="s">
        <v>10</v>
      </c>
      <c r="E5064" t="str">
        <f>"$ 6,861"</f>
        <v>$ 6,861</v>
      </c>
      <c r="F5064">
        <v>120</v>
      </c>
    </row>
    <row r="5065" spans="1:6">
      <c r="A5065" t="s">
        <v>5063</v>
      </c>
      <c r="B5065" t="str">
        <f t="shared" si="225"/>
        <v>0.00089%</v>
      </c>
      <c r="C5065" t="s">
        <v>10</v>
      </c>
      <c r="D5065" t="s">
        <v>10</v>
      </c>
      <c r="E5065" t="str">
        <f>"$ 6,883"</f>
        <v>$ 6,883</v>
      </c>
      <c r="F5065">
        <v>109</v>
      </c>
    </row>
    <row r="5066" spans="1:6">
      <c r="A5066" t="s">
        <v>5064</v>
      </c>
      <c r="B5066" t="str">
        <f t="shared" si="225"/>
        <v>0.00089%</v>
      </c>
      <c r="C5066" t="s">
        <v>10</v>
      </c>
      <c r="D5066" t="s">
        <v>10</v>
      </c>
      <c r="E5066" t="str">
        <f>"$ 6,895"</f>
        <v>$ 6,895</v>
      </c>
      <c r="F5066">
        <v>78</v>
      </c>
    </row>
    <row r="5067" spans="1:6">
      <c r="A5067" t="s">
        <v>5065</v>
      </c>
      <c r="B5067" t="str">
        <f t="shared" si="225"/>
        <v>0.00089%</v>
      </c>
      <c r="C5067" t="s">
        <v>10</v>
      </c>
      <c r="D5067" t="s">
        <v>10</v>
      </c>
      <c r="E5067" t="str">
        <f>"$ 6,839"</f>
        <v>$ 6,839</v>
      </c>
      <c r="F5067">
        <v>412</v>
      </c>
    </row>
    <row r="5068" spans="1:6">
      <c r="A5068" t="s">
        <v>5066</v>
      </c>
      <c r="B5068" t="str">
        <f t="shared" si="225"/>
        <v>0.00089%</v>
      </c>
      <c r="C5068" t="s">
        <v>10</v>
      </c>
      <c r="D5068" t="s">
        <v>10</v>
      </c>
      <c r="E5068" t="str">
        <f>"$ 6,891"</f>
        <v>$ 6,891</v>
      </c>
      <c r="F5068">
        <v>445</v>
      </c>
    </row>
    <row r="5069" spans="1:6">
      <c r="A5069" t="s">
        <v>5067</v>
      </c>
      <c r="B5069" t="str">
        <f t="shared" si="225"/>
        <v>0.00089%</v>
      </c>
      <c r="C5069" t="s">
        <v>10</v>
      </c>
      <c r="D5069" t="s">
        <v>10</v>
      </c>
      <c r="E5069" t="str">
        <f>"$ 6,876"</f>
        <v>$ 6,876</v>
      </c>
      <c r="F5069" s="1">
        <v>24908</v>
      </c>
    </row>
    <row r="5070" spans="1:6">
      <c r="A5070" t="s">
        <v>5068</v>
      </c>
      <c r="B5070" t="str">
        <f t="shared" si="225"/>
        <v>0.00089%</v>
      </c>
      <c r="C5070" t="s">
        <v>10</v>
      </c>
      <c r="D5070" t="s">
        <v>10</v>
      </c>
      <c r="E5070" t="str">
        <f>"$ 6,911"</f>
        <v>$ 6,911</v>
      </c>
      <c r="F5070">
        <v>328</v>
      </c>
    </row>
    <row r="5071" spans="1:6">
      <c r="A5071" t="s">
        <v>5069</v>
      </c>
      <c r="B5071" t="str">
        <f t="shared" si="225"/>
        <v>0.00089%</v>
      </c>
      <c r="C5071" t="s">
        <v>10</v>
      </c>
      <c r="D5071" t="s">
        <v>10</v>
      </c>
      <c r="E5071" t="str">
        <f>"$ 6,905"</f>
        <v>$ 6,905</v>
      </c>
      <c r="F5071">
        <v>330</v>
      </c>
    </row>
    <row r="5072" spans="1:6">
      <c r="A5072" t="s">
        <v>5070</v>
      </c>
      <c r="B5072" t="str">
        <f t="shared" si="225"/>
        <v>0.00089%</v>
      </c>
      <c r="C5072" t="s">
        <v>10</v>
      </c>
      <c r="D5072" t="s">
        <v>10</v>
      </c>
      <c r="E5072" t="str">
        <f>"$ 6,868"</f>
        <v>$ 6,868</v>
      </c>
      <c r="F5072">
        <v>148</v>
      </c>
    </row>
    <row r="5073" spans="1:6">
      <c r="A5073" t="s">
        <v>5071</v>
      </c>
      <c r="B5073" t="str">
        <f t="shared" si="225"/>
        <v>0.00089%</v>
      </c>
      <c r="C5073" t="s">
        <v>10</v>
      </c>
      <c r="D5073" t="s">
        <v>10</v>
      </c>
      <c r="E5073" t="str">
        <f>"$ 6,885"</f>
        <v>$ 6,885</v>
      </c>
      <c r="F5073">
        <v>814</v>
      </c>
    </row>
    <row r="5074" spans="1:6">
      <c r="A5074" t="s">
        <v>5072</v>
      </c>
      <c r="B5074" t="str">
        <f t="shared" si="225"/>
        <v>0.00089%</v>
      </c>
      <c r="C5074" t="s">
        <v>10</v>
      </c>
      <c r="D5074" t="s">
        <v>10</v>
      </c>
      <c r="E5074" t="str">
        <f>"$ 6,849"</f>
        <v>$ 6,849</v>
      </c>
      <c r="F5074" s="1">
        <v>6417</v>
      </c>
    </row>
    <row r="5075" spans="1:6">
      <c r="A5075" t="s">
        <v>5073</v>
      </c>
      <c r="B5075" t="str">
        <f t="shared" si="225"/>
        <v>0.00089%</v>
      </c>
      <c r="C5075" t="s">
        <v>10</v>
      </c>
      <c r="D5075" t="s">
        <v>10</v>
      </c>
      <c r="E5075" t="str">
        <f>"$ 6,851"</f>
        <v>$ 6,851</v>
      </c>
      <c r="F5075">
        <v>103</v>
      </c>
    </row>
    <row r="5076" spans="1:6">
      <c r="A5076" t="s">
        <v>5074</v>
      </c>
      <c r="B5076" t="str">
        <f t="shared" si="225"/>
        <v>0.00089%</v>
      </c>
      <c r="C5076" t="s">
        <v>10</v>
      </c>
      <c r="D5076" t="s">
        <v>10</v>
      </c>
      <c r="E5076" t="str">
        <f>"$ 6,846"</f>
        <v>$ 6,846</v>
      </c>
      <c r="F5076">
        <v>223</v>
      </c>
    </row>
    <row r="5077" spans="1:6">
      <c r="A5077" t="s">
        <v>5075</v>
      </c>
      <c r="B5077" t="str">
        <f t="shared" si="225"/>
        <v>0.00089%</v>
      </c>
      <c r="C5077" t="s">
        <v>10</v>
      </c>
      <c r="D5077" t="s">
        <v>10</v>
      </c>
      <c r="E5077" t="str">
        <f>"$ 6,874"</f>
        <v>$ 6,874</v>
      </c>
      <c r="F5077">
        <v>198</v>
      </c>
    </row>
    <row r="5078" spans="1:6">
      <c r="A5078" t="s">
        <v>5076</v>
      </c>
      <c r="B5078" t="str">
        <f t="shared" si="225"/>
        <v>0.00089%</v>
      </c>
      <c r="C5078" t="s">
        <v>10</v>
      </c>
      <c r="D5078" t="s">
        <v>10</v>
      </c>
      <c r="E5078" t="str">
        <f>"$ 6,864"</f>
        <v>$ 6,864</v>
      </c>
      <c r="F5078">
        <v>254</v>
      </c>
    </row>
    <row r="5079" spans="1:6">
      <c r="A5079" t="s">
        <v>5077</v>
      </c>
      <c r="B5079" t="str">
        <f t="shared" si="225"/>
        <v>0.00089%</v>
      </c>
      <c r="C5079" t="s">
        <v>10</v>
      </c>
      <c r="D5079" t="s">
        <v>10</v>
      </c>
      <c r="E5079" t="str">
        <f>"$ 6,891"</f>
        <v>$ 6,891</v>
      </c>
      <c r="F5079">
        <v>80</v>
      </c>
    </row>
    <row r="5080" spans="1:6">
      <c r="A5080" t="s">
        <v>5078</v>
      </c>
      <c r="B5080" t="str">
        <f t="shared" si="225"/>
        <v>0.00089%</v>
      </c>
      <c r="C5080" t="s">
        <v>10</v>
      </c>
      <c r="D5080" t="s">
        <v>10</v>
      </c>
      <c r="E5080" t="str">
        <f>"$ 6,868"</f>
        <v>$ 6,868</v>
      </c>
      <c r="F5080">
        <v>315</v>
      </c>
    </row>
    <row r="5081" spans="1:6">
      <c r="A5081" t="s">
        <v>5079</v>
      </c>
      <c r="B5081" t="str">
        <f t="shared" si="225"/>
        <v>0.00089%</v>
      </c>
      <c r="C5081" t="s">
        <v>10</v>
      </c>
      <c r="D5081" t="s">
        <v>10</v>
      </c>
      <c r="E5081" t="str">
        <f>"$ 6,866"</f>
        <v>$ 6,866</v>
      </c>
      <c r="F5081">
        <v>157</v>
      </c>
    </row>
    <row r="5082" spans="1:6">
      <c r="A5082" t="s">
        <v>5080</v>
      </c>
      <c r="B5082" t="str">
        <f t="shared" si="225"/>
        <v>0.00089%</v>
      </c>
      <c r="C5082" t="s">
        <v>10</v>
      </c>
      <c r="D5082" t="s">
        <v>10</v>
      </c>
      <c r="E5082" t="str">
        <f>"$ 6,837"</f>
        <v>$ 6,837</v>
      </c>
      <c r="F5082">
        <v>20</v>
      </c>
    </row>
    <row r="5083" spans="1:6">
      <c r="A5083" t="s">
        <v>5081</v>
      </c>
      <c r="B5083" t="str">
        <f t="shared" si="225"/>
        <v>0.00089%</v>
      </c>
      <c r="C5083" t="s">
        <v>10</v>
      </c>
      <c r="D5083" t="s">
        <v>10</v>
      </c>
      <c r="E5083" t="str">
        <f>"$ 6,890"</f>
        <v>$ 6,890</v>
      </c>
      <c r="F5083">
        <v>429</v>
      </c>
    </row>
    <row r="5084" spans="1:6">
      <c r="A5084" t="s">
        <v>5082</v>
      </c>
      <c r="B5084" t="str">
        <f t="shared" si="225"/>
        <v>0.00089%</v>
      </c>
      <c r="C5084" t="s">
        <v>10</v>
      </c>
      <c r="D5084" t="s">
        <v>10</v>
      </c>
      <c r="E5084" t="str">
        <f>"$ 6,869"</f>
        <v>$ 6,869</v>
      </c>
      <c r="F5084" s="1">
        <v>6650</v>
      </c>
    </row>
    <row r="5085" spans="1:6">
      <c r="A5085" t="s">
        <v>5083</v>
      </c>
      <c r="B5085" t="str">
        <f t="shared" si="225"/>
        <v>0.00089%</v>
      </c>
      <c r="C5085" t="s">
        <v>10</v>
      </c>
      <c r="D5085" t="s">
        <v>10</v>
      </c>
      <c r="E5085" t="str">
        <f>"$ 6,838"</f>
        <v>$ 6,838</v>
      </c>
      <c r="F5085">
        <v>287</v>
      </c>
    </row>
    <row r="5086" spans="1:6">
      <c r="A5086" t="s">
        <v>5084</v>
      </c>
      <c r="B5086" t="str">
        <f t="shared" si="225"/>
        <v>0.00089%</v>
      </c>
      <c r="C5086" t="s">
        <v>10</v>
      </c>
      <c r="D5086" t="s">
        <v>10</v>
      </c>
      <c r="E5086" t="str">
        <f>"$ 6,840"</f>
        <v>$ 6,840</v>
      </c>
      <c r="F5086">
        <v>52</v>
      </c>
    </row>
    <row r="5087" spans="1:6">
      <c r="A5087" t="s">
        <v>5085</v>
      </c>
      <c r="B5087" t="str">
        <f t="shared" si="225"/>
        <v>0.00089%</v>
      </c>
      <c r="C5087" t="s">
        <v>10</v>
      </c>
      <c r="D5087" t="s">
        <v>10</v>
      </c>
      <c r="E5087" t="str">
        <f>"$ 6,852"</f>
        <v>$ 6,852</v>
      </c>
      <c r="F5087" s="1">
        <v>1131</v>
      </c>
    </row>
    <row r="5088" spans="1:6">
      <c r="A5088" t="s">
        <v>5086</v>
      </c>
      <c r="B5088" t="str">
        <f t="shared" si="225"/>
        <v>0.00089%</v>
      </c>
      <c r="C5088" t="s">
        <v>10</v>
      </c>
      <c r="D5088" t="s">
        <v>10</v>
      </c>
      <c r="E5088" t="str">
        <f>"$ 6,892"</f>
        <v>$ 6,892</v>
      </c>
      <c r="F5088">
        <v>90</v>
      </c>
    </row>
    <row r="5089" spans="1:6">
      <c r="A5089" t="s">
        <v>5087</v>
      </c>
      <c r="B5089" t="str">
        <f t="shared" si="225"/>
        <v>0.00089%</v>
      </c>
      <c r="C5089" t="s">
        <v>10</v>
      </c>
      <c r="D5089" t="s">
        <v>10</v>
      </c>
      <c r="E5089" t="str">
        <f>"$ 6,884"</f>
        <v>$ 6,884</v>
      </c>
      <c r="F5089">
        <v>493</v>
      </c>
    </row>
    <row r="5090" spans="1:6">
      <c r="A5090" t="s">
        <v>5088</v>
      </c>
      <c r="B5090" t="str">
        <f t="shared" si="225"/>
        <v>0.00089%</v>
      </c>
      <c r="C5090" t="s">
        <v>10</v>
      </c>
      <c r="D5090" t="s">
        <v>10</v>
      </c>
      <c r="E5090" t="str">
        <f>"$ 6,856"</f>
        <v>$ 6,856</v>
      </c>
      <c r="F5090">
        <v>75</v>
      </c>
    </row>
    <row r="5091" spans="1:6">
      <c r="A5091" t="s">
        <v>5089</v>
      </c>
      <c r="B5091" t="str">
        <f t="shared" si="225"/>
        <v>0.00089%</v>
      </c>
      <c r="C5091" t="s">
        <v>10</v>
      </c>
      <c r="D5091" t="s">
        <v>10</v>
      </c>
      <c r="E5091" t="str">
        <f>"$ 6,842"</f>
        <v>$ 6,842</v>
      </c>
      <c r="F5091" s="1">
        <v>16587</v>
      </c>
    </row>
    <row r="5092" spans="1:6">
      <c r="A5092" t="s">
        <v>5090</v>
      </c>
      <c r="B5092" t="str">
        <f t="shared" si="225"/>
        <v>0.00089%</v>
      </c>
      <c r="C5092" t="s">
        <v>10</v>
      </c>
      <c r="D5092" t="s">
        <v>10</v>
      </c>
      <c r="E5092" t="str">
        <f>"$ 6,892"</f>
        <v>$ 6,892</v>
      </c>
      <c r="F5092">
        <v>231</v>
      </c>
    </row>
    <row r="5093" spans="1:6">
      <c r="A5093" t="s">
        <v>5091</v>
      </c>
      <c r="B5093" t="str">
        <f t="shared" si="225"/>
        <v>0.00089%</v>
      </c>
      <c r="C5093" t="s">
        <v>10</v>
      </c>
      <c r="D5093" t="s">
        <v>10</v>
      </c>
      <c r="E5093" t="str">
        <f>"$ 6,842"</f>
        <v>$ 6,842</v>
      </c>
      <c r="F5093" s="1">
        <v>12028</v>
      </c>
    </row>
    <row r="5094" spans="1:6">
      <c r="A5094" t="s">
        <v>5092</v>
      </c>
      <c r="B5094" t="str">
        <f t="shared" si="225"/>
        <v>0.00089%</v>
      </c>
      <c r="C5094" t="s">
        <v>10</v>
      </c>
      <c r="D5094" t="s">
        <v>10</v>
      </c>
      <c r="E5094" t="str">
        <f>"$ 6,910"</f>
        <v>$ 6,910</v>
      </c>
      <c r="F5094" s="1">
        <v>10979</v>
      </c>
    </row>
    <row r="5095" spans="1:6">
      <c r="A5095" t="s">
        <v>5093</v>
      </c>
      <c r="B5095" t="str">
        <f t="shared" si="225"/>
        <v>0.00089%</v>
      </c>
      <c r="C5095" t="s">
        <v>10</v>
      </c>
      <c r="D5095" t="s">
        <v>10</v>
      </c>
      <c r="E5095" t="str">
        <f>"$ 6,859"</f>
        <v>$ 6,859</v>
      </c>
      <c r="F5095" s="1">
        <v>3559</v>
      </c>
    </row>
    <row r="5096" spans="1:6">
      <c r="A5096" t="s">
        <v>5094</v>
      </c>
      <c r="B5096" t="str">
        <f t="shared" si="225"/>
        <v>0.00089%</v>
      </c>
      <c r="C5096" t="s">
        <v>10</v>
      </c>
      <c r="D5096" t="s">
        <v>10</v>
      </c>
      <c r="E5096" t="str">
        <f>"$ 6,854"</f>
        <v>$ 6,854</v>
      </c>
      <c r="F5096" s="1">
        <v>6928</v>
      </c>
    </row>
    <row r="5097" spans="1:6">
      <c r="A5097" t="s">
        <v>5095</v>
      </c>
      <c r="B5097" t="str">
        <f t="shared" si="225"/>
        <v>0.00089%</v>
      </c>
      <c r="C5097" t="s">
        <v>10</v>
      </c>
      <c r="D5097" t="s">
        <v>10</v>
      </c>
      <c r="E5097" t="str">
        <f>"$ 6,873"</f>
        <v>$ 6,873</v>
      </c>
      <c r="F5097">
        <v>60</v>
      </c>
    </row>
    <row r="5098" spans="1:6">
      <c r="A5098" t="s">
        <v>5096</v>
      </c>
      <c r="B5098" t="str">
        <f t="shared" si="225"/>
        <v>0.00089%</v>
      </c>
      <c r="C5098" t="s">
        <v>10</v>
      </c>
      <c r="D5098" t="s">
        <v>10</v>
      </c>
      <c r="E5098" t="str">
        <f>"$ 6,839"</f>
        <v>$ 6,839</v>
      </c>
      <c r="F5098">
        <v>208</v>
      </c>
    </row>
    <row r="5099" spans="1:6">
      <c r="A5099" t="s">
        <v>5097</v>
      </c>
      <c r="B5099" t="str">
        <f t="shared" si="225"/>
        <v>0.00089%</v>
      </c>
      <c r="C5099" t="s">
        <v>10</v>
      </c>
      <c r="D5099" t="s">
        <v>10</v>
      </c>
      <c r="E5099" t="str">
        <f>"$ 6,854"</f>
        <v>$ 6,854</v>
      </c>
      <c r="F5099">
        <v>213</v>
      </c>
    </row>
    <row r="5100" spans="1:6">
      <c r="A5100" t="s">
        <v>5098</v>
      </c>
      <c r="B5100" t="str">
        <f t="shared" ref="B5100:B5129" si="226">"0.00088%"</f>
        <v>0.00088%</v>
      </c>
      <c r="C5100" t="s">
        <v>10</v>
      </c>
      <c r="D5100" t="s">
        <v>10</v>
      </c>
      <c r="E5100" t="str">
        <f>"$ 6,808"</f>
        <v>$ 6,808</v>
      </c>
      <c r="F5100" s="1">
        <v>7180</v>
      </c>
    </row>
    <row r="5101" spans="1:6">
      <c r="A5101" t="s">
        <v>5099</v>
      </c>
      <c r="B5101" t="str">
        <f t="shared" si="226"/>
        <v>0.00088%</v>
      </c>
      <c r="C5101" t="s">
        <v>10</v>
      </c>
      <c r="D5101" t="s">
        <v>10</v>
      </c>
      <c r="E5101" t="str">
        <f>"$ 6,792"</f>
        <v>$ 6,792</v>
      </c>
      <c r="F5101" s="1">
        <v>1019</v>
      </c>
    </row>
    <row r="5102" spans="1:6">
      <c r="A5102" t="s">
        <v>5100</v>
      </c>
      <c r="B5102" t="str">
        <f t="shared" si="226"/>
        <v>0.00088%</v>
      </c>
      <c r="C5102" t="s">
        <v>10</v>
      </c>
      <c r="D5102" t="s">
        <v>10</v>
      </c>
      <c r="E5102" t="str">
        <f>"$ 6,778"</f>
        <v>$ 6,778</v>
      </c>
      <c r="F5102">
        <v>99</v>
      </c>
    </row>
    <row r="5103" spans="1:6">
      <c r="A5103" t="s">
        <v>5101</v>
      </c>
      <c r="B5103" t="str">
        <f t="shared" si="226"/>
        <v>0.00088%</v>
      </c>
      <c r="C5103" t="s">
        <v>10</v>
      </c>
      <c r="D5103" t="s">
        <v>10</v>
      </c>
      <c r="E5103" t="str">
        <f>"$ 6,816"</f>
        <v>$ 6,816</v>
      </c>
      <c r="F5103">
        <v>64</v>
      </c>
    </row>
    <row r="5104" spans="1:6">
      <c r="A5104" t="s">
        <v>5102</v>
      </c>
      <c r="B5104" t="str">
        <f t="shared" si="226"/>
        <v>0.00088%</v>
      </c>
      <c r="C5104" t="s">
        <v>10</v>
      </c>
      <c r="D5104" t="s">
        <v>10</v>
      </c>
      <c r="E5104" t="str">
        <f>"$ 6,816"</f>
        <v>$ 6,816</v>
      </c>
      <c r="F5104">
        <v>22</v>
      </c>
    </row>
    <row r="5105" spans="1:6">
      <c r="A5105" t="s">
        <v>5103</v>
      </c>
      <c r="B5105" t="str">
        <f t="shared" si="226"/>
        <v>0.00088%</v>
      </c>
      <c r="C5105" t="s">
        <v>10</v>
      </c>
      <c r="D5105" t="s">
        <v>10</v>
      </c>
      <c r="E5105" t="str">
        <f>"$ 6,758"</f>
        <v>$ 6,758</v>
      </c>
      <c r="F5105">
        <v>660</v>
      </c>
    </row>
    <row r="5106" spans="1:6">
      <c r="A5106" t="s">
        <v>5104</v>
      </c>
      <c r="B5106" t="str">
        <f t="shared" si="226"/>
        <v>0.00088%</v>
      </c>
      <c r="C5106" t="s">
        <v>10</v>
      </c>
      <c r="D5106" t="s">
        <v>10</v>
      </c>
      <c r="E5106" t="str">
        <f>"$ 6,825"</f>
        <v>$ 6,825</v>
      </c>
      <c r="F5106" s="1">
        <v>1814</v>
      </c>
    </row>
    <row r="5107" spans="1:6">
      <c r="A5107" t="s">
        <v>5105</v>
      </c>
      <c r="B5107" t="str">
        <f t="shared" si="226"/>
        <v>0.00088%</v>
      </c>
      <c r="C5107" t="s">
        <v>10</v>
      </c>
      <c r="D5107" t="s">
        <v>10</v>
      </c>
      <c r="E5107" t="str">
        <f>"$ 6,811"</f>
        <v>$ 6,811</v>
      </c>
      <c r="F5107">
        <v>346</v>
      </c>
    </row>
    <row r="5108" spans="1:6">
      <c r="A5108" t="s">
        <v>5106</v>
      </c>
      <c r="B5108" t="str">
        <f t="shared" si="226"/>
        <v>0.00088%</v>
      </c>
      <c r="C5108" t="s">
        <v>10</v>
      </c>
      <c r="D5108" t="s">
        <v>10</v>
      </c>
      <c r="E5108" t="str">
        <f>"$ 6,757"</f>
        <v>$ 6,757</v>
      </c>
      <c r="F5108">
        <v>8</v>
      </c>
    </row>
    <row r="5109" spans="1:6">
      <c r="A5109" t="s">
        <v>5107</v>
      </c>
      <c r="B5109" t="str">
        <f t="shared" si="226"/>
        <v>0.00088%</v>
      </c>
      <c r="C5109" t="s">
        <v>10</v>
      </c>
      <c r="D5109" t="s">
        <v>10</v>
      </c>
      <c r="E5109" t="str">
        <f>"$ 6,778"</f>
        <v>$ 6,778</v>
      </c>
      <c r="F5109" s="1">
        <v>1398</v>
      </c>
    </row>
    <row r="5110" spans="1:6">
      <c r="A5110" t="s">
        <v>5108</v>
      </c>
      <c r="B5110" t="str">
        <f t="shared" si="226"/>
        <v>0.00088%</v>
      </c>
      <c r="C5110" t="s">
        <v>10</v>
      </c>
      <c r="D5110" t="s">
        <v>10</v>
      </c>
      <c r="E5110" t="str">
        <f>"$ 6,765"</f>
        <v>$ 6,765</v>
      </c>
      <c r="F5110">
        <v>70</v>
      </c>
    </row>
    <row r="5111" spans="1:6">
      <c r="A5111" t="s">
        <v>5109</v>
      </c>
      <c r="B5111" t="str">
        <f t="shared" si="226"/>
        <v>0.00088%</v>
      </c>
      <c r="C5111" t="s">
        <v>10</v>
      </c>
      <c r="D5111" t="s">
        <v>10</v>
      </c>
      <c r="E5111" t="str">
        <f>"$ 6,828"</f>
        <v>$ 6,828</v>
      </c>
      <c r="F5111">
        <v>227</v>
      </c>
    </row>
    <row r="5112" spans="1:6">
      <c r="A5112" t="s">
        <v>5110</v>
      </c>
      <c r="B5112" t="str">
        <f t="shared" si="226"/>
        <v>0.00088%</v>
      </c>
      <c r="C5112" t="s">
        <v>10</v>
      </c>
      <c r="D5112" t="s">
        <v>10</v>
      </c>
      <c r="E5112" t="str">
        <f>"$ 6,783"</f>
        <v>$ 6,783</v>
      </c>
      <c r="F5112">
        <v>231</v>
      </c>
    </row>
    <row r="5113" spans="1:6">
      <c r="A5113" t="s">
        <v>5111</v>
      </c>
      <c r="B5113" t="str">
        <f t="shared" si="226"/>
        <v>0.00088%</v>
      </c>
      <c r="C5113" t="s">
        <v>10</v>
      </c>
      <c r="D5113" t="s">
        <v>10</v>
      </c>
      <c r="E5113" t="str">
        <f>"$ 6,784"</f>
        <v>$ 6,784</v>
      </c>
      <c r="F5113">
        <v>41</v>
      </c>
    </row>
    <row r="5114" spans="1:6">
      <c r="A5114" t="s">
        <v>5112</v>
      </c>
      <c r="B5114" t="str">
        <f t="shared" si="226"/>
        <v>0.00088%</v>
      </c>
      <c r="C5114" t="s">
        <v>10</v>
      </c>
      <c r="D5114" t="s">
        <v>10</v>
      </c>
      <c r="E5114" t="str">
        <f>"$ 6,826"</f>
        <v>$ 6,826</v>
      </c>
      <c r="F5114">
        <v>177</v>
      </c>
    </row>
    <row r="5115" spans="1:6">
      <c r="A5115" t="s">
        <v>5113</v>
      </c>
      <c r="B5115" t="str">
        <f t="shared" si="226"/>
        <v>0.00088%</v>
      </c>
      <c r="C5115" t="s">
        <v>10</v>
      </c>
      <c r="D5115" t="s">
        <v>10</v>
      </c>
      <c r="E5115" t="str">
        <f>"$ 6,795"</f>
        <v>$ 6,795</v>
      </c>
      <c r="F5115">
        <v>346</v>
      </c>
    </row>
    <row r="5116" spans="1:6">
      <c r="A5116" t="s">
        <v>5114</v>
      </c>
      <c r="B5116" t="str">
        <f t="shared" si="226"/>
        <v>0.00088%</v>
      </c>
      <c r="C5116" t="s">
        <v>10</v>
      </c>
      <c r="D5116" t="s">
        <v>10</v>
      </c>
      <c r="E5116" t="str">
        <f>"$ 6,796"</f>
        <v>$ 6,796</v>
      </c>
      <c r="F5116">
        <v>391</v>
      </c>
    </row>
    <row r="5117" spans="1:6">
      <c r="A5117" t="s">
        <v>5115</v>
      </c>
      <c r="B5117" t="str">
        <f t="shared" si="226"/>
        <v>0.00088%</v>
      </c>
      <c r="C5117" t="s">
        <v>10</v>
      </c>
      <c r="D5117" t="s">
        <v>10</v>
      </c>
      <c r="E5117" t="str">
        <f>"$ 6,774"</f>
        <v>$ 6,774</v>
      </c>
      <c r="F5117">
        <v>85</v>
      </c>
    </row>
    <row r="5118" spans="1:6">
      <c r="A5118" t="s">
        <v>5116</v>
      </c>
      <c r="B5118" t="str">
        <f t="shared" si="226"/>
        <v>0.00088%</v>
      </c>
      <c r="C5118" t="s">
        <v>10</v>
      </c>
      <c r="D5118" t="s">
        <v>10</v>
      </c>
      <c r="E5118" t="str">
        <f>"$ 6,824"</f>
        <v>$ 6,824</v>
      </c>
      <c r="F5118">
        <v>106</v>
      </c>
    </row>
    <row r="5119" spans="1:6">
      <c r="A5119" t="s">
        <v>5117</v>
      </c>
      <c r="B5119" t="str">
        <f t="shared" si="226"/>
        <v>0.00088%</v>
      </c>
      <c r="C5119" t="s">
        <v>10</v>
      </c>
      <c r="D5119" t="s">
        <v>10</v>
      </c>
      <c r="E5119" t="str">
        <f>"$ 6,793"</f>
        <v>$ 6,793</v>
      </c>
      <c r="F5119">
        <v>271</v>
      </c>
    </row>
    <row r="5120" spans="1:6">
      <c r="A5120" t="s">
        <v>5118</v>
      </c>
      <c r="B5120" t="str">
        <f t="shared" si="226"/>
        <v>0.00088%</v>
      </c>
      <c r="C5120" t="s">
        <v>10</v>
      </c>
      <c r="D5120" t="s">
        <v>10</v>
      </c>
      <c r="E5120" t="str">
        <f>"$ 6,791"</f>
        <v>$ 6,791</v>
      </c>
      <c r="F5120">
        <v>524</v>
      </c>
    </row>
    <row r="5121" spans="1:6">
      <c r="A5121" t="s">
        <v>5119</v>
      </c>
      <c r="B5121" t="str">
        <f t="shared" si="226"/>
        <v>0.00088%</v>
      </c>
      <c r="C5121" t="s">
        <v>10</v>
      </c>
      <c r="D5121" t="s">
        <v>10</v>
      </c>
      <c r="E5121" t="str">
        <f>"$ 6,786"</f>
        <v>$ 6,786</v>
      </c>
      <c r="F5121" s="1">
        <v>2790</v>
      </c>
    </row>
    <row r="5122" spans="1:6">
      <c r="A5122" t="s">
        <v>5120</v>
      </c>
      <c r="B5122" t="str">
        <f t="shared" si="226"/>
        <v>0.00088%</v>
      </c>
      <c r="C5122" t="s">
        <v>10</v>
      </c>
      <c r="D5122" t="s">
        <v>10</v>
      </c>
      <c r="E5122" t="str">
        <f>"$ 6,757"</f>
        <v>$ 6,757</v>
      </c>
      <c r="F5122" s="1">
        <v>3199</v>
      </c>
    </row>
    <row r="5123" spans="1:6">
      <c r="A5123" t="s">
        <v>5121</v>
      </c>
      <c r="B5123" t="str">
        <f t="shared" si="226"/>
        <v>0.00088%</v>
      </c>
      <c r="C5123" t="s">
        <v>10</v>
      </c>
      <c r="D5123" t="s">
        <v>10</v>
      </c>
      <c r="E5123" t="str">
        <f>"$ 6,815"</f>
        <v>$ 6,815</v>
      </c>
      <c r="F5123" s="1">
        <v>2737</v>
      </c>
    </row>
    <row r="5124" spans="1:6">
      <c r="A5124" t="s">
        <v>5122</v>
      </c>
      <c r="B5124" t="str">
        <f t="shared" si="226"/>
        <v>0.00088%</v>
      </c>
      <c r="C5124" t="s">
        <v>10</v>
      </c>
      <c r="D5124" t="s">
        <v>10</v>
      </c>
      <c r="E5124" t="str">
        <f>"$ 6,772"</f>
        <v>$ 6,772</v>
      </c>
      <c r="F5124">
        <v>272</v>
      </c>
    </row>
    <row r="5125" spans="1:6">
      <c r="A5125" t="s">
        <v>5123</v>
      </c>
      <c r="B5125" t="str">
        <f t="shared" si="226"/>
        <v>0.00088%</v>
      </c>
      <c r="C5125" t="s">
        <v>10</v>
      </c>
      <c r="D5125" t="s">
        <v>10</v>
      </c>
      <c r="E5125" t="str">
        <f>"$ 6,767"</f>
        <v>$ 6,767</v>
      </c>
      <c r="F5125">
        <v>588</v>
      </c>
    </row>
    <row r="5126" spans="1:6">
      <c r="A5126" t="s">
        <v>5124</v>
      </c>
      <c r="B5126" t="str">
        <f t="shared" si="226"/>
        <v>0.00088%</v>
      </c>
      <c r="C5126" t="s">
        <v>10</v>
      </c>
      <c r="D5126" t="s">
        <v>10</v>
      </c>
      <c r="E5126" t="str">
        <f>"$ 6,788"</f>
        <v>$ 6,788</v>
      </c>
      <c r="F5126">
        <v>109</v>
      </c>
    </row>
    <row r="5127" spans="1:6">
      <c r="A5127" t="s">
        <v>5125</v>
      </c>
      <c r="B5127" t="str">
        <f t="shared" si="226"/>
        <v>0.00088%</v>
      </c>
      <c r="C5127" t="s">
        <v>10</v>
      </c>
      <c r="D5127" t="s">
        <v>10</v>
      </c>
      <c r="E5127" t="str">
        <f>"$ 6,761"</f>
        <v>$ 6,761</v>
      </c>
      <c r="F5127">
        <v>140</v>
      </c>
    </row>
    <row r="5128" spans="1:6">
      <c r="A5128" t="s">
        <v>5126</v>
      </c>
      <c r="B5128" t="str">
        <f t="shared" si="226"/>
        <v>0.00088%</v>
      </c>
      <c r="C5128" t="s">
        <v>10</v>
      </c>
      <c r="D5128" t="s">
        <v>10</v>
      </c>
      <c r="E5128" t="str">
        <f>"$ 6,775"</f>
        <v>$ 6,775</v>
      </c>
      <c r="F5128" s="1">
        <v>2133</v>
      </c>
    </row>
    <row r="5129" spans="1:6">
      <c r="A5129" t="s">
        <v>5127</v>
      </c>
      <c r="B5129" t="str">
        <f t="shared" si="226"/>
        <v>0.00088%</v>
      </c>
      <c r="C5129" t="s">
        <v>10</v>
      </c>
      <c r="D5129" t="s">
        <v>10</v>
      </c>
      <c r="E5129" t="str">
        <f>"$ 6,828"</f>
        <v>$ 6,828</v>
      </c>
      <c r="F5129" s="1">
        <v>1485</v>
      </c>
    </row>
    <row r="5130" spans="1:6">
      <c r="A5130" t="s">
        <v>5128</v>
      </c>
      <c r="B5130" t="str">
        <f t="shared" ref="B5130:B5164" si="227">"0.00087%"</f>
        <v>0.00087%</v>
      </c>
      <c r="C5130" t="s">
        <v>10</v>
      </c>
      <c r="D5130" t="s">
        <v>10</v>
      </c>
      <c r="E5130" t="str">
        <f>"$ 6,742"</f>
        <v>$ 6,742</v>
      </c>
      <c r="F5130">
        <v>231</v>
      </c>
    </row>
    <row r="5131" spans="1:6">
      <c r="A5131" t="s">
        <v>5129</v>
      </c>
      <c r="B5131" t="str">
        <f t="shared" si="227"/>
        <v>0.00087%</v>
      </c>
      <c r="C5131" t="s">
        <v>10</v>
      </c>
      <c r="D5131" t="s">
        <v>10</v>
      </c>
      <c r="E5131" t="str">
        <f>"$ 6,746"</f>
        <v>$ 6,746</v>
      </c>
      <c r="F5131" s="1">
        <v>3992</v>
      </c>
    </row>
    <row r="5132" spans="1:6">
      <c r="A5132" t="s">
        <v>5130</v>
      </c>
      <c r="B5132" t="str">
        <f t="shared" si="227"/>
        <v>0.00087%</v>
      </c>
      <c r="C5132" t="s">
        <v>10</v>
      </c>
      <c r="D5132" t="s">
        <v>10</v>
      </c>
      <c r="E5132" t="str">
        <f>"$ 6,717"</f>
        <v>$ 6,717</v>
      </c>
      <c r="F5132">
        <v>181</v>
      </c>
    </row>
    <row r="5133" spans="1:6">
      <c r="A5133" t="s">
        <v>5131</v>
      </c>
      <c r="B5133" t="str">
        <f t="shared" si="227"/>
        <v>0.00087%</v>
      </c>
      <c r="C5133" t="s">
        <v>10</v>
      </c>
      <c r="D5133" t="s">
        <v>10</v>
      </c>
      <c r="E5133" t="str">
        <f>"$ 6,742"</f>
        <v>$ 6,742</v>
      </c>
      <c r="F5133">
        <v>686</v>
      </c>
    </row>
    <row r="5134" spans="1:6">
      <c r="A5134" t="s">
        <v>5132</v>
      </c>
      <c r="B5134" t="str">
        <f t="shared" si="227"/>
        <v>0.00087%</v>
      </c>
      <c r="C5134" t="s">
        <v>10</v>
      </c>
      <c r="D5134" t="s">
        <v>10</v>
      </c>
      <c r="E5134" t="str">
        <f>"$ 6,726"</f>
        <v>$ 6,726</v>
      </c>
      <c r="F5134">
        <v>21</v>
      </c>
    </row>
    <row r="5135" spans="1:6">
      <c r="A5135" t="s">
        <v>5133</v>
      </c>
      <c r="B5135" t="str">
        <f t="shared" si="227"/>
        <v>0.00087%</v>
      </c>
      <c r="C5135" t="s">
        <v>10</v>
      </c>
      <c r="D5135" t="s">
        <v>10</v>
      </c>
      <c r="E5135" t="str">
        <f>"$ 6,728"</f>
        <v>$ 6,728</v>
      </c>
      <c r="F5135" s="1">
        <v>9479</v>
      </c>
    </row>
    <row r="5136" spans="1:6">
      <c r="A5136" t="s">
        <v>5134</v>
      </c>
      <c r="B5136" t="str">
        <f t="shared" si="227"/>
        <v>0.00087%</v>
      </c>
      <c r="C5136" t="s">
        <v>10</v>
      </c>
      <c r="D5136" t="s">
        <v>10</v>
      </c>
      <c r="E5136" t="str">
        <f>"$ 6,695"</f>
        <v>$ 6,695</v>
      </c>
      <c r="F5136">
        <v>181</v>
      </c>
    </row>
    <row r="5137" spans="1:6">
      <c r="A5137" t="s">
        <v>5135</v>
      </c>
      <c r="B5137" t="str">
        <f t="shared" si="227"/>
        <v>0.00087%</v>
      </c>
      <c r="C5137" t="s">
        <v>10</v>
      </c>
      <c r="D5137" t="s">
        <v>10</v>
      </c>
      <c r="E5137" t="str">
        <f>"$ 6,744"</f>
        <v>$ 6,744</v>
      </c>
      <c r="F5137">
        <v>343</v>
      </c>
    </row>
    <row r="5138" spans="1:6">
      <c r="A5138" t="s">
        <v>5136</v>
      </c>
      <c r="B5138" t="str">
        <f t="shared" si="227"/>
        <v>0.00087%</v>
      </c>
      <c r="C5138" t="s">
        <v>10</v>
      </c>
      <c r="D5138" t="s">
        <v>10</v>
      </c>
      <c r="E5138" t="str">
        <f>"$ 6,744"</f>
        <v>$ 6,744</v>
      </c>
      <c r="F5138">
        <v>252</v>
      </c>
    </row>
    <row r="5139" spans="1:6">
      <c r="A5139" t="s">
        <v>5137</v>
      </c>
      <c r="B5139" t="str">
        <f t="shared" si="227"/>
        <v>0.00087%</v>
      </c>
      <c r="C5139" t="s">
        <v>10</v>
      </c>
      <c r="D5139" t="s">
        <v>10</v>
      </c>
      <c r="E5139" t="str">
        <f>"$ 6,709"</f>
        <v>$ 6,709</v>
      </c>
      <c r="F5139">
        <v>247</v>
      </c>
    </row>
    <row r="5140" spans="1:6">
      <c r="A5140" t="s">
        <v>5138</v>
      </c>
      <c r="B5140" t="str">
        <f t="shared" si="227"/>
        <v>0.00087%</v>
      </c>
      <c r="C5140" t="s">
        <v>10</v>
      </c>
      <c r="D5140" t="s">
        <v>10</v>
      </c>
      <c r="E5140" t="str">
        <f>"$ 6,686"</f>
        <v>$ 6,686</v>
      </c>
      <c r="F5140">
        <v>576</v>
      </c>
    </row>
    <row r="5141" spans="1:6">
      <c r="A5141" t="s">
        <v>5139</v>
      </c>
      <c r="B5141" t="str">
        <f t="shared" si="227"/>
        <v>0.00087%</v>
      </c>
      <c r="C5141" t="s">
        <v>10</v>
      </c>
      <c r="D5141" t="s">
        <v>10</v>
      </c>
      <c r="E5141" t="str">
        <f>"$ 6,738"</f>
        <v>$ 6,738</v>
      </c>
      <c r="F5141">
        <v>297</v>
      </c>
    </row>
    <row r="5142" spans="1:6">
      <c r="A5142" t="s">
        <v>5140</v>
      </c>
      <c r="B5142" t="str">
        <f t="shared" si="227"/>
        <v>0.00087%</v>
      </c>
      <c r="C5142" t="s">
        <v>10</v>
      </c>
      <c r="D5142" t="s">
        <v>10</v>
      </c>
      <c r="E5142" t="str">
        <f>"$ 6,746"</f>
        <v>$ 6,746</v>
      </c>
      <c r="F5142">
        <v>330</v>
      </c>
    </row>
    <row r="5143" spans="1:6">
      <c r="A5143" t="s">
        <v>5141</v>
      </c>
      <c r="B5143" t="str">
        <f t="shared" si="227"/>
        <v>0.00087%</v>
      </c>
      <c r="C5143" t="s">
        <v>10</v>
      </c>
      <c r="D5143" t="s">
        <v>10</v>
      </c>
      <c r="E5143" t="str">
        <f>"$ 6,714"</f>
        <v>$ 6,714</v>
      </c>
      <c r="F5143">
        <v>199</v>
      </c>
    </row>
    <row r="5144" spans="1:6">
      <c r="A5144" t="s">
        <v>5142</v>
      </c>
      <c r="B5144" t="str">
        <f t="shared" si="227"/>
        <v>0.00087%</v>
      </c>
      <c r="C5144" t="s">
        <v>10</v>
      </c>
      <c r="D5144" t="s">
        <v>10</v>
      </c>
      <c r="E5144" t="str">
        <f>"$ 6,683"</f>
        <v>$ 6,683</v>
      </c>
      <c r="F5144">
        <v>77</v>
      </c>
    </row>
    <row r="5145" spans="1:6">
      <c r="A5145" t="s">
        <v>5143</v>
      </c>
      <c r="B5145" t="str">
        <f t="shared" si="227"/>
        <v>0.00087%</v>
      </c>
      <c r="C5145" t="s">
        <v>10</v>
      </c>
      <c r="D5145" t="s">
        <v>10</v>
      </c>
      <c r="E5145" t="str">
        <f>"$ 6,694"</f>
        <v>$ 6,694</v>
      </c>
      <c r="F5145">
        <v>97</v>
      </c>
    </row>
    <row r="5146" spans="1:6">
      <c r="A5146" t="s">
        <v>5144</v>
      </c>
      <c r="B5146" t="str">
        <f t="shared" si="227"/>
        <v>0.00087%</v>
      </c>
      <c r="C5146" t="s">
        <v>10</v>
      </c>
      <c r="D5146" t="s">
        <v>10</v>
      </c>
      <c r="E5146" t="str">
        <f>"$ 6,752"</f>
        <v>$ 6,752</v>
      </c>
      <c r="F5146">
        <v>215</v>
      </c>
    </row>
    <row r="5147" spans="1:6">
      <c r="A5147" t="s">
        <v>5145</v>
      </c>
      <c r="B5147" t="str">
        <f t="shared" si="227"/>
        <v>0.00087%</v>
      </c>
      <c r="C5147" t="s">
        <v>10</v>
      </c>
      <c r="D5147" t="s">
        <v>10</v>
      </c>
      <c r="E5147" t="str">
        <f>"$ 6,719"</f>
        <v>$ 6,719</v>
      </c>
      <c r="F5147">
        <v>268</v>
      </c>
    </row>
    <row r="5148" spans="1:6">
      <c r="A5148" t="s">
        <v>5146</v>
      </c>
      <c r="B5148" t="str">
        <f t="shared" si="227"/>
        <v>0.00087%</v>
      </c>
      <c r="C5148" t="s">
        <v>10</v>
      </c>
      <c r="D5148" t="s">
        <v>10</v>
      </c>
      <c r="E5148" t="str">
        <f>"$ 6,743"</f>
        <v>$ 6,743</v>
      </c>
      <c r="F5148">
        <v>264</v>
      </c>
    </row>
    <row r="5149" spans="1:6">
      <c r="A5149" t="s">
        <v>5147</v>
      </c>
      <c r="B5149" t="str">
        <f t="shared" si="227"/>
        <v>0.00087%</v>
      </c>
      <c r="C5149" t="s">
        <v>10</v>
      </c>
      <c r="D5149" t="s">
        <v>10</v>
      </c>
      <c r="E5149" t="str">
        <f>"$ 6,710"</f>
        <v>$ 6,710</v>
      </c>
      <c r="F5149">
        <v>29</v>
      </c>
    </row>
    <row r="5150" spans="1:6">
      <c r="A5150" t="s">
        <v>5148</v>
      </c>
      <c r="B5150" t="str">
        <f t="shared" si="227"/>
        <v>0.00087%</v>
      </c>
      <c r="C5150" t="s">
        <v>10</v>
      </c>
      <c r="D5150" t="s">
        <v>10</v>
      </c>
      <c r="E5150" t="str">
        <f>"$ 6,724"</f>
        <v>$ 6,724</v>
      </c>
      <c r="F5150">
        <v>247</v>
      </c>
    </row>
    <row r="5151" spans="1:6">
      <c r="A5151" t="s">
        <v>5149</v>
      </c>
      <c r="B5151" t="str">
        <f t="shared" si="227"/>
        <v>0.00087%</v>
      </c>
      <c r="C5151" t="s">
        <v>10</v>
      </c>
      <c r="D5151" t="s">
        <v>10</v>
      </c>
      <c r="E5151" t="str">
        <f>"$ 6,729"</f>
        <v>$ 6,729</v>
      </c>
      <c r="F5151">
        <v>264</v>
      </c>
    </row>
    <row r="5152" spans="1:6">
      <c r="A5152" t="s">
        <v>5150</v>
      </c>
      <c r="B5152" t="str">
        <f t="shared" si="227"/>
        <v>0.00087%</v>
      </c>
      <c r="C5152" t="s">
        <v>10</v>
      </c>
      <c r="D5152" t="s">
        <v>10</v>
      </c>
      <c r="E5152" t="str">
        <f>"$ 6,689"</f>
        <v>$ 6,689</v>
      </c>
      <c r="F5152">
        <v>488</v>
      </c>
    </row>
    <row r="5153" spans="1:6">
      <c r="A5153" t="s">
        <v>5151</v>
      </c>
      <c r="B5153" t="str">
        <f t="shared" si="227"/>
        <v>0.00087%</v>
      </c>
      <c r="C5153" t="s">
        <v>10</v>
      </c>
      <c r="D5153" t="s">
        <v>10</v>
      </c>
      <c r="E5153" t="str">
        <f>"$ 6,692"</f>
        <v>$ 6,692</v>
      </c>
      <c r="F5153" s="1">
        <v>20424</v>
      </c>
    </row>
    <row r="5154" spans="1:6">
      <c r="A5154" t="s">
        <v>5152</v>
      </c>
      <c r="B5154" t="str">
        <f t="shared" si="227"/>
        <v>0.00087%</v>
      </c>
      <c r="C5154" t="s">
        <v>10</v>
      </c>
      <c r="D5154" t="s">
        <v>10</v>
      </c>
      <c r="E5154" t="str">
        <f>"$ 6,708"</f>
        <v>$ 6,708</v>
      </c>
      <c r="F5154">
        <v>658</v>
      </c>
    </row>
    <row r="5155" spans="1:6">
      <c r="A5155" t="s">
        <v>5153</v>
      </c>
      <c r="B5155" t="str">
        <f t="shared" si="227"/>
        <v>0.00087%</v>
      </c>
      <c r="C5155" t="s">
        <v>10</v>
      </c>
      <c r="D5155" t="s">
        <v>10</v>
      </c>
      <c r="E5155" t="str">
        <f>"$ 6,701"</f>
        <v>$ 6,701</v>
      </c>
      <c r="F5155">
        <v>133</v>
      </c>
    </row>
    <row r="5156" spans="1:6">
      <c r="A5156" t="s">
        <v>5154</v>
      </c>
      <c r="B5156" t="str">
        <f t="shared" si="227"/>
        <v>0.00087%</v>
      </c>
      <c r="C5156" t="s">
        <v>10</v>
      </c>
      <c r="D5156" t="s">
        <v>10</v>
      </c>
      <c r="E5156" t="str">
        <f>"$ 6,731"</f>
        <v>$ 6,731</v>
      </c>
      <c r="F5156">
        <v>303</v>
      </c>
    </row>
    <row r="5157" spans="1:6">
      <c r="A5157" t="s">
        <v>5155</v>
      </c>
      <c r="B5157" t="str">
        <f t="shared" si="227"/>
        <v>0.00087%</v>
      </c>
      <c r="C5157" t="s">
        <v>10</v>
      </c>
      <c r="D5157" t="s">
        <v>10</v>
      </c>
      <c r="E5157" t="str">
        <f>"$ 6,723"</f>
        <v>$ 6,723</v>
      </c>
      <c r="F5157" s="1">
        <v>8472</v>
      </c>
    </row>
    <row r="5158" spans="1:6">
      <c r="A5158" t="s">
        <v>5156</v>
      </c>
      <c r="B5158" t="str">
        <f t="shared" si="227"/>
        <v>0.00087%</v>
      </c>
      <c r="C5158" t="s">
        <v>10</v>
      </c>
      <c r="D5158" t="s">
        <v>10</v>
      </c>
      <c r="E5158" t="str">
        <f>"$ 6,688"</f>
        <v>$ 6,688</v>
      </c>
      <c r="F5158">
        <v>358</v>
      </c>
    </row>
    <row r="5159" spans="1:6">
      <c r="A5159" t="s">
        <v>5157</v>
      </c>
      <c r="B5159" t="str">
        <f t="shared" si="227"/>
        <v>0.00087%</v>
      </c>
      <c r="C5159" t="s">
        <v>10</v>
      </c>
      <c r="D5159" t="s">
        <v>10</v>
      </c>
      <c r="E5159" t="str">
        <f>"$ 6,756"</f>
        <v>$ 6,756</v>
      </c>
      <c r="F5159">
        <v>143</v>
      </c>
    </row>
    <row r="5160" spans="1:6">
      <c r="A5160" t="s">
        <v>5158</v>
      </c>
      <c r="B5160" t="str">
        <f t="shared" si="227"/>
        <v>0.00087%</v>
      </c>
      <c r="C5160" t="s">
        <v>10</v>
      </c>
      <c r="D5160" t="s">
        <v>10</v>
      </c>
      <c r="E5160" t="str">
        <f>"$ 6,726"</f>
        <v>$ 6,726</v>
      </c>
      <c r="F5160">
        <v>584</v>
      </c>
    </row>
    <row r="5161" spans="1:6">
      <c r="A5161" t="s">
        <v>5159</v>
      </c>
      <c r="B5161" t="str">
        <f t="shared" si="227"/>
        <v>0.00087%</v>
      </c>
      <c r="C5161" t="s">
        <v>10</v>
      </c>
      <c r="D5161" t="s">
        <v>10</v>
      </c>
      <c r="E5161" t="str">
        <f>"$ 6,690"</f>
        <v>$ 6,690</v>
      </c>
      <c r="F5161">
        <v>116</v>
      </c>
    </row>
    <row r="5162" spans="1:6">
      <c r="A5162" t="s">
        <v>5160</v>
      </c>
      <c r="B5162" t="str">
        <f t="shared" si="227"/>
        <v>0.00087%</v>
      </c>
      <c r="C5162" t="s">
        <v>10</v>
      </c>
      <c r="D5162" t="s">
        <v>10</v>
      </c>
      <c r="E5162" t="str">
        <f>"$ 6,709"</f>
        <v>$ 6,709</v>
      </c>
      <c r="F5162" s="1">
        <v>16634</v>
      </c>
    </row>
    <row r="5163" spans="1:6">
      <c r="A5163" t="s">
        <v>5161</v>
      </c>
      <c r="B5163" t="str">
        <f t="shared" si="227"/>
        <v>0.00087%</v>
      </c>
      <c r="C5163" t="s">
        <v>10</v>
      </c>
      <c r="D5163" t="s">
        <v>10</v>
      </c>
      <c r="E5163" t="str">
        <f>"$ 6,685"</f>
        <v>$ 6,685</v>
      </c>
      <c r="F5163">
        <v>123</v>
      </c>
    </row>
    <row r="5164" spans="1:6">
      <c r="A5164" t="s">
        <v>5162</v>
      </c>
      <c r="B5164" t="str">
        <f t="shared" si="227"/>
        <v>0.00087%</v>
      </c>
      <c r="C5164" t="s">
        <v>10</v>
      </c>
      <c r="D5164" t="s">
        <v>10</v>
      </c>
      <c r="E5164" t="str">
        <f>"$ 6,687"</f>
        <v>$ 6,687</v>
      </c>
      <c r="F5164">
        <v>180</v>
      </c>
    </row>
    <row r="5165" spans="1:6">
      <c r="A5165" t="s">
        <v>5163</v>
      </c>
      <c r="B5165" t="str">
        <f t="shared" ref="B5165:B5190" si="228">"0.00086%"</f>
        <v>0.00086%</v>
      </c>
      <c r="C5165" t="s">
        <v>10</v>
      </c>
      <c r="D5165" t="s">
        <v>10</v>
      </c>
      <c r="E5165" t="str">
        <f>"$ 6,611"</f>
        <v>$ 6,611</v>
      </c>
      <c r="F5165">
        <v>404</v>
      </c>
    </row>
    <row r="5166" spans="1:6">
      <c r="A5166" t="s">
        <v>5164</v>
      </c>
      <c r="B5166" t="str">
        <f t="shared" si="228"/>
        <v>0.00086%</v>
      </c>
      <c r="C5166" t="s">
        <v>10</v>
      </c>
      <c r="D5166" t="s">
        <v>10</v>
      </c>
      <c r="E5166" t="str">
        <f>"$ 6,604"</f>
        <v>$ 6,604</v>
      </c>
      <c r="F5166" s="1">
        <v>68983</v>
      </c>
    </row>
    <row r="5167" spans="1:6">
      <c r="A5167" t="s">
        <v>5165</v>
      </c>
      <c r="B5167" t="str">
        <f t="shared" si="228"/>
        <v>0.00086%</v>
      </c>
      <c r="C5167" t="s">
        <v>10</v>
      </c>
      <c r="D5167" t="s">
        <v>10</v>
      </c>
      <c r="E5167" t="str">
        <f>"$ 6,630"</f>
        <v>$ 6,630</v>
      </c>
      <c r="F5167" s="1">
        <v>4531</v>
      </c>
    </row>
    <row r="5168" spans="1:6">
      <c r="A5168" t="s">
        <v>5166</v>
      </c>
      <c r="B5168" t="str">
        <f t="shared" si="228"/>
        <v>0.00086%</v>
      </c>
      <c r="C5168" t="s">
        <v>10</v>
      </c>
      <c r="D5168" t="s">
        <v>10</v>
      </c>
      <c r="E5168" t="str">
        <f>"$ 6,668"</f>
        <v>$ 6,668</v>
      </c>
      <c r="F5168">
        <v>524</v>
      </c>
    </row>
    <row r="5169" spans="1:6">
      <c r="A5169" t="s">
        <v>5167</v>
      </c>
      <c r="B5169" t="str">
        <f t="shared" si="228"/>
        <v>0.00086%</v>
      </c>
      <c r="C5169" t="s">
        <v>10</v>
      </c>
      <c r="D5169" t="s">
        <v>10</v>
      </c>
      <c r="E5169" t="str">
        <f>"$ 6,678"</f>
        <v>$ 6,678</v>
      </c>
      <c r="F5169">
        <v>161</v>
      </c>
    </row>
    <row r="5170" spans="1:6">
      <c r="A5170" t="s">
        <v>5168</v>
      </c>
      <c r="B5170" t="str">
        <f t="shared" si="228"/>
        <v>0.00086%</v>
      </c>
      <c r="C5170" t="s">
        <v>10</v>
      </c>
      <c r="D5170" t="s">
        <v>10</v>
      </c>
      <c r="E5170" t="str">
        <f>"$ 6,645"</f>
        <v>$ 6,645</v>
      </c>
      <c r="F5170">
        <v>146</v>
      </c>
    </row>
    <row r="5171" spans="1:6">
      <c r="A5171" t="s">
        <v>5169</v>
      </c>
      <c r="B5171" t="str">
        <f t="shared" si="228"/>
        <v>0.00086%</v>
      </c>
      <c r="C5171" t="s">
        <v>10</v>
      </c>
      <c r="D5171" t="s">
        <v>10</v>
      </c>
      <c r="E5171" t="str">
        <f>"$ 6,650"</f>
        <v>$ 6,650</v>
      </c>
      <c r="F5171" s="1">
        <v>3547</v>
      </c>
    </row>
    <row r="5172" spans="1:6">
      <c r="A5172" t="s">
        <v>5170</v>
      </c>
      <c r="B5172" t="str">
        <f t="shared" si="228"/>
        <v>0.00086%</v>
      </c>
      <c r="C5172" t="s">
        <v>10</v>
      </c>
      <c r="D5172" t="s">
        <v>10</v>
      </c>
      <c r="E5172" t="str">
        <f>"$ 6,605"</f>
        <v>$ 6,605</v>
      </c>
      <c r="F5172">
        <v>327</v>
      </c>
    </row>
    <row r="5173" spans="1:6">
      <c r="A5173" t="s">
        <v>5171</v>
      </c>
      <c r="B5173" t="str">
        <f t="shared" si="228"/>
        <v>0.00086%</v>
      </c>
      <c r="C5173" t="s">
        <v>10</v>
      </c>
      <c r="D5173" t="s">
        <v>10</v>
      </c>
      <c r="E5173" t="str">
        <f>"$ 6,613"</f>
        <v>$ 6,613</v>
      </c>
      <c r="F5173">
        <v>297</v>
      </c>
    </row>
    <row r="5174" spans="1:6">
      <c r="A5174" t="s">
        <v>5172</v>
      </c>
      <c r="B5174" t="str">
        <f t="shared" si="228"/>
        <v>0.00086%</v>
      </c>
      <c r="C5174" t="s">
        <v>10</v>
      </c>
      <c r="D5174" t="s">
        <v>10</v>
      </c>
      <c r="E5174" t="str">
        <f>"$ 6,651"</f>
        <v>$ 6,651</v>
      </c>
      <c r="F5174" s="1">
        <v>3159</v>
      </c>
    </row>
    <row r="5175" spans="1:6">
      <c r="A5175" t="s">
        <v>5173</v>
      </c>
      <c r="B5175" t="str">
        <f t="shared" si="228"/>
        <v>0.00086%</v>
      </c>
      <c r="C5175" t="s">
        <v>10</v>
      </c>
      <c r="D5175" t="s">
        <v>10</v>
      </c>
      <c r="E5175" t="str">
        <f>"$ 6,671"</f>
        <v>$ 6,671</v>
      </c>
      <c r="F5175" s="1">
        <v>3587</v>
      </c>
    </row>
    <row r="5176" spans="1:6">
      <c r="A5176" t="s">
        <v>5174</v>
      </c>
      <c r="B5176" t="str">
        <f t="shared" si="228"/>
        <v>0.00086%</v>
      </c>
      <c r="C5176" t="s">
        <v>10</v>
      </c>
      <c r="D5176" t="s">
        <v>10</v>
      </c>
      <c r="E5176" t="str">
        <f>"$ 6,605"</f>
        <v>$ 6,605</v>
      </c>
      <c r="F5176">
        <v>57</v>
      </c>
    </row>
    <row r="5177" spans="1:6">
      <c r="A5177" t="s">
        <v>5175</v>
      </c>
      <c r="B5177" t="str">
        <f t="shared" si="228"/>
        <v>0.00086%</v>
      </c>
      <c r="C5177" t="s">
        <v>10</v>
      </c>
      <c r="D5177" t="s">
        <v>10</v>
      </c>
      <c r="E5177" t="str">
        <f>"$ 6,623"</f>
        <v>$ 6,623</v>
      </c>
      <c r="F5177">
        <v>489</v>
      </c>
    </row>
    <row r="5178" spans="1:6">
      <c r="A5178" t="s">
        <v>5176</v>
      </c>
      <c r="B5178" t="str">
        <f t="shared" si="228"/>
        <v>0.00086%</v>
      </c>
      <c r="C5178" t="s">
        <v>10</v>
      </c>
      <c r="D5178" t="s">
        <v>10</v>
      </c>
      <c r="E5178" t="str">
        <f>"$ 6,606"</f>
        <v>$ 6,606</v>
      </c>
      <c r="F5178" s="1">
        <v>5077</v>
      </c>
    </row>
    <row r="5179" spans="1:6">
      <c r="A5179" t="s">
        <v>5177</v>
      </c>
      <c r="B5179" t="str">
        <f t="shared" si="228"/>
        <v>0.00086%</v>
      </c>
      <c r="C5179" t="s">
        <v>10</v>
      </c>
      <c r="D5179" t="s">
        <v>10</v>
      </c>
      <c r="E5179" t="str">
        <f>"$ 6,658"</f>
        <v>$ 6,658</v>
      </c>
      <c r="F5179" s="1">
        <v>15665</v>
      </c>
    </row>
    <row r="5180" spans="1:6">
      <c r="A5180" t="s">
        <v>5178</v>
      </c>
      <c r="B5180" t="str">
        <f t="shared" si="228"/>
        <v>0.00086%</v>
      </c>
      <c r="C5180" t="s">
        <v>10</v>
      </c>
      <c r="D5180" t="s">
        <v>10</v>
      </c>
      <c r="E5180" t="str">
        <f>"$ 6,631"</f>
        <v>$ 6,631</v>
      </c>
      <c r="F5180" s="1">
        <v>3288</v>
      </c>
    </row>
    <row r="5181" spans="1:6">
      <c r="A5181" t="s">
        <v>5179</v>
      </c>
      <c r="B5181" t="str">
        <f t="shared" si="228"/>
        <v>0.00086%</v>
      </c>
      <c r="C5181" t="s">
        <v>10</v>
      </c>
      <c r="D5181" t="s">
        <v>10</v>
      </c>
      <c r="E5181" t="str">
        <f>"$ 6,640"</f>
        <v>$ 6,640</v>
      </c>
      <c r="F5181" s="1">
        <v>3867</v>
      </c>
    </row>
    <row r="5182" spans="1:6">
      <c r="A5182" t="s">
        <v>5180</v>
      </c>
      <c r="B5182" t="str">
        <f t="shared" si="228"/>
        <v>0.00086%</v>
      </c>
      <c r="C5182" t="s">
        <v>10</v>
      </c>
      <c r="D5182" t="s">
        <v>10</v>
      </c>
      <c r="E5182" t="str">
        <f>"$ 6,648"</f>
        <v>$ 6,648</v>
      </c>
      <c r="F5182" s="1">
        <v>1569</v>
      </c>
    </row>
    <row r="5183" spans="1:6">
      <c r="A5183" t="s">
        <v>5181</v>
      </c>
      <c r="B5183" t="str">
        <f t="shared" si="228"/>
        <v>0.00086%</v>
      </c>
      <c r="C5183" t="s">
        <v>10</v>
      </c>
      <c r="D5183" t="s">
        <v>10</v>
      </c>
      <c r="E5183" t="str">
        <f>"$ 6,642"</f>
        <v>$ 6,642</v>
      </c>
      <c r="F5183" s="1">
        <v>19149</v>
      </c>
    </row>
    <row r="5184" spans="1:6">
      <c r="A5184" t="s">
        <v>5182</v>
      </c>
      <c r="B5184" t="str">
        <f t="shared" si="228"/>
        <v>0.00086%</v>
      </c>
      <c r="C5184" t="s">
        <v>10</v>
      </c>
      <c r="D5184" t="s">
        <v>10</v>
      </c>
      <c r="E5184" t="str">
        <f>"$ 6,615"</f>
        <v>$ 6,615</v>
      </c>
      <c r="F5184">
        <v>822</v>
      </c>
    </row>
    <row r="5185" spans="1:6">
      <c r="A5185" t="s">
        <v>5183</v>
      </c>
      <c r="B5185" t="str">
        <f t="shared" si="228"/>
        <v>0.00086%</v>
      </c>
      <c r="C5185" t="s">
        <v>10</v>
      </c>
      <c r="D5185" t="s">
        <v>10</v>
      </c>
      <c r="E5185" t="str">
        <f>"$ 6,655"</f>
        <v>$ 6,655</v>
      </c>
      <c r="F5185" s="1">
        <v>1103</v>
      </c>
    </row>
    <row r="5186" spans="1:6">
      <c r="A5186" t="s">
        <v>5184</v>
      </c>
      <c r="B5186" t="str">
        <f t="shared" si="228"/>
        <v>0.00086%</v>
      </c>
      <c r="C5186" t="s">
        <v>10</v>
      </c>
      <c r="D5186" t="s">
        <v>10</v>
      </c>
      <c r="E5186" t="str">
        <f>"$ 6,678"</f>
        <v>$ 6,678</v>
      </c>
      <c r="F5186">
        <v>239</v>
      </c>
    </row>
    <row r="5187" spans="1:6">
      <c r="A5187" t="s">
        <v>5185</v>
      </c>
      <c r="B5187" t="str">
        <f t="shared" si="228"/>
        <v>0.00086%</v>
      </c>
      <c r="C5187" t="s">
        <v>10</v>
      </c>
      <c r="D5187" t="s">
        <v>10</v>
      </c>
      <c r="E5187" t="str">
        <f>"$ 6,628"</f>
        <v>$ 6,628</v>
      </c>
      <c r="F5187" s="1">
        <v>10392</v>
      </c>
    </row>
    <row r="5188" spans="1:6">
      <c r="A5188" t="s">
        <v>5186</v>
      </c>
      <c r="B5188" t="str">
        <f t="shared" si="228"/>
        <v>0.00086%</v>
      </c>
      <c r="C5188" t="s">
        <v>10</v>
      </c>
      <c r="D5188" t="s">
        <v>10</v>
      </c>
      <c r="E5188" t="str">
        <f>"$ 6,603"</f>
        <v>$ 6,603</v>
      </c>
      <c r="F5188">
        <v>234</v>
      </c>
    </row>
    <row r="5189" spans="1:6">
      <c r="A5189" t="s">
        <v>5187</v>
      </c>
      <c r="B5189" t="str">
        <f t="shared" si="228"/>
        <v>0.00086%</v>
      </c>
      <c r="C5189" t="s">
        <v>10</v>
      </c>
      <c r="D5189" t="s">
        <v>10</v>
      </c>
      <c r="E5189" t="str">
        <f>"$ 6,623"</f>
        <v>$ 6,623</v>
      </c>
      <c r="F5189" s="1">
        <v>2622</v>
      </c>
    </row>
    <row r="5190" spans="1:6">
      <c r="A5190" t="s">
        <v>5188</v>
      </c>
      <c r="B5190" t="str">
        <f t="shared" si="228"/>
        <v>0.00086%</v>
      </c>
      <c r="C5190" t="s">
        <v>10</v>
      </c>
      <c r="D5190" t="s">
        <v>10</v>
      </c>
      <c r="E5190" t="str">
        <f>"$ 6,624"</f>
        <v>$ 6,624</v>
      </c>
      <c r="F5190">
        <v>412</v>
      </c>
    </row>
    <row r="5191" spans="1:6">
      <c r="A5191" t="s">
        <v>5189</v>
      </c>
      <c r="B5191" t="str">
        <f t="shared" ref="B5191:B5211" si="229">"0.00085%"</f>
        <v>0.00085%</v>
      </c>
      <c r="C5191" t="s">
        <v>10</v>
      </c>
      <c r="D5191" t="s">
        <v>10</v>
      </c>
      <c r="E5191" t="str">
        <f>"$ 6,588"</f>
        <v>$ 6,588</v>
      </c>
      <c r="F5191">
        <v>736</v>
      </c>
    </row>
    <row r="5192" spans="1:6">
      <c r="A5192" t="s">
        <v>5190</v>
      </c>
      <c r="B5192" t="str">
        <f t="shared" si="229"/>
        <v>0.00085%</v>
      </c>
      <c r="C5192" t="s">
        <v>10</v>
      </c>
      <c r="D5192" t="s">
        <v>10</v>
      </c>
      <c r="E5192" t="str">
        <f>"$ 6,538"</f>
        <v>$ 6,538</v>
      </c>
      <c r="F5192" s="1">
        <v>7253</v>
      </c>
    </row>
    <row r="5193" spans="1:6">
      <c r="A5193" t="s">
        <v>5191</v>
      </c>
      <c r="B5193" t="str">
        <f t="shared" si="229"/>
        <v>0.00085%</v>
      </c>
      <c r="C5193" t="s">
        <v>10</v>
      </c>
      <c r="D5193" t="s">
        <v>10</v>
      </c>
      <c r="E5193" t="str">
        <f>"$ 6,580"</f>
        <v>$ 6,580</v>
      </c>
      <c r="F5193" s="1">
        <v>6120</v>
      </c>
    </row>
    <row r="5194" spans="1:6">
      <c r="A5194" t="s">
        <v>5192</v>
      </c>
      <c r="B5194" t="str">
        <f t="shared" si="229"/>
        <v>0.00085%</v>
      </c>
      <c r="C5194" t="s">
        <v>10</v>
      </c>
      <c r="D5194" t="s">
        <v>10</v>
      </c>
      <c r="E5194" t="str">
        <f>"$ 6,560"</f>
        <v>$ 6,560</v>
      </c>
      <c r="F5194">
        <v>98</v>
      </c>
    </row>
    <row r="5195" spans="1:6">
      <c r="A5195" t="s">
        <v>5193</v>
      </c>
      <c r="B5195" t="str">
        <f t="shared" si="229"/>
        <v>0.00085%</v>
      </c>
      <c r="C5195" t="s">
        <v>10</v>
      </c>
      <c r="D5195" t="s">
        <v>10</v>
      </c>
      <c r="E5195" t="str">
        <f>"$ 6,599"</f>
        <v>$ 6,599</v>
      </c>
      <c r="F5195" s="1">
        <v>8392</v>
      </c>
    </row>
    <row r="5196" spans="1:6">
      <c r="A5196" t="s">
        <v>5194</v>
      </c>
      <c r="B5196" t="str">
        <f t="shared" si="229"/>
        <v>0.00085%</v>
      </c>
      <c r="C5196" t="s">
        <v>10</v>
      </c>
      <c r="D5196" t="s">
        <v>10</v>
      </c>
      <c r="E5196" t="str">
        <f>"$ 6,600"</f>
        <v>$ 6,600</v>
      </c>
      <c r="F5196">
        <v>130</v>
      </c>
    </row>
    <row r="5197" spans="1:6">
      <c r="A5197" t="s">
        <v>5195</v>
      </c>
      <c r="B5197" t="str">
        <f t="shared" si="229"/>
        <v>0.00085%</v>
      </c>
      <c r="C5197" t="s">
        <v>10</v>
      </c>
      <c r="D5197" t="s">
        <v>10</v>
      </c>
      <c r="E5197" t="str">
        <f>"$ 6,554"</f>
        <v>$ 6,554</v>
      </c>
      <c r="F5197">
        <v>192</v>
      </c>
    </row>
    <row r="5198" spans="1:6">
      <c r="A5198" t="s">
        <v>5196</v>
      </c>
      <c r="B5198" t="str">
        <f t="shared" si="229"/>
        <v>0.00085%</v>
      </c>
      <c r="C5198" t="s">
        <v>10</v>
      </c>
      <c r="D5198" t="s">
        <v>10</v>
      </c>
      <c r="E5198" t="str">
        <f>"$ 6,582"</f>
        <v>$ 6,582</v>
      </c>
      <c r="F5198">
        <v>190</v>
      </c>
    </row>
    <row r="5199" spans="1:6">
      <c r="A5199" t="s">
        <v>5197</v>
      </c>
      <c r="B5199" t="str">
        <f t="shared" si="229"/>
        <v>0.00085%</v>
      </c>
      <c r="C5199" t="s">
        <v>10</v>
      </c>
      <c r="D5199" t="s">
        <v>10</v>
      </c>
      <c r="E5199" t="str">
        <f>"$ 6,586"</f>
        <v>$ 6,586</v>
      </c>
      <c r="F5199">
        <v>156</v>
      </c>
    </row>
    <row r="5200" spans="1:6">
      <c r="A5200" t="s">
        <v>5198</v>
      </c>
      <c r="B5200" t="str">
        <f t="shared" si="229"/>
        <v>0.00085%</v>
      </c>
      <c r="C5200" t="s">
        <v>10</v>
      </c>
      <c r="D5200" t="s">
        <v>10</v>
      </c>
      <c r="E5200" t="str">
        <f>"$ 6,568"</f>
        <v>$ 6,568</v>
      </c>
      <c r="F5200">
        <v>693</v>
      </c>
    </row>
    <row r="5201" spans="1:6">
      <c r="A5201" t="s">
        <v>5199</v>
      </c>
      <c r="B5201" t="str">
        <f t="shared" si="229"/>
        <v>0.00085%</v>
      </c>
      <c r="C5201" t="s">
        <v>10</v>
      </c>
      <c r="D5201" t="s">
        <v>10</v>
      </c>
      <c r="E5201" t="str">
        <f>"$ 6,597"</f>
        <v>$ 6,597</v>
      </c>
      <c r="F5201">
        <v>115</v>
      </c>
    </row>
    <row r="5202" spans="1:6">
      <c r="A5202" t="s">
        <v>5200</v>
      </c>
      <c r="B5202" t="str">
        <f t="shared" si="229"/>
        <v>0.00085%</v>
      </c>
      <c r="C5202" t="s">
        <v>10</v>
      </c>
      <c r="D5202" t="s">
        <v>10</v>
      </c>
      <c r="E5202" t="str">
        <f>"$ 6,577"</f>
        <v>$ 6,577</v>
      </c>
      <c r="F5202">
        <v>41</v>
      </c>
    </row>
    <row r="5203" spans="1:6">
      <c r="A5203" t="s">
        <v>5201</v>
      </c>
      <c r="B5203" t="str">
        <f t="shared" si="229"/>
        <v>0.00085%</v>
      </c>
      <c r="C5203" t="s">
        <v>10</v>
      </c>
      <c r="D5203" t="s">
        <v>10</v>
      </c>
      <c r="E5203" t="str">
        <f>"$ 6,529"</f>
        <v>$ 6,529</v>
      </c>
      <c r="F5203">
        <v>198</v>
      </c>
    </row>
    <row r="5204" spans="1:6">
      <c r="A5204" t="s">
        <v>5202</v>
      </c>
      <c r="B5204" t="str">
        <f t="shared" si="229"/>
        <v>0.00085%</v>
      </c>
      <c r="C5204" t="s">
        <v>10</v>
      </c>
      <c r="D5204" t="s">
        <v>10</v>
      </c>
      <c r="E5204" t="str">
        <f>"$ 6,572"</f>
        <v>$ 6,572</v>
      </c>
      <c r="F5204">
        <v>142</v>
      </c>
    </row>
    <row r="5205" spans="1:6">
      <c r="A5205" t="s">
        <v>5203</v>
      </c>
      <c r="B5205" t="str">
        <f t="shared" si="229"/>
        <v>0.00085%</v>
      </c>
      <c r="C5205" t="s">
        <v>10</v>
      </c>
      <c r="D5205" t="s">
        <v>10</v>
      </c>
      <c r="E5205" t="str">
        <f>"$ 6,541"</f>
        <v>$ 6,541</v>
      </c>
      <c r="F5205" s="1">
        <v>3771</v>
      </c>
    </row>
    <row r="5206" spans="1:6">
      <c r="A5206" t="s">
        <v>5204</v>
      </c>
      <c r="B5206" t="str">
        <f t="shared" si="229"/>
        <v>0.00085%</v>
      </c>
      <c r="C5206" t="s">
        <v>10</v>
      </c>
      <c r="D5206" t="s">
        <v>10</v>
      </c>
      <c r="E5206" t="str">
        <f>"$ 6,530"</f>
        <v>$ 6,530</v>
      </c>
      <c r="F5206" s="1">
        <v>6103</v>
      </c>
    </row>
    <row r="5207" spans="1:6">
      <c r="A5207" t="s">
        <v>5205</v>
      </c>
      <c r="B5207" t="str">
        <f t="shared" si="229"/>
        <v>0.00085%</v>
      </c>
      <c r="C5207" t="s">
        <v>10</v>
      </c>
      <c r="D5207" t="s">
        <v>10</v>
      </c>
      <c r="E5207" t="str">
        <f>"$ 6,544"</f>
        <v>$ 6,544</v>
      </c>
      <c r="F5207" s="1">
        <v>1963</v>
      </c>
    </row>
    <row r="5208" spans="1:6">
      <c r="A5208" t="s">
        <v>5206</v>
      </c>
      <c r="B5208" t="str">
        <f t="shared" si="229"/>
        <v>0.00085%</v>
      </c>
      <c r="C5208" t="s">
        <v>10</v>
      </c>
      <c r="D5208" t="s">
        <v>10</v>
      </c>
      <c r="E5208" t="str">
        <f>"$ 6,560"</f>
        <v>$ 6,560</v>
      </c>
      <c r="F5208" s="1">
        <v>1966</v>
      </c>
    </row>
    <row r="5209" spans="1:6">
      <c r="A5209" t="s">
        <v>5207</v>
      </c>
      <c r="B5209" t="str">
        <f t="shared" si="229"/>
        <v>0.00085%</v>
      </c>
      <c r="C5209" t="s">
        <v>10</v>
      </c>
      <c r="D5209" t="s">
        <v>10</v>
      </c>
      <c r="E5209" t="str">
        <f>"$ 6,572"</f>
        <v>$ 6,572</v>
      </c>
      <c r="F5209" s="1">
        <v>43724</v>
      </c>
    </row>
    <row r="5210" spans="1:6">
      <c r="A5210" t="s">
        <v>5208</v>
      </c>
      <c r="B5210" t="str">
        <f t="shared" si="229"/>
        <v>0.00085%</v>
      </c>
      <c r="C5210" t="s">
        <v>10</v>
      </c>
      <c r="D5210" t="s">
        <v>10</v>
      </c>
      <c r="E5210" t="str">
        <f>"$ 6,581"</f>
        <v>$ 6,581</v>
      </c>
      <c r="F5210" s="1">
        <v>7100</v>
      </c>
    </row>
    <row r="5211" spans="1:6">
      <c r="A5211" t="s">
        <v>5209</v>
      </c>
      <c r="B5211" t="str">
        <f t="shared" si="229"/>
        <v>0.00085%</v>
      </c>
      <c r="C5211" t="s">
        <v>10</v>
      </c>
      <c r="D5211" t="s">
        <v>10</v>
      </c>
      <c r="E5211" t="str">
        <f>"$ 6,544"</f>
        <v>$ 6,544</v>
      </c>
      <c r="F5211">
        <v>181</v>
      </c>
    </row>
    <row r="5212" spans="1:6">
      <c r="A5212" t="s">
        <v>5210</v>
      </c>
      <c r="B5212" t="str">
        <f t="shared" ref="B5212:B5235" si="230">"0.00084%"</f>
        <v>0.00084%</v>
      </c>
      <c r="C5212" t="s">
        <v>10</v>
      </c>
      <c r="D5212" t="s">
        <v>10</v>
      </c>
      <c r="E5212" t="str">
        <f>"$ 6,493"</f>
        <v>$ 6,493</v>
      </c>
      <c r="F5212">
        <v>217</v>
      </c>
    </row>
    <row r="5213" spans="1:6">
      <c r="A5213" t="s">
        <v>5211</v>
      </c>
      <c r="B5213" t="str">
        <f t="shared" si="230"/>
        <v>0.00084%</v>
      </c>
      <c r="C5213" t="s">
        <v>10</v>
      </c>
      <c r="D5213" t="s">
        <v>10</v>
      </c>
      <c r="E5213" t="str">
        <f>"$ 6,478"</f>
        <v>$ 6,478</v>
      </c>
      <c r="F5213">
        <v>115</v>
      </c>
    </row>
    <row r="5214" spans="1:6">
      <c r="A5214" t="s">
        <v>5212</v>
      </c>
      <c r="B5214" t="str">
        <f t="shared" si="230"/>
        <v>0.00084%</v>
      </c>
      <c r="C5214" t="s">
        <v>10</v>
      </c>
      <c r="D5214" t="s">
        <v>10</v>
      </c>
      <c r="E5214" t="str">
        <f>"$ 6,522"</f>
        <v>$ 6,522</v>
      </c>
      <c r="F5214">
        <v>692</v>
      </c>
    </row>
    <row r="5215" spans="1:6">
      <c r="A5215" t="s">
        <v>5213</v>
      </c>
      <c r="B5215" t="str">
        <f t="shared" si="230"/>
        <v>0.00084%</v>
      </c>
      <c r="C5215" t="s">
        <v>10</v>
      </c>
      <c r="D5215" t="s">
        <v>10</v>
      </c>
      <c r="E5215" t="str">
        <f>"$ 6,507"</f>
        <v>$ 6,507</v>
      </c>
      <c r="F5215">
        <v>49</v>
      </c>
    </row>
    <row r="5216" spans="1:6">
      <c r="A5216" t="s">
        <v>5214</v>
      </c>
      <c r="B5216" t="str">
        <f t="shared" si="230"/>
        <v>0.00084%</v>
      </c>
      <c r="C5216" t="s">
        <v>10</v>
      </c>
      <c r="D5216" t="s">
        <v>10</v>
      </c>
      <c r="E5216" t="str">
        <f>"$ 6,491"</f>
        <v>$ 6,491</v>
      </c>
      <c r="F5216">
        <v>247</v>
      </c>
    </row>
    <row r="5217" spans="1:6">
      <c r="A5217" t="s">
        <v>5215</v>
      </c>
      <c r="B5217" t="str">
        <f t="shared" si="230"/>
        <v>0.00084%</v>
      </c>
      <c r="C5217" t="s">
        <v>10</v>
      </c>
      <c r="D5217" t="s">
        <v>10</v>
      </c>
      <c r="E5217" t="str">
        <f>"$ 6,463"</f>
        <v>$ 6,463</v>
      </c>
      <c r="F5217" s="1">
        <v>1366</v>
      </c>
    </row>
    <row r="5218" spans="1:6">
      <c r="A5218" t="s">
        <v>5216</v>
      </c>
      <c r="B5218" t="str">
        <f t="shared" si="230"/>
        <v>0.00084%</v>
      </c>
      <c r="C5218" t="s">
        <v>10</v>
      </c>
      <c r="D5218" t="s">
        <v>10</v>
      </c>
      <c r="E5218" t="str">
        <f>"$ 6,512"</f>
        <v>$ 6,512</v>
      </c>
      <c r="F5218">
        <v>297</v>
      </c>
    </row>
    <row r="5219" spans="1:6">
      <c r="A5219" t="s">
        <v>5217</v>
      </c>
      <c r="B5219" t="str">
        <f t="shared" si="230"/>
        <v>0.00084%</v>
      </c>
      <c r="C5219" t="s">
        <v>10</v>
      </c>
      <c r="D5219" t="s">
        <v>10</v>
      </c>
      <c r="E5219" t="str">
        <f>"$ 6,453"</f>
        <v>$ 6,453</v>
      </c>
      <c r="F5219">
        <v>109</v>
      </c>
    </row>
    <row r="5220" spans="1:6">
      <c r="A5220" t="s">
        <v>5218</v>
      </c>
      <c r="B5220" t="str">
        <f t="shared" si="230"/>
        <v>0.00084%</v>
      </c>
      <c r="C5220" t="s">
        <v>10</v>
      </c>
      <c r="D5220" t="s">
        <v>10</v>
      </c>
      <c r="E5220" t="str">
        <f>"$ 6,467"</f>
        <v>$ 6,467</v>
      </c>
      <c r="F5220">
        <v>244</v>
      </c>
    </row>
    <row r="5221" spans="1:6">
      <c r="A5221" t="s">
        <v>5219</v>
      </c>
      <c r="B5221" t="str">
        <f t="shared" si="230"/>
        <v>0.00084%</v>
      </c>
      <c r="C5221" t="s">
        <v>10</v>
      </c>
      <c r="D5221" t="s">
        <v>10</v>
      </c>
      <c r="E5221" t="str">
        <f>"$ 6,469"</f>
        <v>$ 6,469</v>
      </c>
      <c r="F5221">
        <v>71</v>
      </c>
    </row>
    <row r="5222" spans="1:6">
      <c r="A5222" t="s">
        <v>5220</v>
      </c>
      <c r="B5222" t="str">
        <f t="shared" si="230"/>
        <v>0.00084%</v>
      </c>
      <c r="C5222" t="s">
        <v>10</v>
      </c>
      <c r="D5222" t="s">
        <v>10</v>
      </c>
      <c r="E5222" t="str">
        <f>"$ 6,500"</f>
        <v>$ 6,500</v>
      </c>
      <c r="F5222" s="1">
        <v>1245</v>
      </c>
    </row>
    <row r="5223" spans="1:6">
      <c r="A5223" t="s">
        <v>5221</v>
      </c>
      <c r="B5223" t="str">
        <f t="shared" si="230"/>
        <v>0.00084%</v>
      </c>
      <c r="C5223" t="s">
        <v>10</v>
      </c>
      <c r="D5223" t="s">
        <v>10</v>
      </c>
      <c r="E5223" t="str">
        <f>"$ 6,482"</f>
        <v>$ 6,482</v>
      </c>
      <c r="F5223" s="1">
        <v>2567</v>
      </c>
    </row>
    <row r="5224" spans="1:6">
      <c r="A5224" t="s">
        <v>5222</v>
      </c>
      <c r="B5224" t="str">
        <f t="shared" si="230"/>
        <v>0.00084%</v>
      </c>
      <c r="C5224" t="s">
        <v>10</v>
      </c>
      <c r="D5224" t="s">
        <v>10</v>
      </c>
      <c r="E5224" t="str">
        <f>"$ 6,475"</f>
        <v>$ 6,475</v>
      </c>
      <c r="F5224">
        <v>578</v>
      </c>
    </row>
    <row r="5225" spans="1:6">
      <c r="A5225" t="s">
        <v>5223</v>
      </c>
      <c r="B5225" t="str">
        <f t="shared" si="230"/>
        <v>0.00084%</v>
      </c>
      <c r="C5225" t="s">
        <v>10</v>
      </c>
      <c r="D5225" t="s">
        <v>10</v>
      </c>
      <c r="E5225" t="str">
        <f>"$ 6,499"</f>
        <v>$ 6,499</v>
      </c>
      <c r="F5225">
        <v>228</v>
      </c>
    </row>
    <row r="5226" spans="1:6">
      <c r="A5226" t="s">
        <v>5224</v>
      </c>
      <c r="B5226" t="str">
        <f t="shared" si="230"/>
        <v>0.00084%</v>
      </c>
      <c r="C5226" t="s">
        <v>10</v>
      </c>
      <c r="D5226" t="s">
        <v>10</v>
      </c>
      <c r="E5226" t="str">
        <f>"$ 6,470"</f>
        <v>$ 6,470</v>
      </c>
      <c r="F5226">
        <v>492</v>
      </c>
    </row>
    <row r="5227" spans="1:6">
      <c r="A5227" t="s">
        <v>5225</v>
      </c>
      <c r="B5227" t="str">
        <f t="shared" si="230"/>
        <v>0.00084%</v>
      </c>
      <c r="C5227" t="s">
        <v>10</v>
      </c>
      <c r="D5227" t="s">
        <v>10</v>
      </c>
      <c r="E5227" t="str">
        <f>"$ 6,474"</f>
        <v>$ 6,474</v>
      </c>
      <c r="F5227">
        <v>134</v>
      </c>
    </row>
    <row r="5228" spans="1:6">
      <c r="A5228" t="s">
        <v>5226</v>
      </c>
      <c r="B5228" t="str">
        <f t="shared" si="230"/>
        <v>0.00084%</v>
      </c>
      <c r="C5228" t="s">
        <v>10</v>
      </c>
      <c r="D5228" t="s">
        <v>10</v>
      </c>
      <c r="E5228" t="str">
        <f>"$ 6,458"</f>
        <v>$ 6,458</v>
      </c>
      <c r="F5228" s="1">
        <v>61395</v>
      </c>
    </row>
    <row r="5229" spans="1:6">
      <c r="A5229" t="s">
        <v>5227</v>
      </c>
      <c r="B5229" t="str">
        <f t="shared" si="230"/>
        <v>0.00084%</v>
      </c>
      <c r="C5229" t="s">
        <v>10</v>
      </c>
      <c r="D5229" t="s">
        <v>10</v>
      </c>
      <c r="E5229" t="str">
        <f>"$ 6,520"</f>
        <v>$ 6,520</v>
      </c>
      <c r="F5229">
        <v>10</v>
      </c>
    </row>
    <row r="5230" spans="1:6">
      <c r="A5230" t="s">
        <v>5228</v>
      </c>
      <c r="B5230" t="str">
        <f t="shared" si="230"/>
        <v>0.00084%</v>
      </c>
      <c r="C5230" t="s">
        <v>10</v>
      </c>
      <c r="D5230" t="s">
        <v>10</v>
      </c>
      <c r="E5230" t="str">
        <f>"$ 6,524"</f>
        <v>$ 6,524</v>
      </c>
      <c r="F5230">
        <v>96</v>
      </c>
    </row>
    <row r="5231" spans="1:6">
      <c r="A5231" t="s">
        <v>5229</v>
      </c>
      <c r="B5231" t="str">
        <f t="shared" si="230"/>
        <v>0.00084%</v>
      </c>
      <c r="C5231" t="s">
        <v>10</v>
      </c>
      <c r="D5231" t="s">
        <v>10</v>
      </c>
      <c r="E5231" t="str">
        <f>"$ 6,486"</f>
        <v>$ 6,486</v>
      </c>
      <c r="F5231" s="1">
        <v>1452</v>
      </c>
    </row>
    <row r="5232" spans="1:6">
      <c r="A5232" t="s">
        <v>5230</v>
      </c>
      <c r="B5232" t="str">
        <f t="shared" si="230"/>
        <v>0.00084%</v>
      </c>
      <c r="C5232" t="s">
        <v>10</v>
      </c>
      <c r="D5232" t="s">
        <v>10</v>
      </c>
      <c r="E5232" t="str">
        <f>"$ 6,485"</f>
        <v>$ 6,485</v>
      </c>
      <c r="F5232">
        <v>112</v>
      </c>
    </row>
    <row r="5233" spans="1:6">
      <c r="A5233" t="s">
        <v>5231</v>
      </c>
      <c r="B5233" t="str">
        <f t="shared" si="230"/>
        <v>0.00084%</v>
      </c>
      <c r="C5233" t="s">
        <v>10</v>
      </c>
      <c r="D5233" t="s">
        <v>10</v>
      </c>
      <c r="E5233" t="str">
        <f>"$ 6,524"</f>
        <v>$ 6,524</v>
      </c>
      <c r="F5233">
        <v>13</v>
      </c>
    </row>
    <row r="5234" spans="1:6">
      <c r="A5234" t="s">
        <v>5232</v>
      </c>
      <c r="B5234" t="str">
        <f t="shared" si="230"/>
        <v>0.00084%</v>
      </c>
      <c r="C5234" t="s">
        <v>10</v>
      </c>
      <c r="D5234" t="s">
        <v>10</v>
      </c>
      <c r="E5234" t="str">
        <f>"$ 6,512"</f>
        <v>$ 6,512</v>
      </c>
      <c r="F5234">
        <v>23</v>
      </c>
    </row>
    <row r="5235" spans="1:6">
      <c r="A5235" t="s">
        <v>5233</v>
      </c>
      <c r="B5235" t="str">
        <f t="shared" si="230"/>
        <v>0.00084%</v>
      </c>
      <c r="C5235" t="s">
        <v>10</v>
      </c>
      <c r="D5235" t="s">
        <v>10</v>
      </c>
      <c r="E5235" t="str">
        <f>"$ 6,453"</f>
        <v>$ 6,453</v>
      </c>
      <c r="F5235">
        <v>80</v>
      </c>
    </row>
    <row r="5236" spans="1:6">
      <c r="A5236" t="s">
        <v>5234</v>
      </c>
      <c r="B5236" t="str">
        <f t="shared" ref="B5236:B5263" si="231">"0.00083%"</f>
        <v>0.00083%</v>
      </c>
      <c r="C5236" t="s">
        <v>10</v>
      </c>
      <c r="D5236" t="s">
        <v>10</v>
      </c>
      <c r="E5236" t="str">
        <f>"$ 6,439"</f>
        <v>$ 6,439</v>
      </c>
      <c r="F5236">
        <v>891</v>
      </c>
    </row>
    <row r="5237" spans="1:6">
      <c r="A5237" t="s">
        <v>5235</v>
      </c>
      <c r="B5237" t="str">
        <f t="shared" si="231"/>
        <v>0.00083%</v>
      </c>
      <c r="C5237" t="s">
        <v>10</v>
      </c>
      <c r="D5237" t="s">
        <v>10</v>
      </c>
      <c r="E5237" t="str">
        <f>"$ 6,382"</f>
        <v>$ 6,382</v>
      </c>
      <c r="F5237" s="1">
        <v>2293</v>
      </c>
    </row>
    <row r="5238" spans="1:6">
      <c r="A5238" t="s">
        <v>5236</v>
      </c>
      <c r="B5238" t="str">
        <f t="shared" si="231"/>
        <v>0.00083%</v>
      </c>
      <c r="C5238" t="s">
        <v>10</v>
      </c>
      <c r="D5238" t="s">
        <v>10</v>
      </c>
      <c r="E5238" t="str">
        <f>"$ 6,397"</f>
        <v>$ 6,397</v>
      </c>
      <c r="F5238">
        <v>228</v>
      </c>
    </row>
    <row r="5239" spans="1:6">
      <c r="A5239" t="s">
        <v>5237</v>
      </c>
      <c r="B5239" t="str">
        <f t="shared" si="231"/>
        <v>0.00083%</v>
      </c>
      <c r="C5239" t="s">
        <v>10</v>
      </c>
      <c r="D5239" t="s">
        <v>10</v>
      </c>
      <c r="E5239" t="str">
        <f>"$ 6,418"</f>
        <v>$ 6,418</v>
      </c>
      <c r="F5239">
        <v>20</v>
      </c>
    </row>
    <row r="5240" spans="1:6">
      <c r="A5240" t="s">
        <v>5238</v>
      </c>
      <c r="B5240" t="str">
        <f t="shared" si="231"/>
        <v>0.00083%</v>
      </c>
      <c r="C5240" t="s">
        <v>10</v>
      </c>
      <c r="D5240" t="s">
        <v>10</v>
      </c>
      <c r="E5240" t="str">
        <f>"$ 6,443"</f>
        <v>$ 6,443</v>
      </c>
      <c r="F5240">
        <v>99</v>
      </c>
    </row>
    <row r="5241" spans="1:6">
      <c r="A5241" t="s">
        <v>5239</v>
      </c>
      <c r="B5241" t="str">
        <f t="shared" si="231"/>
        <v>0.00083%</v>
      </c>
      <c r="C5241" t="s">
        <v>10</v>
      </c>
      <c r="D5241" t="s">
        <v>10</v>
      </c>
      <c r="E5241" t="str">
        <f>"$ 6,395"</f>
        <v>$ 6,395</v>
      </c>
      <c r="F5241">
        <v>412</v>
      </c>
    </row>
    <row r="5242" spans="1:6">
      <c r="A5242" t="s">
        <v>5240</v>
      </c>
      <c r="B5242" t="str">
        <f t="shared" si="231"/>
        <v>0.00083%</v>
      </c>
      <c r="C5242" t="s">
        <v>10</v>
      </c>
      <c r="D5242" t="s">
        <v>10</v>
      </c>
      <c r="E5242" t="str">
        <f>"$ 6,383"</f>
        <v>$ 6,383</v>
      </c>
      <c r="F5242">
        <v>132</v>
      </c>
    </row>
    <row r="5243" spans="1:6">
      <c r="A5243" t="s">
        <v>5241</v>
      </c>
      <c r="B5243" t="str">
        <f t="shared" si="231"/>
        <v>0.00083%</v>
      </c>
      <c r="C5243" t="s">
        <v>10</v>
      </c>
      <c r="D5243" t="s">
        <v>10</v>
      </c>
      <c r="E5243" t="str">
        <f>"$ 6,403"</f>
        <v>$ 6,403</v>
      </c>
      <c r="F5243">
        <v>242</v>
      </c>
    </row>
    <row r="5244" spans="1:6">
      <c r="A5244" t="s">
        <v>5242</v>
      </c>
      <c r="B5244" t="str">
        <f t="shared" si="231"/>
        <v>0.00083%</v>
      </c>
      <c r="C5244" t="s">
        <v>10</v>
      </c>
      <c r="D5244" t="s">
        <v>10</v>
      </c>
      <c r="E5244" t="str">
        <f>"$ 6,413"</f>
        <v>$ 6,413</v>
      </c>
      <c r="F5244">
        <v>157</v>
      </c>
    </row>
    <row r="5245" spans="1:6">
      <c r="A5245" t="s">
        <v>5243</v>
      </c>
      <c r="B5245" t="str">
        <f t="shared" si="231"/>
        <v>0.00083%</v>
      </c>
      <c r="C5245" t="s">
        <v>10</v>
      </c>
      <c r="D5245" t="s">
        <v>10</v>
      </c>
      <c r="E5245" t="str">
        <f>"$ 6,447"</f>
        <v>$ 6,447</v>
      </c>
      <c r="F5245">
        <v>730</v>
      </c>
    </row>
    <row r="5246" spans="1:6">
      <c r="A5246" t="s">
        <v>5244</v>
      </c>
      <c r="B5246" t="str">
        <f t="shared" si="231"/>
        <v>0.00083%</v>
      </c>
      <c r="C5246" t="s">
        <v>10</v>
      </c>
      <c r="D5246" t="s">
        <v>10</v>
      </c>
      <c r="E5246" t="str">
        <f>"$ 6,400"</f>
        <v>$ 6,400</v>
      </c>
      <c r="F5246" s="1">
        <v>1166</v>
      </c>
    </row>
    <row r="5247" spans="1:6">
      <c r="A5247" t="s">
        <v>5245</v>
      </c>
      <c r="B5247" t="str">
        <f t="shared" si="231"/>
        <v>0.00083%</v>
      </c>
      <c r="C5247" t="s">
        <v>10</v>
      </c>
      <c r="D5247" t="s">
        <v>10</v>
      </c>
      <c r="E5247" t="str">
        <f>"$ 6,386"</f>
        <v>$ 6,386</v>
      </c>
      <c r="F5247" s="1">
        <v>1556</v>
      </c>
    </row>
    <row r="5248" spans="1:6">
      <c r="A5248" t="s">
        <v>5246</v>
      </c>
      <c r="B5248" t="str">
        <f t="shared" si="231"/>
        <v>0.00083%</v>
      </c>
      <c r="C5248" t="s">
        <v>10</v>
      </c>
      <c r="D5248" t="s">
        <v>10</v>
      </c>
      <c r="E5248" t="str">
        <f>"$ 6,419"</f>
        <v>$ 6,419</v>
      </c>
      <c r="F5248">
        <v>675</v>
      </c>
    </row>
    <row r="5249" spans="1:6">
      <c r="A5249" t="s">
        <v>5247</v>
      </c>
      <c r="B5249" t="str">
        <f t="shared" si="231"/>
        <v>0.00083%</v>
      </c>
      <c r="C5249" t="s">
        <v>10</v>
      </c>
      <c r="D5249" t="s">
        <v>10</v>
      </c>
      <c r="E5249" t="str">
        <f>"$ 6,390"</f>
        <v>$ 6,390</v>
      </c>
      <c r="F5249">
        <v>32</v>
      </c>
    </row>
    <row r="5250" spans="1:6">
      <c r="A5250" t="s">
        <v>5248</v>
      </c>
      <c r="B5250" t="str">
        <f t="shared" si="231"/>
        <v>0.00083%</v>
      </c>
      <c r="C5250" t="s">
        <v>10</v>
      </c>
      <c r="D5250" t="s">
        <v>10</v>
      </c>
      <c r="E5250" t="str">
        <f>"$ 6,428"</f>
        <v>$ 6,428</v>
      </c>
      <c r="F5250" s="1">
        <v>4545</v>
      </c>
    </row>
    <row r="5251" spans="1:6">
      <c r="A5251" t="s">
        <v>5249</v>
      </c>
      <c r="B5251" t="str">
        <f t="shared" si="231"/>
        <v>0.00083%</v>
      </c>
      <c r="C5251" t="s">
        <v>10</v>
      </c>
      <c r="D5251" t="s">
        <v>10</v>
      </c>
      <c r="E5251" t="str">
        <f>"$ 6,375"</f>
        <v>$ 6,375</v>
      </c>
      <c r="F5251">
        <v>165</v>
      </c>
    </row>
    <row r="5252" spans="1:6">
      <c r="A5252" t="s">
        <v>5250</v>
      </c>
      <c r="B5252" t="str">
        <f t="shared" si="231"/>
        <v>0.00083%</v>
      </c>
      <c r="C5252" t="s">
        <v>10</v>
      </c>
      <c r="D5252" t="s">
        <v>10</v>
      </c>
      <c r="E5252" t="str">
        <f>"$ 6,372"</f>
        <v>$ 6,372</v>
      </c>
      <c r="F5252">
        <v>159</v>
      </c>
    </row>
    <row r="5253" spans="1:6">
      <c r="A5253" t="s">
        <v>5251</v>
      </c>
      <c r="B5253" t="str">
        <f t="shared" si="231"/>
        <v>0.00083%</v>
      </c>
      <c r="C5253" t="s">
        <v>10</v>
      </c>
      <c r="D5253" t="s">
        <v>10</v>
      </c>
      <c r="E5253" t="str">
        <f>"$ 6,417"</f>
        <v>$ 6,417</v>
      </c>
      <c r="F5253">
        <v>190</v>
      </c>
    </row>
    <row r="5254" spans="1:6">
      <c r="A5254" t="s">
        <v>5252</v>
      </c>
      <c r="B5254" t="str">
        <f t="shared" si="231"/>
        <v>0.00083%</v>
      </c>
      <c r="C5254" t="s">
        <v>10</v>
      </c>
      <c r="D5254" t="s">
        <v>10</v>
      </c>
      <c r="E5254" t="str">
        <f>"$ 6,424"</f>
        <v>$ 6,424</v>
      </c>
      <c r="F5254">
        <v>829</v>
      </c>
    </row>
    <row r="5255" spans="1:6">
      <c r="A5255" t="s">
        <v>5253</v>
      </c>
      <c r="B5255" t="str">
        <f t="shared" si="231"/>
        <v>0.00083%</v>
      </c>
      <c r="C5255" t="s">
        <v>10</v>
      </c>
      <c r="D5255" t="s">
        <v>10</v>
      </c>
      <c r="E5255" t="str">
        <f>"$ 6,411"</f>
        <v>$ 6,411</v>
      </c>
      <c r="F5255">
        <v>202</v>
      </c>
    </row>
    <row r="5256" spans="1:6">
      <c r="A5256" t="s">
        <v>5254</v>
      </c>
      <c r="B5256" t="str">
        <f t="shared" si="231"/>
        <v>0.00083%</v>
      </c>
      <c r="C5256" t="s">
        <v>10</v>
      </c>
      <c r="D5256" t="s">
        <v>10</v>
      </c>
      <c r="E5256" t="str">
        <f>"$ 6,383"</f>
        <v>$ 6,383</v>
      </c>
      <c r="F5256">
        <v>169</v>
      </c>
    </row>
    <row r="5257" spans="1:6">
      <c r="A5257" t="s">
        <v>5255</v>
      </c>
      <c r="B5257" t="str">
        <f t="shared" si="231"/>
        <v>0.00083%</v>
      </c>
      <c r="C5257" t="s">
        <v>10</v>
      </c>
      <c r="D5257" t="s">
        <v>10</v>
      </c>
      <c r="E5257" t="str">
        <f>"$ 6,426"</f>
        <v>$ 6,426</v>
      </c>
      <c r="F5257">
        <v>20</v>
      </c>
    </row>
    <row r="5258" spans="1:6">
      <c r="A5258" t="s">
        <v>5256</v>
      </c>
      <c r="B5258" t="str">
        <f t="shared" si="231"/>
        <v>0.00083%</v>
      </c>
      <c r="C5258" t="s">
        <v>10</v>
      </c>
      <c r="D5258" t="s">
        <v>10</v>
      </c>
      <c r="E5258" t="str">
        <f>"$ 6,424"</f>
        <v>$ 6,424</v>
      </c>
      <c r="F5258">
        <v>290</v>
      </c>
    </row>
    <row r="5259" spans="1:6">
      <c r="A5259" t="s">
        <v>5257</v>
      </c>
      <c r="B5259" t="str">
        <f t="shared" si="231"/>
        <v>0.00083%</v>
      </c>
      <c r="C5259" t="s">
        <v>10</v>
      </c>
      <c r="D5259" t="s">
        <v>10</v>
      </c>
      <c r="E5259" t="str">
        <f>"$ 6,398"</f>
        <v>$ 6,398</v>
      </c>
      <c r="F5259">
        <v>466</v>
      </c>
    </row>
    <row r="5260" spans="1:6">
      <c r="A5260" t="s">
        <v>5258</v>
      </c>
      <c r="B5260" t="str">
        <f t="shared" si="231"/>
        <v>0.00083%</v>
      </c>
      <c r="C5260" t="s">
        <v>10</v>
      </c>
      <c r="D5260" t="s">
        <v>10</v>
      </c>
      <c r="E5260" t="str">
        <f>"$ 6,425"</f>
        <v>$ 6,425</v>
      </c>
      <c r="F5260" s="1">
        <v>4305</v>
      </c>
    </row>
    <row r="5261" spans="1:6">
      <c r="A5261" t="s">
        <v>5259</v>
      </c>
      <c r="B5261" t="str">
        <f t="shared" si="231"/>
        <v>0.00083%</v>
      </c>
      <c r="C5261" t="s">
        <v>10</v>
      </c>
      <c r="D5261" t="s">
        <v>10</v>
      </c>
      <c r="E5261" t="str">
        <f>"$ 6,397"</f>
        <v>$ 6,397</v>
      </c>
      <c r="F5261">
        <v>691</v>
      </c>
    </row>
    <row r="5262" spans="1:6">
      <c r="A5262" t="s">
        <v>5260</v>
      </c>
      <c r="B5262" t="str">
        <f t="shared" si="231"/>
        <v>0.00083%</v>
      </c>
      <c r="C5262" t="s">
        <v>10</v>
      </c>
      <c r="D5262" t="s">
        <v>10</v>
      </c>
      <c r="E5262" t="str">
        <f>"$ 6,435"</f>
        <v>$ 6,435</v>
      </c>
      <c r="F5262">
        <v>165</v>
      </c>
    </row>
    <row r="5263" spans="1:6">
      <c r="A5263" t="s">
        <v>5261</v>
      </c>
      <c r="B5263" t="str">
        <f t="shared" si="231"/>
        <v>0.00083%</v>
      </c>
      <c r="C5263" t="s">
        <v>10</v>
      </c>
      <c r="D5263" t="s">
        <v>10</v>
      </c>
      <c r="E5263" t="str">
        <f>"$ 6,399"</f>
        <v>$ 6,399</v>
      </c>
      <c r="F5263">
        <v>125</v>
      </c>
    </row>
    <row r="5264" spans="1:6">
      <c r="A5264" t="s">
        <v>5262</v>
      </c>
      <c r="B5264" t="str">
        <f t="shared" ref="B5264:B5289" si="232">"0.00082%"</f>
        <v>0.00082%</v>
      </c>
      <c r="C5264" t="s">
        <v>10</v>
      </c>
      <c r="D5264" t="s">
        <v>10</v>
      </c>
      <c r="E5264" t="str">
        <f>"$ 6,305"</f>
        <v>$ 6,305</v>
      </c>
      <c r="F5264" s="1">
        <v>9557</v>
      </c>
    </row>
    <row r="5265" spans="1:6">
      <c r="A5265" t="s">
        <v>5263</v>
      </c>
      <c r="B5265" t="str">
        <f t="shared" si="232"/>
        <v>0.00082%</v>
      </c>
      <c r="C5265" t="s">
        <v>10</v>
      </c>
      <c r="D5265" t="s">
        <v>10</v>
      </c>
      <c r="E5265" t="str">
        <f>"$ 6,324"</f>
        <v>$ 6,324</v>
      </c>
      <c r="F5265">
        <v>247</v>
      </c>
    </row>
    <row r="5266" spans="1:6">
      <c r="A5266" t="s">
        <v>5264</v>
      </c>
      <c r="B5266" t="str">
        <f t="shared" si="232"/>
        <v>0.00082%</v>
      </c>
      <c r="C5266" t="s">
        <v>10</v>
      </c>
      <c r="D5266" t="s">
        <v>10</v>
      </c>
      <c r="E5266" t="str">
        <f>"$ 6,348"</f>
        <v>$ 6,348</v>
      </c>
      <c r="F5266" s="1">
        <v>2153</v>
      </c>
    </row>
    <row r="5267" spans="1:6">
      <c r="A5267" t="s">
        <v>5265</v>
      </c>
      <c r="B5267" t="str">
        <f t="shared" si="232"/>
        <v>0.00082%</v>
      </c>
      <c r="C5267" t="s">
        <v>10</v>
      </c>
      <c r="D5267" t="s">
        <v>10</v>
      </c>
      <c r="E5267" t="str">
        <f>"$ 6,309"</f>
        <v>$ 6,309</v>
      </c>
      <c r="F5267" s="1">
        <v>4063</v>
      </c>
    </row>
    <row r="5268" spans="1:6">
      <c r="A5268" t="s">
        <v>5266</v>
      </c>
      <c r="B5268" t="str">
        <f t="shared" si="232"/>
        <v>0.00082%</v>
      </c>
      <c r="C5268" t="s">
        <v>10</v>
      </c>
      <c r="D5268" t="s">
        <v>10</v>
      </c>
      <c r="E5268" t="str">
        <f>"$ 6,330"</f>
        <v>$ 6,330</v>
      </c>
      <c r="F5268" s="1">
        <v>5485</v>
      </c>
    </row>
    <row r="5269" spans="1:6">
      <c r="A5269" t="s">
        <v>5267</v>
      </c>
      <c r="B5269" t="str">
        <f t="shared" si="232"/>
        <v>0.00082%</v>
      </c>
      <c r="C5269" t="s">
        <v>10</v>
      </c>
      <c r="D5269" t="s">
        <v>10</v>
      </c>
      <c r="E5269" t="str">
        <f>"$ 6,319"</f>
        <v>$ 6,319</v>
      </c>
      <c r="F5269">
        <v>417</v>
      </c>
    </row>
    <row r="5270" spans="1:6">
      <c r="A5270" t="s">
        <v>5268</v>
      </c>
      <c r="B5270" t="str">
        <f t="shared" si="232"/>
        <v>0.00082%</v>
      </c>
      <c r="C5270" t="s">
        <v>10</v>
      </c>
      <c r="D5270" t="s">
        <v>10</v>
      </c>
      <c r="E5270" t="str">
        <f>"$ 6,336"</f>
        <v>$ 6,336</v>
      </c>
      <c r="F5270">
        <v>66</v>
      </c>
    </row>
    <row r="5271" spans="1:6">
      <c r="A5271" t="s">
        <v>5269</v>
      </c>
      <c r="B5271" t="str">
        <f t="shared" si="232"/>
        <v>0.00082%</v>
      </c>
      <c r="C5271" t="s">
        <v>10</v>
      </c>
      <c r="D5271" t="s">
        <v>10</v>
      </c>
      <c r="E5271" t="str">
        <f>"$ 6,369"</f>
        <v>$ 6,369</v>
      </c>
      <c r="F5271">
        <v>297</v>
      </c>
    </row>
    <row r="5272" spans="1:6">
      <c r="A5272" t="s">
        <v>5270</v>
      </c>
      <c r="B5272" t="str">
        <f t="shared" si="232"/>
        <v>0.00082%</v>
      </c>
      <c r="C5272" t="s">
        <v>10</v>
      </c>
      <c r="D5272" t="s">
        <v>10</v>
      </c>
      <c r="E5272" t="str">
        <f>"$ 6,348"</f>
        <v>$ 6,348</v>
      </c>
      <c r="F5272" s="1">
        <v>1093</v>
      </c>
    </row>
    <row r="5273" spans="1:6">
      <c r="A5273" t="s">
        <v>5271</v>
      </c>
      <c r="B5273" t="str">
        <f t="shared" si="232"/>
        <v>0.00082%</v>
      </c>
      <c r="C5273" t="s">
        <v>10</v>
      </c>
      <c r="D5273" t="s">
        <v>10</v>
      </c>
      <c r="E5273" t="str">
        <f>"$ 6,350"</f>
        <v>$ 6,350</v>
      </c>
      <c r="F5273">
        <v>264</v>
      </c>
    </row>
    <row r="5274" spans="1:6">
      <c r="A5274" t="s">
        <v>5272</v>
      </c>
      <c r="B5274" t="str">
        <f t="shared" si="232"/>
        <v>0.00082%</v>
      </c>
      <c r="C5274" t="s">
        <v>10</v>
      </c>
      <c r="D5274" t="s">
        <v>10</v>
      </c>
      <c r="E5274" t="str">
        <f>"$ 6,359"</f>
        <v>$ 6,359</v>
      </c>
      <c r="F5274" s="1">
        <v>1875</v>
      </c>
    </row>
    <row r="5275" spans="1:6">
      <c r="A5275" t="s">
        <v>5273</v>
      </c>
      <c r="B5275" t="str">
        <f t="shared" si="232"/>
        <v>0.00082%</v>
      </c>
      <c r="C5275" t="s">
        <v>10</v>
      </c>
      <c r="D5275" t="s">
        <v>10</v>
      </c>
      <c r="E5275" t="str">
        <f>"$ 6,315"</f>
        <v>$ 6,315</v>
      </c>
      <c r="F5275">
        <v>6</v>
      </c>
    </row>
    <row r="5276" spans="1:6">
      <c r="A5276" t="s">
        <v>5274</v>
      </c>
      <c r="B5276" t="str">
        <f t="shared" si="232"/>
        <v>0.00082%</v>
      </c>
      <c r="C5276" t="s">
        <v>10</v>
      </c>
      <c r="D5276" t="s">
        <v>10</v>
      </c>
      <c r="E5276" t="str">
        <f>"$ 6,318"</f>
        <v>$ 6,318</v>
      </c>
      <c r="F5276" s="1">
        <v>1500</v>
      </c>
    </row>
    <row r="5277" spans="1:6">
      <c r="A5277" t="s">
        <v>5275</v>
      </c>
      <c r="B5277" t="str">
        <f t="shared" si="232"/>
        <v>0.00082%</v>
      </c>
      <c r="C5277" t="s">
        <v>10</v>
      </c>
      <c r="D5277" t="s">
        <v>10</v>
      </c>
      <c r="E5277" t="str">
        <f>"$ 6,326"</f>
        <v>$ 6,326</v>
      </c>
      <c r="F5277">
        <v>165</v>
      </c>
    </row>
    <row r="5278" spans="1:6">
      <c r="A5278" t="s">
        <v>5276</v>
      </c>
      <c r="B5278" t="str">
        <f t="shared" si="232"/>
        <v>0.00082%</v>
      </c>
      <c r="C5278" t="s">
        <v>10</v>
      </c>
      <c r="D5278" t="s">
        <v>10</v>
      </c>
      <c r="E5278" t="str">
        <f>"$ 6,330"</f>
        <v>$ 6,330</v>
      </c>
      <c r="F5278">
        <v>858</v>
      </c>
    </row>
    <row r="5279" spans="1:6">
      <c r="A5279" t="s">
        <v>5277</v>
      </c>
      <c r="B5279" t="str">
        <f t="shared" si="232"/>
        <v>0.00082%</v>
      </c>
      <c r="C5279" t="s">
        <v>10</v>
      </c>
      <c r="D5279" t="s">
        <v>10</v>
      </c>
      <c r="E5279" t="str">
        <f>"$ 6,313"</f>
        <v>$ 6,313</v>
      </c>
      <c r="F5279" s="1">
        <v>1267</v>
      </c>
    </row>
    <row r="5280" spans="1:6">
      <c r="A5280" t="s">
        <v>5278</v>
      </c>
      <c r="B5280" t="str">
        <f t="shared" si="232"/>
        <v>0.00082%</v>
      </c>
      <c r="C5280" t="s">
        <v>10</v>
      </c>
      <c r="D5280" t="s">
        <v>10</v>
      </c>
      <c r="E5280" t="str">
        <f>"$ 6,355"</f>
        <v>$ 6,355</v>
      </c>
      <c r="F5280">
        <v>220</v>
      </c>
    </row>
    <row r="5281" spans="1:6">
      <c r="A5281" t="s">
        <v>5279</v>
      </c>
      <c r="B5281" t="str">
        <f t="shared" si="232"/>
        <v>0.00082%</v>
      </c>
      <c r="C5281" t="s">
        <v>10</v>
      </c>
      <c r="D5281" t="s">
        <v>10</v>
      </c>
      <c r="E5281" t="str">
        <f>"$ 6,338"</f>
        <v>$ 6,338</v>
      </c>
      <c r="F5281">
        <v>214</v>
      </c>
    </row>
    <row r="5282" spans="1:6">
      <c r="A5282" t="s">
        <v>5280</v>
      </c>
      <c r="B5282" t="str">
        <f t="shared" si="232"/>
        <v>0.00082%</v>
      </c>
      <c r="C5282" t="s">
        <v>10</v>
      </c>
      <c r="D5282" t="s">
        <v>10</v>
      </c>
      <c r="E5282" t="str">
        <f>"$ 6,303"</f>
        <v>$ 6,303</v>
      </c>
      <c r="F5282">
        <v>148</v>
      </c>
    </row>
    <row r="5283" spans="1:6">
      <c r="A5283" t="s">
        <v>5281</v>
      </c>
      <c r="B5283" t="str">
        <f t="shared" si="232"/>
        <v>0.00082%</v>
      </c>
      <c r="C5283" t="s">
        <v>10</v>
      </c>
      <c r="D5283" t="s">
        <v>10</v>
      </c>
      <c r="E5283" t="str">
        <f>"$ 6,298"</f>
        <v>$ 6,298</v>
      </c>
      <c r="F5283">
        <v>388</v>
      </c>
    </row>
    <row r="5284" spans="1:6">
      <c r="A5284" t="s">
        <v>5282</v>
      </c>
      <c r="B5284" t="str">
        <f t="shared" si="232"/>
        <v>0.00082%</v>
      </c>
      <c r="C5284" t="s">
        <v>10</v>
      </c>
      <c r="D5284" t="s">
        <v>10</v>
      </c>
      <c r="E5284" t="str">
        <f>"$ 6,369"</f>
        <v>$ 6,369</v>
      </c>
      <c r="F5284">
        <v>214</v>
      </c>
    </row>
    <row r="5285" spans="1:6">
      <c r="A5285" t="s">
        <v>5283</v>
      </c>
      <c r="B5285" t="str">
        <f t="shared" si="232"/>
        <v>0.00082%</v>
      </c>
      <c r="C5285" t="s">
        <v>10</v>
      </c>
      <c r="D5285" t="s">
        <v>10</v>
      </c>
      <c r="E5285" t="str">
        <f>"$ 6,348"</f>
        <v>$ 6,348</v>
      </c>
      <c r="F5285">
        <v>295</v>
      </c>
    </row>
    <row r="5286" spans="1:6">
      <c r="A5286" t="s">
        <v>5284</v>
      </c>
      <c r="B5286" t="str">
        <f t="shared" si="232"/>
        <v>0.00082%</v>
      </c>
      <c r="C5286" t="s">
        <v>10</v>
      </c>
      <c r="D5286" t="s">
        <v>10</v>
      </c>
      <c r="E5286" t="str">
        <f>"$ 6,320"</f>
        <v>$ 6,320</v>
      </c>
      <c r="F5286" s="1">
        <v>6696</v>
      </c>
    </row>
    <row r="5287" spans="1:6">
      <c r="A5287" t="s">
        <v>5285</v>
      </c>
      <c r="B5287" t="str">
        <f t="shared" si="232"/>
        <v>0.00082%</v>
      </c>
      <c r="C5287" t="s">
        <v>10</v>
      </c>
      <c r="D5287" t="s">
        <v>10</v>
      </c>
      <c r="E5287" t="str">
        <f>"$ 6,339"</f>
        <v>$ 6,339</v>
      </c>
      <c r="F5287">
        <v>249</v>
      </c>
    </row>
    <row r="5288" spans="1:6">
      <c r="A5288" t="s">
        <v>5286</v>
      </c>
      <c r="B5288" t="str">
        <f t="shared" si="232"/>
        <v>0.00082%</v>
      </c>
      <c r="C5288" t="s">
        <v>10</v>
      </c>
      <c r="D5288" t="s">
        <v>10</v>
      </c>
      <c r="E5288" t="str">
        <f>"$ 6,346"</f>
        <v>$ 6,346</v>
      </c>
      <c r="F5288" s="1">
        <v>1072</v>
      </c>
    </row>
    <row r="5289" spans="1:6">
      <c r="A5289" t="s">
        <v>5287</v>
      </c>
      <c r="B5289" t="str">
        <f t="shared" si="232"/>
        <v>0.00082%</v>
      </c>
      <c r="C5289" t="s">
        <v>10</v>
      </c>
      <c r="D5289" t="s">
        <v>10</v>
      </c>
      <c r="E5289" t="str">
        <f>"$ 6,323"</f>
        <v>$ 6,323</v>
      </c>
      <c r="F5289">
        <v>485</v>
      </c>
    </row>
    <row r="5290" spans="1:6">
      <c r="A5290" t="s">
        <v>5288</v>
      </c>
      <c r="B5290" t="str">
        <f t="shared" ref="B5290:B5324" si="233">"0.00081%"</f>
        <v>0.00081%</v>
      </c>
      <c r="C5290" t="s">
        <v>10</v>
      </c>
      <c r="D5290" t="s">
        <v>10</v>
      </c>
      <c r="E5290" t="str">
        <f>"$ 6,252"</f>
        <v>$ 6,252</v>
      </c>
      <c r="F5290" s="1">
        <v>1761</v>
      </c>
    </row>
    <row r="5291" spans="1:6">
      <c r="A5291" t="s">
        <v>5289</v>
      </c>
      <c r="B5291" t="str">
        <f t="shared" si="233"/>
        <v>0.00081%</v>
      </c>
      <c r="C5291" t="s">
        <v>10</v>
      </c>
      <c r="D5291" t="s">
        <v>10</v>
      </c>
      <c r="E5291" t="str">
        <f>"$ 6,279"</f>
        <v>$ 6,279</v>
      </c>
      <c r="F5291">
        <v>531</v>
      </c>
    </row>
    <row r="5292" spans="1:6">
      <c r="A5292" t="s">
        <v>5290</v>
      </c>
      <c r="B5292" t="str">
        <f t="shared" si="233"/>
        <v>0.00081%</v>
      </c>
      <c r="C5292" t="s">
        <v>10</v>
      </c>
      <c r="D5292" t="s">
        <v>10</v>
      </c>
      <c r="E5292" t="str">
        <f>"$ 6,221"</f>
        <v>$ 6,221</v>
      </c>
      <c r="F5292">
        <v>206</v>
      </c>
    </row>
    <row r="5293" spans="1:6">
      <c r="A5293" t="s">
        <v>5291</v>
      </c>
      <c r="B5293" t="str">
        <f t="shared" si="233"/>
        <v>0.00081%</v>
      </c>
      <c r="C5293" t="s">
        <v>10</v>
      </c>
      <c r="D5293" t="s">
        <v>10</v>
      </c>
      <c r="E5293" t="str">
        <f>"$ 6,264"</f>
        <v>$ 6,264</v>
      </c>
      <c r="F5293">
        <v>4</v>
      </c>
    </row>
    <row r="5294" spans="1:6">
      <c r="A5294" t="s">
        <v>5292</v>
      </c>
      <c r="B5294" t="str">
        <f t="shared" si="233"/>
        <v>0.00081%</v>
      </c>
      <c r="C5294" t="s">
        <v>10</v>
      </c>
      <c r="D5294" t="s">
        <v>10</v>
      </c>
      <c r="E5294" t="str">
        <f>"$ 6,241"</f>
        <v>$ 6,241</v>
      </c>
      <c r="F5294" s="1">
        <v>2072</v>
      </c>
    </row>
    <row r="5295" spans="1:6">
      <c r="A5295" t="s">
        <v>5293</v>
      </c>
      <c r="B5295" t="str">
        <f t="shared" si="233"/>
        <v>0.00081%</v>
      </c>
      <c r="C5295" t="s">
        <v>10</v>
      </c>
      <c r="D5295" t="s">
        <v>10</v>
      </c>
      <c r="E5295" t="str">
        <f>"$ 6,228"</f>
        <v>$ 6,228</v>
      </c>
      <c r="F5295" s="1">
        <v>8513</v>
      </c>
    </row>
    <row r="5296" spans="1:6">
      <c r="A5296" t="s">
        <v>5294</v>
      </c>
      <c r="B5296" t="str">
        <f t="shared" si="233"/>
        <v>0.00081%</v>
      </c>
      <c r="C5296" t="s">
        <v>10</v>
      </c>
      <c r="D5296" t="s">
        <v>10</v>
      </c>
      <c r="E5296" t="str">
        <f>"$ 6,265"</f>
        <v>$ 6,265</v>
      </c>
      <c r="F5296">
        <v>307</v>
      </c>
    </row>
    <row r="5297" spans="1:6">
      <c r="A5297" t="s">
        <v>5295</v>
      </c>
      <c r="B5297" t="str">
        <f t="shared" si="233"/>
        <v>0.00081%</v>
      </c>
      <c r="C5297" t="s">
        <v>10</v>
      </c>
      <c r="D5297" t="s">
        <v>10</v>
      </c>
      <c r="E5297" t="str">
        <f>"$ 6,240"</f>
        <v>$ 6,240</v>
      </c>
      <c r="F5297" s="1">
        <v>1956</v>
      </c>
    </row>
    <row r="5298" spans="1:6">
      <c r="A5298" t="s">
        <v>5296</v>
      </c>
      <c r="B5298" t="str">
        <f t="shared" si="233"/>
        <v>0.00081%</v>
      </c>
      <c r="C5298" t="s">
        <v>10</v>
      </c>
      <c r="D5298" t="s">
        <v>10</v>
      </c>
      <c r="E5298" t="str">
        <f>"$ 6,247"</f>
        <v>$ 6,247</v>
      </c>
      <c r="F5298" s="1">
        <v>1076</v>
      </c>
    </row>
    <row r="5299" spans="1:6">
      <c r="A5299" t="s">
        <v>5297</v>
      </c>
      <c r="B5299" t="str">
        <f t="shared" si="233"/>
        <v>0.00081%</v>
      </c>
      <c r="C5299" t="s">
        <v>10</v>
      </c>
      <c r="D5299" t="s">
        <v>10</v>
      </c>
      <c r="E5299" t="str">
        <f>"$ 6,289"</f>
        <v>$ 6,289</v>
      </c>
      <c r="F5299">
        <v>382</v>
      </c>
    </row>
    <row r="5300" spans="1:6">
      <c r="A5300" t="s">
        <v>5298</v>
      </c>
      <c r="B5300" t="str">
        <f t="shared" si="233"/>
        <v>0.00081%</v>
      </c>
      <c r="C5300" t="s">
        <v>10</v>
      </c>
      <c r="D5300" t="s">
        <v>10</v>
      </c>
      <c r="E5300" t="str">
        <f>"$ 6,268"</f>
        <v>$ 6,268</v>
      </c>
      <c r="F5300">
        <v>47</v>
      </c>
    </row>
    <row r="5301" spans="1:6">
      <c r="A5301" t="s">
        <v>5299</v>
      </c>
      <c r="B5301" t="str">
        <f t="shared" si="233"/>
        <v>0.00081%</v>
      </c>
      <c r="C5301" t="s">
        <v>10</v>
      </c>
      <c r="D5301" t="s">
        <v>10</v>
      </c>
      <c r="E5301" t="str">
        <f>"$ 6,245"</f>
        <v>$ 6,245</v>
      </c>
      <c r="F5301" s="1">
        <v>1277</v>
      </c>
    </row>
    <row r="5302" spans="1:6">
      <c r="A5302" t="s">
        <v>5300</v>
      </c>
      <c r="B5302" t="str">
        <f t="shared" si="233"/>
        <v>0.00081%</v>
      </c>
      <c r="C5302" t="s">
        <v>10</v>
      </c>
      <c r="D5302" t="s">
        <v>10</v>
      </c>
      <c r="E5302" t="str">
        <f>"$ 6,217"</f>
        <v>$ 6,217</v>
      </c>
      <c r="F5302">
        <v>138</v>
      </c>
    </row>
    <row r="5303" spans="1:6">
      <c r="A5303" t="s">
        <v>5301</v>
      </c>
      <c r="B5303" t="str">
        <f t="shared" si="233"/>
        <v>0.00081%</v>
      </c>
      <c r="C5303" t="s">
        <v>10</v>
      </c>
      <c r="D5303" t="s">
        <v>10</v>
      </c>
      <c r="E5303" t="str">
        <f>"$ 6,221"</f>
        <v>$ 6,221</v>
      </c>
      <c r="F5303" s="1">
        <v>1344</v>
      </c>
    </row>
    <row r="5304" spans="1:6">
      <c r="A5304" t="s">
        <v>5302</v>
      </c>
      <c r="B5304" t="str">
        <f t="shared" si="233"/>
        <v>0.00081%</v>
      </c>
      <c r="C5304" t="s">
        <v>10</v>
      </c>
      <c r="D5304" t="s">
        <v>10</v>
      </c>
      <c r="E5304" t="str">
        <f>"$ 6,284"</f>
        <v>$ 6,284</v>
      </c>
      <c r="F5304">
        <v>231</v>
      </c>
    </row>
    <row r="5305" spans="1:6">
      <c r="A5305" t="s">
        <v>5303</v>
      </c>
      <c r="B5305" t="str">
        <f t="shared" si="233"/>
        <v>0.00081%</v>
      </c>
      <c r="C5305" t="s">
        <v>10</v>
      </c>
      <c r="D5305" t="s">
        <v>10</v>
      </c>
      <c r="E5305" t="str">
        <f>"$ 6,275"</f>
        <v>$ 6,275</v>
      </c>
      <c r="F5305">
        <v>930</v>
      </c>
    </row>
    <row r="5306" spans="1:6">
      <c r="A5306" t="s">
        <v>5304</v>
      </c>
      <c r="B5306" t="str">
        <f t="shared" si="233"/>
        <v>0.00081%</v>
      </c>
      <c r="C5306" t="s">
        <v>10</v>
      </c>
      <c r="D5306" t="s">
        <v>10</v>
      </c>
      <c r="E5306" t="str">
        <f>"$ 6,268"</f>
        <v>$ 6,268</v>
      </c>
      <c r="F5306">
        <v>493</v>
      </c>
    </row>
    <row r="5307" spans="1:6">
      <c r="A5307" t="s">
        <v>5305</v>
      </c>
      <c r="B5307" t="str">
        <f t="shared" si="233"/>
        <v>0.00081%</v>
      </c>
      <c r="C5307" t="s">
        <v>10</v>
      </c>
      <c r="D5307" t="s">
        <v>10</v>
      </c>
      <c r="E5307" t="str">
        <f>"$ 6,264"</f>
        <v>$ 6,264</v>
      </c>
      <c r="F5307" s="1">
        <v>11382</v>
      </c>
    </row>
    <row r="5308" spans="1:6">
      <c r="A5308" t="s">
        <v>5306</v>
      </c>
      <c r="B5308" t="str">
        <f t="shared" si="233"/>
        <v>0.00081%</v>
      </c>
      <c r="C5308" t="s">
        <v>10</v>
      </c>
      <c r="D5308" t="s">
        <v>10</v>
      </c>
      <c r="E5308" t="str">
        <f>"$ 6,255"</f>
        <v>$ 6,255</v>
      </c>
      <c r="F5308">
        <v>577</v>
      </c>
    </row>
    <row r="5309" spans="1:6">
      <c r="A5309" t="s">
        <v>5307</v>
      </c>
      <c r="B5309" t="str">
        <f t="shared" si="233"/>
        <v>0.00081%</v>
      </c>
      <c r="C5309" t="s">
        <v>10</v>
      </c>
      <c r="D5309" t="s">
        <v>10</v>
      </c>
      <c r="E5309" t="str">
        <f>"$ 6,219"</f>
        <v>$ 6,219</v>
      </c>
      <c r="F5309">
        <v>13</v>
      </c>
    </row>
    <row r="5310" spans="1:6">
      <c r="A5310" t="s">
        <v>5308</v>
      </c>
      <c r="B5310" t="str">
        <f t="shared" si="233"/>
        <v>0.00081%</v>
      </c>
      <c r="C5310" t="s">
        <v>10</v>
      </c>
      <c r="D5310" t="s">
        <v>10</v>
      </c>
      <c r="E5310" t="str">
        <f>"$ 6,275"</f>
        <v>$ 6,275</v>
      </c>
      <c r="F5310">
        <v>223</v>
      </c>
    </row>
    <row r="5311" spans="1:6">
      <c r="A5311" t="s">
        <v>5309</v>
      </c>
      <c r="B5311" t="str">
        <f t="shared" si="233"/>
        <v>0.00081%</v>
      </c>
      <c r="C5311" t="s">
        <v>10</v>
      </c>
      <c r="D5311" t="s">
        <v>10</v>
      </c>
      <c r="E5311" t="str">
        <f>"$ 6,229"</f>
        <v>$ 6,229</v>
      </c>
      <c r="F5311">
        <v>191</v>
      </c>
    </row>
    <row r="5312" spans="1:6">
      <c r="A5312" t="s">
        <v>5310</v>
      </c>
      <c r="B5312" t="str">
        <f t="shared" si="233"/>
        <v>0.00081%</v>
      </c>
      <c r="C5312" t="s">
        <v>10</v>
      </c>
      <c r="D5312" t="s">
        <v>10</v>
      </c>
      <c r="E5312" t="str">
        <f>"$ 6,284"</f>
        <v>$ 6,284</v>
      </c>
      <c r="F5312" s="1">
        <v>3134</v>
      </c>
    </row>
    <row r="5313" spans="1:6">
      <c r="A5313" t="s">
        <v>5311</v>
      </c>
      <c r="B5313" t="str">
        <f t="shared" si="233"/>
        <v>0.00081%</v>
      </c>
      <c r="C5313" t="s">
        <v>10</v>
      </c>
      <c r="D5313" t="s">
        <v>10</v>
      </c>
      <c r="E5313" t="str">
        <f>"$ 6,265"</f>
        <v>$ 6,265</v>
      </c>
      <c r="F5313" s="1">
        <v>8248</v>
      </c>
    </row>
    <row r="5314" spans="1:6">
      <c r="A5314" t="s">
        <v>5312</v>
      </c>
      <c r="B5314" t="str">
        <f t="shared" si="233"/>
        <v>0.00081%</v>
      </c>
      <c r="C5314" t="s">
        <v>10</v>
      </c>
      <c r="D5314" t="s">
        <v>10</v>
      </c>
      <c r="E5314" t="str">
        <f>"$ 6,279"</f>
        <v>$ 6,279</v>
      </c>
      <c r="F5314" s="1">
        <v>35897</v>
      </c>
    </row>
    <row r="5315" spans="1:6">
      <c r="A5315" t="s">
        <v>5313</v>
      </c>
      <c r="B5315" t="str">
        <f t="shared" si="233"/>
        <v>0.00081%</v>
      </c>
      <c r="C5315" t="s">
        <v>10</v>
      </c>
      <c r="D5315" t="s">
        <v>10</v>
      </c>
      <c r="E5315" t="str">
        <f>"$ 6,236"</f>
        <v>$ 6,236</v>
      </c>
      <c r="F5315">
        <v>501</v>
      </c>
    </row>
    <row r="5316" spans="1:6">
      <c r="A5316" t="s">
        <v>5314</v>
      </c>
      <c r="B5316" t="str">
        <f t="shared" si="233"/>
        <v>0.00081%</v>
      </c>
      <c r="C5316" t="s">
        <v>10</v>
      </c>
      <c r="D5316" t="s">
        <v>10</v>
      </c>
      <c r="E5316" t="str">
        <f>"$ 6,220"</f>
        <v>$ 6,220</v>
      </c>
      <c r="F5316" s="1">
        <v>1474</v>
      </c>
    </row>
    <row r="5317" spans="1:6">
      <c r="A5317" t="s">
        <v>5315</v>
      </c>
      <c r="B5317" t="str">
        <f t="shared" si="233"/>
        <v>0.00081%</v>
      </c>
      <c r="C5317" t="s">
        <v>10</v>
      </c>
      <c r="D5317" t="s">
        <v>10</v>
      </c>
      <c r="E5317" t="str">
        <f>"$ 6,259"</f>
        <v>$ 6,259</v>
      </c>
      <c r="F5317" s="1">
        <v>2482</v>
      </c>
    </row>
    <row r="5318" spans="1:6">
      <c r="A5318" t="s">
        <v>5316</v>
      </c>
      <c r="B5318" t="str">
        <f t="shared" si="233"/>
        <v>0.00081%</v>
      </c>
      <c r="C5318" t="s">
        <v>10</v>
      </c>
      <c r="D5318" t="s">
        <v>10</v>
      </c>
      <c r="E5318" t="str">
        <f>"$ 6,226"</f>
        <v>$ 6,226</v>
      </c>
      <c r="F5318" s="1">
        <v>3570</v>
      </c>
    </row>
    <row r="5319" spans="1:6">
      <c r="A5319" t="s">
        <v>5317</v>
      </c>
      <c r="B5319" t="str">
        <f t="shared" si="233"/>
        <v>0.00081%</v>
      </c>
      <c r="C5319" t="s">
        <v>10</v>
      </c>
      <c r="D5319" t="s">
        <v>10</v>
      </c>
      <c r="E5319" t="str">
        <f>"$ 6,236"</f>
        <v>$ 6,236</v>
      </c>
      <c r="F5319">
        <v>122</v>
      </c>
    </row>
    <row r="5320" spans="1:6">
      <c r="A5320" t="s">
        <v>5318</v>
      </c>
      <c r="B5320" t="str">
        <f t="shared" si="233"/>
        <v>0.00081%</v>
      </c>
      <c r="C5320" t="s">
        <v>10</v>
      </c>
      <c r="D5320" t="s">
        <v>10</v>
      </c>
      <c r="E5320" t="str">
        <f>"$ 6,248"</f>
        <v>$ 6,248</v>
      </c>
      <c r="F5320">
        <v>285</v>
      </c>
    </row>
    <row r="5321" spans="1:6">
      <c r="A5321" t="s">
        <v>5319</v>
      </c>
      <c r="B5321" t="str">
        <f t="shared" si="233"/>
        <v>0.00081%</v>
      </c>
      <c r="C5321" t="s">
        <v>10</v>
      </c>
      <c r="D5321" t="s">
        <v>10</v>
      </c>
      <c r="E5321" t="str">
        <f>"$ 6,225"</f>
        <v>$ 6,225</v>
      </c>
      <c r="F5321" s="1">
        <v>6098</v>
      </c>
    </row>
    <row r="5322" spans="1:6">
      <c r="A5322" t="s">
        <v>5320</v>
      </c>
      <c r="B5322" t="str">
        <f t="shared" si="233"/>
        <v>0.00081%</v>
      </c>
      <c r="C5322" t="s">
        <v>10</v>
      </c>
      <c r="D5322" t="s">
        <v>10</v>
      </c>
      <c r="E5322" t="str">
        <f>"$ 6,284"</f>
        <v>$ 6,284</v>
      </c>
      <c r="F5322" s="1">
        <v>1333</v>
      </c>
    </row>
    <row r="5323" spans="1:6">
      <c r="A5323" t="s">
        <v>5321</v>
      </c>
      <c r="B5323" t="str">
        <f t="shared" si="233"/>
        <v>0.00081%</v>
      </c>
      <c r="C5323" t="s">
        <v>10</v>
      </c>
      <c r="D5323" t="s">
        <v>10</v>
      </c>
      <c r="E5323" t="str">
        <f>"$ 6,275"</f>
        <v>$ 6,275</v>
      </c>
      <c r="F5323">
        <v>55</v>
      </c>
    </row>
    <row r="5324" spans="1:6">
      <c r="A5324" t="s">
        <v>5322</v>
      </c>
      <c r="B5324" t="str">
        <f t="shared" si="233"/>
        <v>0.00081%</v>
      </c>
      <c r="C5324" t="s">
        <v>10</v>
      </c>
      <c r="D5324" t="s">
        <v>10</v>
      </c>
      <c r="E5324" t="str">
        <f>"$ 6,223"</f>
        <v>$ 6,223</v>
      </c>
      <c r="F5324">
        <v>372</v>
      </c>
    </row>
    <row r="5325" spans="1:6">
      <c r="A5325" t="s">
        <v>5323</v>
      </c>
      <c r="B5325" t="str">
        <f t="shared" ref="B5325:B5353" si="234">"0.00080%"</f>
        <v>0.00080%</v>
      </c>
      <c r="C5325" t="s">
        <v>10</v>
      </c>
      <c r="D5325" t="s">
        <v>10</v>
      </c>
      <c r="E5325" t="str">
        <f>"$ 6,157"</f>
        <v>$ 6,157</v>
      </c>
      <c r="F5325">
        <v>841</v>
      </c>
    </row>
    <row r="5326" spans="1:6">
      <c r="A5326" t="s">
        <v>5324</v>
      </c>
      <c r="B5326" t="str">
        <f t="shared" si="234"/>
        <v>0.00080%</v>
      </c>
      <c r="C5326" t="s">
        <v>10</v>
      </c>
      <c r="D5326" t="s">
        <v>10</v>
      </c>
      <c r="E5326" t="str">
        <f>"$ 6,174"</f>
        <v>$ 6,174</v>
      </c>
      <c r="F5326" s="1">
        <v>1595</v>
      </c>
    </row>
    <row r="5327" spans="1:6">
      <c r="A5327" t="s">
        <v>5325</v>
      </c>
      <c r="B5327" t="str">
        <f t="shared" si="234"/>
        <v>0.00080%</v>
      </c>
      <c r="C5327" t="s">
        <v>10</v>
      </c>
      <c r="D5327" t="s">
        <v>10</v>
      </c>
      <c r="E5327" t="str">
        <f>"$ 6,177"</f>
        <v>$ 6,177</v>
      </c>
      <c r="F5327" s="1">
        <v>13090</v>
      </c>
    </row>
    <row r="5328" spans="1:6">
      <c r="A5328" t="s">
        <v>5326</v>
      </c>
      <c r="B5328" t="str">
        <f t="shared" si="234"/>
        <v>0.00080%</v>
      </c>
      <c r="C5328" t="s">
        <v>10</v>
      </c>
      <c r="D5328" t="s">
        <v>10</v>
      </c>
      <c r="E5328" t="str">
        <f>"$ 6,177"</f>
        <v>$ 6,177</v>
      </c>
      <c r="F5328" s="1">
        <v>1032</v>
      </c>
    </row>
    <row r="5329" spans="1:6">
      <c r="A5329" t="s">
        <v>5327</v>
      </c>
      <c r="B5329" t="str">
        <f t="shared" si="234"/>
        <v>0.00080%</v>
      </c>
      <c r="C5329" t="s">
        <v>10</v>
      </c>
      <c r="D5329" t="s">
        <v>10</v>
      </c>
      <c r="E5329" t="str">
        <f>"$ 6,159"</f>
        <v>$ 6,159</v>
      </c>
      <c r="F5329" s="1">
        <v>1872</v>
      </c>
    </row>
    <row r="5330" spans="1:6">
      <c r="A5330" t="s">
        <v>5328</v>
      </c>
      <c r="B5330" t="str">
        <f t="shared" si="234"/>
        <v>0.00080%</v>
      </c>
      <c r="C5330" t="s">
        <v>10</v>
      </c>
      <c r="D5330" t="s">
        <v>10</v>
      </c>
      <c r="E5330" t="str">
        <f>"$ 6,140"</f>
        <v>$ 6,140</v>
      </c>
      <c r="F5330">
        <v>137</v>
      </c>
    </row>
    <row r="5331" spans="1:6">
      <c r="A5331" t="s">
        <v>5329</v>
      </c>
      <c r="B5331" t="str">
        <f t="shared" si="234"/>
        <v>0.00080%</v>
      </c>
      <c r="C5331" t="s">
        <v>10</v>
      </c>
      <c r="D5331" t="s">
        <v>10</v>
      </c>
      <c r="E5331" t="str">
        <f>"$ 6,186"</f>
        <v>$ 6,186</v>
      </c>
      <c r="F5331">
        <v>148</v>
      </c>
    </row>
    <row r="5332" spans="1:6">
      <c r="A5332" t="s">
        <v>5330</v>
      </c>
      <c r="B5332" t="str">
        <f t="shared" si="234"/>
        <v>0.00080%</v>
      </c>
      <c r="C5332" t="s">
        <v>10</v>
      </c>
      <c r="D5332" t="s">
        <v>10</v>
      </c>
      <c r="E5332" t="str">
        <f>"$ 6,150"</f>
        <v>$ 6,150</v>
      </c>
      <c r="F5332">
        <v>297</v>
      </c>
    </row>
    <row r="5333" spans="1:6">
      <c r="A5333" t="s">
        <v>5331</v>
      </c>
      <c r="B5333" t="str">
        <f t="shared" si="234"/>
        <v>0.00080%</v>
      </c>
      <c r="C5333" t="s">
        <v>10</v>
      </c>
      <c r="D5333" t="s">
        <v>10</v>
      </c>
      <c r="E5333" t="str">
        <f>"$ 6,203"</f>
        <v>$ 6,203</v>
      </c>
      <c r="F5333" s="1">
        <v>2873</v>
      </c>
    </row>
    <row r="5334" spans="1:6">
      <c r="A5334" t="s">
        <v>5332</v>
      </c>
      <c r="B5334" t="str">
        <f t="shared" si="234"/>
        <v>0.00080%</v>
      </c>
      <c r="C5334" t="s">
        <v>10</v>
      </c>
      <c r="D5334" t="s">
        <v>10</v>
      </c>
      <c r="E5334" t="str">
        <f>"$ 6,142"</f>
        <v>$ 6,142</v>
      </c>
      <c r="F5334">
        <v>53</v>
      </c>
    </row>
    <row r="5335" spans="1:6">
      <c r="A5335" t="s">
        <v>5333</v>
      </c>
      <c r="B5335" t="str">
        <f t="shared" si="234"/>
        <v>0.00080%</v>
      </c>
      <c r="C5335" t="s">
        <v>10</v>
      </c>
      <c r="D5335" t="s">
        <v>10</v>
      </c>
      <c r="E5335" t="str">
        <f>"$ 6,204"</f>
        <v>$ 6,204</v>
      </c>
      <c r="F5335">
        <v>742</v>
      </c>
    </row>
    <row r="5336" spans="1:6">
      <c r="A5336" t="s">
        <v>5334</v>
      </c>
      <c r="B5336" t="str">
        <f t="shared" si="234"/>
        <v>0.00080%</v>
      </c>
      <c r="C5336" t="s">
        <v>10</v>
      </c>
      <c r="D5336" t="s">
        <v>10</v>
      </c>
      <c r="E5336" t="str">
        <f>"$ 6,199"</f>
        <v>$ 6,199</v>
      </c>
      <c r="F5336">
        <v>272</v>
      </c>
    </row>
    <row r="5337" spans="1:6">
      <c r="A5337" t="s">
        <v>5335</v>
      </c>
      <c r="B5337" t="str">
        <f t="shared" si="234"/>
        <v>0.00080%</v>
      </c>
      <c r="C5337" t="s">
        <v>10</v>
      </c>
      <c r="D5337" t="s">
        <v>10</v>
      </c>
      <c r="E5337" t="str">
        <f>"$ 6,154"</f>
        <v>$ 6,154</v>
      </c>
      <c r="F5337" s="1">
        <v>9285</v>
      </c>
    </row>
    <row r="5338" spans="1:6">
      <c r="A5338" t="s">
        <v>5336</v>
      </c>
      <c r="B5338" t="str">
        <f t="shared" si="234"/>
        <v>0.00080%</v>
      </c>
      <c r="C5338" t="s">
        <v>10</v>
      </c>
      <c r="D5338" t="s">
        <v>10</v>
      </c>
      <c r="E5338" t="str">
        <f>"$ 6,199"</f>
        <v>$ 6,199</v>
      </c>
      <c r="F5338" s="1">
        <v>39935</v>
      </c>
    </row>
    <row r="5339" spans="1:6">
      <c r="A5339" t="s">
        <v>5337</v>
      </c>
      <c r="B5339" t="str">
        <f t="shared" si="234"/>
        <v>0.00080%</v>
      </c>
      <c r="C5339" t="s">
        <v>10</v>
      </c>
      <c r="D5339" t="s">
        <v>10</v>
      </c>
      <c r="E5339" t="str">
        <f>"$ 6,185"</f>
        <v>$ 6,185</v>
      </c>
      <c r="F5339">
        <v>70</v>
      </c>
    </row>
    <row r="5340" spans="1:6">
      <c r="A5340" t="s">
        <v>5338</v>
      </c>
      <c r="B5340" t="str">
        <f t="shared" si="234"/>
        <v>0.00080%</v>
      </c>
      <c r="C5340" t="s">
        <v>10</v>
      </c>
      <c r="D5340" t="s">
        <v>10</v>
      </c>
      <c r="E5340" t="str">
        <f>"$ 6,160"</f>
        <v>$ 6,160</v>
      </c>
      <c r="F5340" s="1">
        <v>4851</v>
      </c>
    </row>
    <row r="5341" spans="1:6">
      <c r="A5341" t="s">
        <v>5339</v>
      </c>
      <c r="B5341" t="str">
        <f t="shared" si="234"/>
        <v>0.00080%</v>
      </c>
      <c r="C5341" t="s">
        <v>10</v>
      </c>
      <c r="D5341" t="s">
        <v>10</v>
      </c>
      <c r="E5341" t="str">
        <f>"$ 6,163"</f>
        <v>$ 6,163</v>
      </c>
      <c r="F5341">
        <v>289</v>
      </c>
    </row>
    <row r="5342" spans="1:6">
      <c r="A5342" t="s">
        <v>5340</v>
      </c>
      <c r="B5342" t="str">
        <f t="shared" si="234"/>
        <v>0.00080%</v>
      </c>
      <c r="C5342" t="s">
        <v>10</v>
      </c>
      <c r="D5342" t="s">
        <v>10</v>
      </c>
      <c r="E5342" t="str">
        <f>"$ 6,188"</f>
        <v>$ 6,188</v>
      </c>
      <c r="F5342">
        <v>427</v>
      </c>
    </row>
    <row r="5343" spans="1:6">
      <c r="A5343" t="s">
        <v>5341</v>
      </c>
      <c r="B5343" t="str">
        <f t="shared" si="234"/>
        <v>0.00080%</v>
      </c>
      <c r="C5343" t="s">
        <v>10</v>
      </c>
      <c r="D5343" t="s">
        <v>10</v>
      </c>
      <c r="E5343" t="str">
        <f>"$ 6,152"</f>
        <v>$ 6,152</v>
      </c>
      <c r="F5343" s="1">
        <v>2165</v>
      </c>
    </row>
    <row r="5344" spans="1:6">
      <c r="A5344" t="s">
        <v>5342</v>
      </c>
      <c r="B5344" t="str">
        <f t="shared" si="234"/>
        <v>0.00080%</v>
      </c>
      <c r="C5344" t="s">
        <v>10</v>
      </c>
      <c r="D5344" t="s">
        <v>10</v>
      </c>
      <c r="E5344" t="str">
        <f>"$ 6,160"</f>
        <v>$ 6,160</v>
      </c>
      <c r="F5344">
        <v>253</v>
      </c>
    </row>
    <row r="5345" spans="1:6">
      <c r="A5345" t="s">
        <v>5343</v>
      </c>
      <c r="B5345" t="str">
        <f t="shared" si="234"/>
        <v>0.00080%</v>
      </c>
      <c r="C5345" t="s">
        <v>10</v>
      </c>
      <c r="D5345" t="s">
        <v>10</v>
      </c>
      <c r="E5345" t="str">
        <f>"$ 6,209"</f>
        <v>$ 6,209</v>
      </c>
      <c r="F5345">
        <v>149</v>
      </c>
    </row>
    <row r="5346" spans="1:6">
      <c r="A5346" t="s">
        <v>5344</v>
      </c>
      <c r="B5346" t="str">
        <f t="shared" si="234"/>
        <v>0.00080%</v>
      </c>
      <c r="C5346" t="s">
        <v>10</v>
      </c>
      <c r="D5346" t="s">
        <v>10</v>
      </c>
      <c r="E5346" t="str">
        <f>"$ 6,168"</f>
        <v>$ 6,168</v>
      </c>
      <c r="F5346">
        <v>148</v>
      </c>
    </row>
    <row r="5347" spans="1:6">
      <c r="A5347" t="s">
        <v>5345</v>
      </c>
      <c r="B5347" t="str">
        <f t="shared" si="234"/>
        <v>0.00080%</v>
      </c>
      <c r="C5347" t="s">
        <v>10</v>
      </c>
      <c r="D5347" t="s">
        <v>10</v>
      </c>
      <c r="E5347" t="str">
        <f>"$ 6,172"</f>
        <v>$ 6,172</v>
      </c>
      <c r="F5347" s="1">
        <v>1548</v>
      </c>
    </row>
    <row r="5348" spans="1:6">
      <c r="A5348" t="s">
        <v>5346</v>
      </c>
      <c r="B5348" t="str">
        <f t="shared" si="234"/>
        <v>0.00080%</v>
      </c>
      <c r="C5348" t="s">
        <v>10</v>
      </c>
      <c r="D5348" t="s">
        <v>10</v>
      </c>
      <c r="E5348" t="str">
        <f>"$ 6,190"</f>
        <v>$ 6,190</v>
      </c>
      <c r="F5348" s="1">
        <v>2658</v>
      </c>
    </row>
    <row r="5349" spans="1:6">
      <c r="A5349" t="s">
        <v>5347</v>
      </c>
      <c r="B5349" t="str">
        <f t="shared" si="234"/>
        <v>0.00080%</v>
      </c>
      <c r="C5349" t="s">
        <v>10</v>
      </c>
      <c r="D5349" t="s">
        <v>10</v>
      </c>
      <c r="E5349" t="str">
        <f>"$ 6,166"</f>
        <v>$ 6,166</v>
      </c>
      <c r="F5349" s="1">
        <v>3638</v>
      </c>
    </row>
    <row r="5350" spans="1:6">
      <c r="A5350" t="s">
        <v>5348</v>
      </c>
      <c r="B5350" t="str">
        <f t="shared" si="234"/>
        <v>0.00080%</v>
      </c>
      <c r="C5350" t="s">
        <v>10</v>
      </c>
      <c r="D5350" t="s">
        <v>10</v>
      </c>
      <c r="E5350" t="str">
        <f>"$ 6,207"</f>
        <v>$ 6,207</v>
      </c>
      <c r="F5350">
        <v>705</v>
      </c>
    </row>
    <row r="5351" spans="1:6">
      <c r="A5351" t="s">
        <v>5349</v>
      </c>
      <c r="B5351" t="str">
        <f t="shared" si="234"/>
        <v>0.00080%</v>
      </c>
      <c r="C5351" t="s">
        <v>10</v>
      </c>
      <c r="D5351" t="s">
        <v>10</v>
      </c>
      <c r="E5351" t="str">
        <f>"$ 6,174"</f>
        <v>$ 6,174</v>
      </c>
      <c r="F5351" s="1">
        <v>6103</v>
      </c>
    </row>
    <row r="5352" spans="1:6">
      <c r="A5352" t="s">
        <v>5350</v>
      </c>
      <c r="B5352" t="str">
        <f t="shared" si="234"/>
        <v>0.00080%</v>
      </c>
      <c r="C5352" t="s">
        <v>10</v>
      </c>
      <c r="D5352" t="s">
        <v>10</v>
      </c>
      <c r="E5352" t="str">
        <f>"$ 6,147"</f>
        <v>$ 6,147</v>
      </c>
      <c r="F5352" s="1">
        <v>2145</v>
      </c>
    </row>
    <row r="5353" spans="1:6">
      <c r="A5353" t="s">
        <v>5351</v>
      </c>
      <c r="B5353" t="str">
        <f t="shared" si="234"/>
        <v>0.00080%</v>
      </c>
      <c r="C5353" t="s">
        <v>10</v>
      </c>
      <c r="D5353" t="s">
        <v>10</v>
      </c>
      <c r="E5353" t="str">
        <f>"$ 6,200"</f>
        <v>$ 6,200</v>
      </c>
      <c r="F5353">
        <v>52</v>
      </c>
    </row>
    <row r="5354" spans="1:6">
      <c r="A5354" t="s">
        <v>5352</v>
      </c>
      <c r="B5354" t="str">
        <f t="shared" ref="B5354:B5387" si="235">"0.00079%"</f>
        <v>0.00079%</v>
      </c>
      <c r="C5354" t="s">
        <v>10</v>
      </c>
      <c r="D5354" t="s">
        <v>10</v>
      </c>
      <c r="E5354" t="str">
        <f>"$ 6,118"</f>
        <v>$ 6,118</v>
      </c>
      <c r="F5354">
        <v>263</v>
      </c>
    </row>
    <row r="5355" spans="1:6">
      <c r="A5355" t="s">
        <v>5353</v>
      </c>
      <c r="B5355" t="str">
        <f t="shared" si="235"/>
        <v>0.00079%</v>
      </c>
      <c r="C5355" t="s">
        <v>10</v>
      </c>
      <c r="D5355" t="s">
        <v>10</v>
      </c>
      <c r="E5355" t="str">
        <f>"$ 6,096"</f>
        <v>$ 6,096</v>
      </c>
      <c r="F5355">
        <v>99</v>
      </c>
    </row>
    <row r="5356" spans="1:6">
      <c r="A5356" t="s">
        <v>5354</v>
      </c>
      <c r="B5356" t="str">
        <f t="shared" si="235"/>
        <v>0.00079%</v>
      </c>
      <c r="C5356" t="s">
        <v>10</v>
      </c>
      <c r="D5356" t="s">
        <v>10</v>
      </c>
      <c r="E5356" t="str">
        <f>"$ 6,114"</f>
        <v>$ 6,114</v>
      </c>
      <c r="F5356">
        <v>399</v>
      </c>
    </row>
    <row r="5357" spans="1:6">
      <c r="A5357" t="s">
        <v>5355</v>
      </c>
      <c r="B5357" t="str">
        <f t="shared" si="235"/>
        <v>0.00079%</v>
      </c>
      <c r="C5357" t="s">
        <v>10</v>
      </c>
      <c r="D5357" t="s">
        <v>10</v>
      </c>
      <c r="E5357" t="str">
        <f>"$ 6,116"</f>
        <v>$ 6,116</v>
      </c>
      <c r="F5357">
        <v>165</v>
      </c>
    </row>
    <row r="5358" spans="1:6">
      <c r="A5358" t="s">
        <v>5356</v>
      </c>
      <c r="B5358" t="str">
        <f t="shared" si="235"/>
        <v>0.00079%</v>
      </c>
      <c r="C5358" t="s">
        <v>10</v>
      </c>
      <c r="D5358" t="s">
        <v>10</v>
      </c>
      <c r="E5358" t="str">
        <f>"$ 6,138"</f>
        <v>$ 6,138</v>
      </c>
      <c r="F5358">
        <v>553</v>
      </c>
    </row>
    <row r="5359" spans="1:6">
      <c r="A5359" t="s">
        <v>5357</v>
      </c>
      <c r="B5359" t="str">
        <f t="shared" si="235"/>
        <v>0.00079%</v>
      </c>
      <c r="C5359" t="s">
        <v>10</v>
      </c>
      <c r="D5359" t="s">
        <v>10</v>
      </c>
      <c r="E5359" t="str">
        <f>"$ 6,131"</f>
        <v>$ 6,131</v>
      </c>
      <c r="F5359">
        <v>627</v>
      </c>
    </row>
    <row r="5360" spans="1:6">
      <c r="A5360" t="s">
        <v>5358</v>
      </c>
      <c r="B5360" t="str">
        <f t="shared" si="235"/>
        <v>0.00079%</v>
      </c>
      <c r="C5360" t="s">
        <v>10</v>
      </c>
      <c r="D5360" t="s">
        <v>10</v>
      </c>
      <c r="E5360" t="str">
        <f>"$ 6,130"</f>
        <v>$ 6,130</v>
      </c>
      <c r="F5360">
        <v>445</v>
      </c>
    </row>
    <row r="5361" spans="1:6">
      <c r="A5361" t="s">
        <v>4476</v>
      </c>
      <c r="B5361" t="str">
        <f t="shared" si="235"/>
        <v>0.00079%</v>
      </c>
      <c r="C5361" t="s">
        <v>10</v>
      </c>
      <c r="D5361" t="s">
        <v>10</v>
      </c>
      <c r="E5361" t="str">
        <f>"$ 6,065"</f>
        <v>$ 6,065</v>
      </c>
      <c r="F5361" s="1">
        <v>1212</v>
      </c>
    </row>
    <row r="5362" spans="1:6">
      <c r="A5362" t="s">
        <v>5359</v>
      </c>
      <c r="B5362" t="str">
        <f t="shared" si="235"/>
        <v>0.00079%</v>
      </c>
      <c r="C5362" t="s">
        <v>10</v>
      </c>
      <c r="D5362" t="s">
        <v>10</v>
      </c>
      <c r="E5362" t="str">
        <f>"$ 6,068"</f>
        <v>$ 6,068</v>
      </c>
      <c r="F5362">
        <v>198</v>
      </c>
    </row>
    <row r="5363" spans="1:6">
      <c r="A5363" t="s">
        <v>5360</v>
      </c>
      <c r="B5363" t="str">
        <f t="shared" si="235"/>
        <v>0.00079%</v>
      </c>
      <c r="C5363" t="s">
        <v>10</v>
      </c>
      <c r="D5363" t="s">
        <v>10</v>
      </c>
      <c r="E5363" t="str">
        <f>"$ 6,078"</f>
        <v>$ 6,078</v>
      </c>
      <c r="F5363">
        <v>231</v>
      </c>
    </row>
    <row r="5364" spans="1:6">
      <c r="A5364" t="s">
        <v>5361</v>
      </c>
      <c r="B5364" t="str">
        <f t="shared" si="235"/>
        <v>0.00079%</v>
      </c>
      <c r="C5364" t="s">
        <v>10</v>
      </c>
      <c r="D5364" t="s">
        <v>10</v>
      </c>
      <c r="E5364" t="str">
        <f>"$ 6,089"</f>
        <v>$ 6,089</v>
      </c>
      <c r="F5364" s="1">
        <v>1273</v>
      </c>
    </row>
    <row r="5365" spans="1:6">
      <c r="A5365" t="s">
        <v>5362</v>
      </c>
      <c r="B5365" t="str">
        <f t="shared" si="235"/>
        <v>0.00079%</v>
      </c>
      <c r="C5365" t="s">
        <v>10</v>
      </c>
      <c r="D5365" t="s">
        <v>10</v>
      </c>
      <c r="E5365" t="str">
        <f>"$ 6,093"</f>
        <v>$ 6,093</v>
      </c>
      <c r="F5365" s="1">
        <v>2570</v>
      </c>
    </row>
    <row r="5366" spans="1:6">
      <c r="A5366" t="s">
        <v>5363</v>
      </c>
      <c r="B5366" t="str">
        <f t="shared" si="235"/>
        <v>0.00079%</v>
      </c>
      <c r="C5366" t="s">
        <v>10</v>
      </c>
      <c r="D5366" t="s">
        <v>10</v>
      </c>
      <c r="E5366" t="str">
        <f>"$ 6,122"</f>
        <v>$ 6,122</v>
      </c>
      <c r="F5366">
        <v>939</v>
      </c>
    </row>
    <row r="5367" spans="1:6">
      <c r="A5367" t="s">
        <v>5364</v>
      </c>
      <c r="B5367" t="str">
        <f t="shared" si="235"/>
        <v>0.00079%</v>
      </c>
      <c r="C5367" t="s">
        <v>10</v>
      </c>
      <c r="D5367" t="s">
        <v>10</v>
      </c>
      <c r="E5367" t="str">
        <f>"$ 6,124"</f>
        <v>$ 6,124</v>
      </c>
      <c r="F5367">
        <v>773</v>
      </c>
    </row>
    <row r="5368" spans="1:6">
      <c r="A5368" t="s">
        <v>5365</v>
      </c>
      <c r="B5368" t="str">
        <f t="shared" si="235"/>
        <v>0.00079%</v>
      </c>
      <c r="C5368" t="s">
        <v>10</v>
      </c>
      <c r="D5368" t="s">
        <v>10</v>
      </c>
      <c r="E5368" t="str">
        <f>"$ 6,110"</f>
        <v>$ 6,110</v>
      </c>
      <c r="F5368">
        <v>214</v>
      </c>
    </row>
    <row r="5369" spans="1:6">
      <c r="A5369" t="s">
        <v>5366</v>
      </c>
      <c r="B5369" t="str">
        <f t="shared" si="235"/>
        <v>0.00079%</v>
      </c>
      <c r="C5369" t="s">
        <v>10</v>
      </c>
      <c r="D5369" t="s">
        <v>10</v>
      </c>
      <c r="E5369" t="str">
        <f>"$ 6,136"</f>
        <v>$ 6,136</v>
      </c>
      <c r="F5369">
        <v>223</v>
      </c>
    </row>
    <row r="5370" spans="1:6">
      <c r="A5370" t="s">
        <v>5367</v>
      </c>
      <c r="B5370" t="str">
        <f t="shared" si="235"/>
        <v>0.00079%</v>
      </c>
      <c r="C5370" t="s">
        <v>10</v>
      </c>
      <c r="D5370" t="s">
        <v>10</v>
      </c>
      <c r="E5370" t="str">
        <f>"$ 6,080"</f>
        <v>$ 6,080</v>
      </c>
      <c r="F5370">
        <v>235</v>
      </c>
    </row>
    <row r="5371" spans="1:6">
      <c r="A5371" t="s">
        <v>5368</v>
      </c>
      <c r="B5371" t="str">
        <f t="shared" si="235"/>
        <v>0.00079%</v>
      </c>
      <c r="C5371" t="s">
        <v>10</v>
      </c>
      <c r="D5371" t="s">
        <v>10</v>
      </c>
      <c r="E5371" t="str">
        <f>"$ 6,082"</f>
        <v>$ 6,082</v>
      </c>
      <c r="F5371">
        <v>217</v>
      </c>
    </row>
    <row r="5372" spans="1:6">
      <c r="A5372" t="s">
        <v>5369</v>
      </c>
      <c r="B5372" t="str">
        <f t="shared" si="235"/>
        <v>0.00079%</v>
      </c>
      <c r="C5372" t="s">
        <v>10</v>
      </c>
      <c r="D5372" t="s">
        <v>10</v>
      </c>
      <c r="E5372" t="str">
        <f>"$ 6,098"</f>
        <v>$ 6,098</v>
      </c>
      <c r="F5372" s="1">
        <v>2309</v>
      </c>
    </row>
    <row r="5373" spans="1:6">
      <c r="A5373" t="s">
        <v>5370</v>
      </c>
      <c r="B5373" t="str">
        <f t="shared" si="235"/>
        <v>0.00079%</v>
      </c>
      <c r="C5373" t="s">
        <v>10</v>
      </c>
      <c r="D5373" t="s">
        <v>10</v>
      </c>
      <c r="E5373" t="str">
        <f>"$ 6,133"</f>
        <v>$ 6,133</v>
      </c>
      <c r="F5373">
        <v>528</v>
      </c>
    </row>
    <row r="5374" spans="1:6">
      <c r="A5374" t="s">
        <v>5371</v>
      </c>
      <c r="B5374" t="str">
        <f t="shared" si="235"/>
        <v>0.00079%</v>
      </c>
      <c r="C5374" t="s">
        <v>10</v>
      </c>
      <c r="D5374" t="s">
        <v>10</v>
      </c>
      <c r="E5374" t="str">
        <f>"$ 6,121"</f>
        <v>$ 6,121</v>
      </c>
      <c r="F5374" s="1">
        <v>16820</v>
      </c>
    </row>
    <row r="5375" spans="1:6">
      <c r="A5375" t="s">
        <v>5372</v>
      </c>
      <c r="B5375" t="str">
        <f t="shared" si="235"/>
        <v>0.00079%</v>
      </c>
      <c r="C5375" t="s">
        <v>10</v>
      </c>
      <c r="D5375" t="s">
        <v>10</v>
      </c>
      <c r="E5375" t="str">
        <f>"$ 6,109"</f>
        <v>$ 6,109</v>
      </c>
      <c r="F5375" s="1">
        <v>2375</v>
      </c>
    </row>
    <row r="5376" spans="1:6">
      <c r="A5376" t="s">
        <v>5373</v>
      </c>
      <c r="B5376" t="str">
        <f t="shared" si="235"/>
        <v>0.00079%</v>
      </c>
      <c r="C5376" t="s">
        <v>10</v>
      </c>
      <c r="D5376" t="s">
        <v>10</v>
      </c>
      <c r="E5376" t="str">
        <f>"$ 6,117"</f>
        <v>$ 6,117</v>
      </c>
      <c r="F5376" s="1">
        <v>1254</v>
      </c>
    </row>
    <row r="5377" spans="1:6">
      <c r="A5377" t="s">
        <v>5374</v>
      </c>
      <c r="B5377" t="str">
        <f t="shared" si="235"/>
        <v>0.00079%</v>
      </c>
      <c r="C5377" t="s">
        <v>10</v>
      </c>
      <c r="D5377" t="s">
        <v>10</v>
      </c>
      <c r="E5377" t="str">
        <f>"$ 6,078"</f>
        <v>$ 6,078</v>
      </c>
      <c r="F5377" s="1">
        <v>5082</v>
      </c>
    </row>
    <row r="5378" spans="1:6">
      <c r="A5378" t="s">
        <v>5375</v>
      </c>
      <c r="B5378" t="str">
        <f t="shared" si="235"/>
        <v>0.00079%</v>
      </c>
      <c r="C5378" t="s">
        <v>10</v>
      </c>
      <c r="D5378" t="s">
        <v>10</v>
      </c>
      <c r="E5378" t="str">
        <f>"$ 6,118"</f>
        <v>$ 6,118</v>
      </c>
      <c r="F5378" s="1">
        <v>33980</v>
      </c>
    </row>
    <row r="5379" spans="1:6">
      <c r="A5379" t="s">
        <v>5376</v>
      </c>
      <c r="B5379" t="str">
        <f t="shared" si="235"/>
        <v>0.00079%</v>
      </c>
      <c r="C5379" t="s">
        <v>10</v>
      </c>
      <c r="D5379" t="s">
        <v>10</v>
      </c>
      <c r="E5379" t="str">
        <f>"$ 6,064"</f>
        <v>$ 6,064</v>
      </c>
      <c r="F5379" s="1">
        <v>5639</v>
      </c>
    </row>
    <row r="5380" spans="1:6">
      <c r="A5380" t="s">
        <v>5377</v>
      </c>
      <c r="B5380" t="str">
        <f t="shared" si="235"/>
        <v>0.00079%</v>
      </c>
      <c r="C5380" t="s">
        <v>10</v>
      </c>
      <c r="D5380" t="s">
        <v>10</v>
      </c>
      <c r="E5380" t="str">
        <f>"$ 6,090"</f>
        <v>$ 6,090</v>
      </c>
      <c r="F5380">
        <v>561</v>
      </c>
    </row>
    <row r="5381" spans="1:6">
      <c r="A5381" t="s">
        <v>5378</v>
      </c>
      <c r="B5381" t="str">
        <f t="shared" si="235"/>
        <v>0.00079%</v>
      </c>
      <c r="C5381" t="s">
        <v>10</v>
      </c>
      <c r="D5381" t="s">
        <v>10</v>
      </c>
      <c r="E5381" t="str">
        <f>"$ 6,128"</f>
        <v>$ 6,128</v>
      </c>
      <c r="F5381">
        <v>774</v>
      </c>
    </row>
    <row r="5382" spans="1:6">
      <c r="A5382" t="s">
        <v>5379</v>
      </c>
      <c r="B5382" t="str">
        <f t="shared" si="235"/>
        <v>0.00079%</v>
      </c>
      <c r="C5382" t="s">
        <v>10</v>
      </c>
      <c r="D5382" t="s">
        <v>10</v>
      </c>
      <c r="E5382" t="str">
        <f>"$ 6,135"</f>
        <v>$ 6,135</v>
      </c>
      <c r="F5382" s="1">
        <v>14846</v>
      </c>
    </row>
    <row r="5383" spans="1:6">
      <c r="A5383" t="s">
        <v>5380</v>
      </c>
      <c r="B5383" t="str">
        <f t="shared" si="235"/>
        <v>0.00079%</v>
      </c>
      <c r="C5383" t="s">
        <v>10</v>
      </c>
      <c r="D5383" t="s">
        <v>10</v>
      </c>
      <c r="E5383" t="str">
        <f>"$ 6,063"</f>
        <v>$ 6,063</v>
      </c>
      <c r="F5383" s="1">
        <v>1402</v>
      </c>
    </row>
    <row r="5384" spans="1:6">
      <c r="A5384" t="s">
        <v>5381</v>
      </c>
      <c r="B5384" t="str">
        <f t="shared" si="235"/>
        <v>0.00079%</v>
      </c>
      <c r="C5384" t="s">
        <v>10</v>
      </c>
      <c r="D5384" t="s">
        <v>10</v>
      </c>
      <c r="E5384" t="str">
        <f>"$ 6,088"</f>
        <v>$ 6,088</v>
      </c>
      <c r="F5384">
        <v>78</v>
      </c>
    </row>
    <row r="5385" spans="1:6">
      <c r="A5385" t="s">
        <v>5382</v>
      </c>
      <c r="B5385" t="str">
        <f t="shared" si="235"/>
        <v>0.00079%</v>
      </c>
      <c r="C5385" t="s">
        <v>10</v>
      </c>
      <c r="D5385" t="s">
        <v>10</v>
      </c>
      <c r="E5385" t="str">
        <f>"$ 6,101"</f>
        <v>$ 6,101</v>
      </c>
      <c r="F5385" s="1">
        <v>2684</v>
      </c>
    </row>
    <row r="5386" spans="1:6">
      <c r="A5386" t="s">
        <v>5383</v>
      </c>
      <c r="B5386" t="str">
        <f t="shared" si="235"/>
        <v>0.00079%</v>
      </c>
      <c r="C5386" t="s">
        <v>10</v>
      </c>
      <c r="D5386" t="s">
        <v>10</v>
      </c>
      <c r="E5386" t="str">
        <f>"$ 6,113"</f>
        <v>$ 6,113</v>
      </c>
      <c r="F5386" s="1">
        <v>4400</v>
      </c>
    </row>
    <row r="5387" spans="1:6">
      <c r="A5387" t="s">
        <v>5384</v>
      </c>
      <c r="B5387" t="str">
        <f t="shared" si="235"/>
        <v>0.00079%</v>
      </c>
      <c r="C5387" t="s">
        <v>10</v>
      </c>
      <c r="D5387" t="s">
        <v>10</v>
      </c>
      <c r="E5387" t="str">
        <f>"$ 6,106"</f>
        <v>$ 6,106</v>
      </c>
      <c r="F5387" s="1">
        <v>2831</v>
      </c>
    </row>
    <row r="5388" spans="1:6">
      <c r="A5388" t="s">
        <v>5385</v>
      </c>
      <c r="B5388" t="str">
        <f t="shared" ref="B5388:B5415" si="236">"0.00078%"</f>
        <v>0.00078%</v>
      </c>
      <c r="C5388" t="s">
        <v>10</v>
      </c>
      <c r="D5388" t="s">
        <v>10</v>
      </c>
      <c r="E5388" t="str">
        <f>"$ 6,013"</f>
        <v>$ 6,013</v>
      </c>
      <c r="F5388">
        <v>955</v>
      </c>
    </row>
    <row r="5389" spans="1:6">
      <c r="A5389" t="s">
        <v>5386</v>
      </c>
      <c r="B5389" t="str">
        <f t="shared" si="236"/>
        <v>0.00078%</v>
      </c>
      <c r="C5389" t="s">
        <v>10</v>
      </c>
      <c r="D5389" t="s">
        <v>10</v>
      </c>
      <c r="E5389" t="str">
        <f>"$ 6,010"</f>
        <v>$ 6,010</v>
      </c>
      <c r="F5389" s="1">
        <v>2024</v>
      </c>
    </row>
    <row r="5390" spans="1:6">
      <c r="A5390" t="s">
        <v>5387</v>
      </c>
      <c r="B5390" t="str">
        <f t="shared" si="236"/>
        <v>0.00078%</v>
      </c>
      <c r="C5390" t="s">
        <v>10</v>
      </c>
      <c r="D5390" t="s">
        <v>10</v>
      </c>
      <c r="E5390" t="str">
        <f>"$ 6,048"</f>
        <v>$ 6,048</v>
      </c>
      <c r="F5390">
        <v>299</v>
      </c>
    </row>
    <row r="5391" spans="1:6">
      <c r="A5391" t="s">
        <v>5388</v>
      </c>
      <c r="B5391" t="str">
        <f t="shared" si="236"/>
        <v>0.00078%</v>
      </c>
      <c r="C5391" t="s">
        <v>10</v>
      </c>
      <c r="D5391" t="s">
        <v>10</v>
      </c>
      <c r="E5391" t="str">
        <f>"$ 5,996"</f>
        <v>$ 5,996</v>
      </c>
      <c r="F5391">
        <v>408</v>
      </c>
    </row>
    <row r="5392" spans="1:6">
      <c r="A5392" t="s">
        <v>5389</v>
      </c>
      <c r="B5392" t="str">
        <f t="shared" si="236"/>
        <v>0.00078%</v>
      </c>
      <c r="C5392" t="s">
        <v>10</v>
      </c>
      <c r="D5392" t="s">
        <v>10</v>
      </c>
      <c r="E5392" t="str">
        <f>"$ 6,009"</f>
        <v>$ 6,009</v>
      </c>
      <c r="F5392">
        <v>94</v>
      </c>
    </row>
    <row r="5393" spans="1:6">
      <c r="A5393" t="s">
        <v>5390</v>
      </c>
      <c r="B5393" t="str">
        <f t="shared" si="236"/>
        <v>0.00078%</v>
      </c>
      <c r="C5393" t="s">
        <v>10</v>
      </c>
      <c r="D5393" t="s">
        <v>10</v>
      </c>
      <c r="E5393" t="str">
        <f>"$ 6,044"</f>
        <v>$ 6,044</v>
      </c>
      <c r="F5393">
        <v>490</v>
      </c>
    </row>
    <row r="5394" spans="1:6">
      <c r="A5394" t="s">
        <v>5391</v>
      </c>
      <c r="B5394" t="str">
        <f t="shared" si="236"/>
        <v>0.00078%</v>
      </c>
      <c r="C5394" t="s">
        <v>10</v>
      </c>
      <c r="D5394" t="s">
        <v>10</v>
      </c>
      <c r="E5394" t="str">
        <f>"$ 6,046"</f>
        <v>$ 6,046</v>
      </c>
      <c r="F5394">
        <v>198</v>
      </c>
    </row>
    <row r="5395" spans="1:6">
      <c r="A5395" t="s">
        <v>5392</v>
      </c>
      <c r="B5395" t="str">
        <f t="shared" si="236"/>
        <v>0.00078%</v>
      </c>
      <c r="C5395" t="s">
        <v>10</v>
      </c>
      <c r="D5395" t="s">
        <v>10</v>
      </c>
      <c r="E5395" t="str">
        <f>"$ 6,018"</f>
        <v>$ 6,018</v>
      </c>
      <c r="F5395">
        <v>297</v>
      </c>
    </row>
    <row r="5396" spans="1:6">
      <c r="A5396" t="s">
        <v>5393</v>
      </c>
      <c r="B5396" t="str">
        <f t="shared" si="236"/>
        <v>0.00078%</v>
      </c>
      <c r="C5396" t="s">
        <v>10</v>
      </c>
      <c r="D5396" t="s">
        <v>10</v>
      </c>
      <c r="E5396" t="str">
        <f>"$ 6,020"</f>
        <v>$ 6,020</v>
      </c>
      <c r="F5396" s="1">
        <v>12364</v>
      </c>
    </row>
    <row r="5397" spans="1:6">
      <c r="A5397" t="s">
        <v>5394</v>
      </c>
      <c r="B5397" t="str">
        <f t="shared" si="236"/>
        <v>0.00078%</v>
      </c>
      <c r="C5397" t="s">
        <v>10</v>
      </c>
      <c r="D5397" t="s">
        <v>10</v>
      </c>
      <c r="E5397" t="str">
        <f>"$ 6,058"</f>
        <v>$ 6,058</v>
      </c>
      <c r="F5397">
        <v>939</v>
      </c>
    </row>
    <row r="5398" spans="1:6">
      <c r="A5398" t="s">
        <v>5395</v>
      </c>
      <c r="B5398" t="str">
        <f t="shared" si="236"/>
        <v>0.00078%</v>
      </c>
      <c r="C5398" t="s">
        <v>10</v>
      </c>
      <c r="D5398" t="s">
        <v>10</v>
      </c>
      <c r="E5398" t="str">
        <f>"$ 6,060"</f>
        <v>$ 6,060</v>
      </c>
      <c r="F5398">
        <v>115</v>
      </c>
    </row>
    <row r="5399" spans="1:6">
      <c r="A5399" t="s">
        <v>5396</v>
      </c>
      <c r="B5399" t="str">
        <f t="shared" si="236"/>
        <v>0.00078%</v>
      </c>
      <c r="C5399" t="s">
        <v>10</v>
      </c>
      <c r="D5399" t="s">
        <v>10</v>
      </c>
      <c r="E5399" t="str">
        <f>"$ 6,007"</f>
        <v>$ 6,007</v>
      </c>
      <c r="F5399">
        <v>279</v>
      </c>
    </row>
    <row r="5400" spans="1:6">
      <c r="A5400" t="s">
        <v>5397</v>
      </c>
      <c r="B5400" t="str">
        <f t="shared" si="236"/>
        <v>0.00078%</v>
      </c>
      <c r="C5400" t="s">
        <v>10</v>
      </c>
      <c r="D5400" t="s">
        <v>10</v>
      </c>
      <c r="E5400" t="str">
        <f>"$ 6,004"</f>
        <v>$ 6,004</v>
      </c>
      <c r="F5400">
        <v>733</v>
      </c>
    </row>
    <row r="5401" spans="1:6">
      <c r="A5401" t="s">
        <v>5398</v>
      </c>
      <c r="B5401" t="str">
        <f t="shared" si="236"/>
        <v>0.00078%</v>
      </c>
      <c r="C5401" t="s">
        <v>10</v>
      </c>
      <c r="D5401" t="s">
        <v>10</v>
      </c>
      <c r="E5401" t="str">
        <f>"$ 6,004"</f>
        <v>$ 6,004</v>
      </c>
      <c r="F5401">
        <v>129</v>
      </c>
    </row>
    <row r="5402" spans="1:6">
      <c r="A5402" t="s">
        <v>5399</v>
      </c>
      <c r="B5402" t="str">
        <f t="shared" si="236"/>
        <v>0.00078%</v>
      </c>
      <c r="C5402" t="s">
        <v>10</v>
      </c>
      <c r="D5402" t="s">
        <v>10</v>
      </c>
      <c r="E5402" t="str">
        <f>"$ 6,027"</f>
        <v>$ 6,027</v>
      </c>
      <c r="F5402">
        <v>69</v>
      </c>
    </row>
    <row r="5403" spans="1:6">
      <c r="A5403" t="s">
        <v>5400</v>
      </c>
      <c r="B5403" t="str">
        <f t="shared" si="236"/>
        <v>0.00078%</v>
      </c>
      <c r="C5403" t="s">
        <v>10</v>
      </c>
      <c r="D5403" t="s">
        <v>10</v>
      </c>
      <c r="E5403" t="str">
        <f>"$ 6,018"</f>
        <v>$ 6,018</v>
      </c>
      <c r="F5403">
        <v>198</v>
      </c>
    </row>
    <row r="5404" spans="1:6">
      <c r="A5404" t="s">
        <v>5401</v>
      </c>
      <c r="B5404" t="str">
        <f t="shared" si="236"/>
        <v>0.00078%</v>
      </c>
      <c r="C5404" t="s">
        <v>10</v>
      </c>
      <c r="D5404" t="s">
        <v>10</v>
      </c>
      <c r="E5404" t="str">
        <f>"$ 6,026"</f>
        <v>$ 6,026</v>
      </c>
      <c r="F5404">
        <v>66</v>
      </c>
    </row>
    <row r="5405" spans="1:6">
      <c r="A5405" t="s">
        <v>5402</v>
      </c>
      <c r="B5405" t="str">
        <f t="shared" si="236"/>
        <v>0.00078%</v>
      </c>
      <c r="C5405" t="s">
        <v>10</v>
      </c>
      <c r="D5405" t="s">
        <v>10</v>
      </c>
      <c r="E5405" t="str">
        <f>"$ 6,035"</f>
        <v>$ 6,035</v>
      </c>
      <c r="F5405">
        <v>42</v>
      </c>
    </row>
    <row r="5406" spans="1:6">
      <c r="A5406" t="s">
        <v>5403</v>
      </c>
      <c r="B5406" t="str">
        <f t="shared" si="236"/>
        <v>0.00078%</v>
      </c>
      <c r="C5406" t="s">
        <v>10</v>
      </c>
      <c r="D5406" t="s">
        <v>10</v>
      </c>
      <c r="E5406" t="str">
        <f>"$ 6,029"</f>
        <v>$ 6,029</v>
      </c>
      <c r="F5406" s="1">
        <v>5245</v>
      </c>
    </row>
    <row r="5407" spans="1:6">
      <c r="A5407" t="s">
        <v>5404</v>
      </c>
      <c r="B5407" t="str">
        <f t="shared" si="236"/>
        <v>0.00078%</v>
      </c>
      <c r="C5407" t="s">
        <v>10</v>
      </c>
      <c r="D5407" t="s">
        <v>10</v>
      </c>
      <c r="E5407" t="str">
        <f>"$ 6,008"</f>
        <v>$ 6,008</v>
      </c>
      <c r="F5407" s="1">
        <v>13355</v>
      </c>
    </row>
    <row r="5408" spans="1:6">
      <c r="A5408" t="s">
        <v>5405</v>
      </c>
      <c r="B5408" t="str">
        <f t="shared" si="236"/>
        <v>0.00078%</v>
      </c>
      <c r="C5408" t="s">
        <v>10</v>
      </c>
      <c r="D5408" t="s">
        <v>10</v>
      </c>
      <c r="E5408" t="str">
        <f>"$ 6,051"</f>
        <v>$ 6,051</v>
      </c>
      <c r="F5408" s="1">
        <v>17328</v>
      </c>
    </row>
    <row r="5409" spans="1:6">
      <c r="A5409" t="s">
        <v>5406</v>
      </c>
      <c r="B5409" t="str">
        <f t="shared" si="236"/>
        <v>0.00078%</v>
      </c>
      <c r="C5409" t="s">
        <v>10</v>
      </c>
      <c r="D5409" t="s">
        <v>10</v>
      </c>
      <c r="E5409" t="str">
        <f>"$ 6,048"</f>
        <v>$ 6,048</v>
      </c>
      <c r="F5409" s="1">
        <v>1979</v>
      </c>
    </row>
    <row r="5410" spans="1:6">
      <c r="A5410" t="s">
        <v>5407</v>
      </c>
      <c r="B5410" t="str">
        <f t="shared" si="236"/>
        <v>0.00078%</v>
      </c>
      <c r="C5410" t="s">
        <v>10</v>
      </c>
      <c r="D5410" t="s">
        <v>10</v>
      </c>
      <c r="E5410" t="str">
        <f>"$ 6,003"</f>
        <v>$ 6,003</v>
      </c>
      <c r="F5410" s="1">
        <v>44449</v>
      </c>
    </row>
    <row r="5411" spans="1:6">
      <c r="A5411" t="s">
        <v>5408</v>
      </c>
      <c r="B5411" t="str">
        <f t="shared" si="236"/>
        <v>0.00078%</v>
      </c>
      <c r="C5411" t="s">
        <v>10</v>
      </c>
      <c r="D5411" t="s">
        <v>10</v>
      </c>
      <c r="E5411" t="str">
        <f>"$ 6,035"</f>
        <v>$ 6,035</v>
      </c>
      <c r="F5411" s="1">
        <v>4103</v>
      </c>
    </row>
    <row r="5412" spans="1:6">
      <c r="A5412" t="s">
        <v>5409</v>
      </c>
      <c r="B5412" t="str">
        <f t="shared" si="236"/>
        <v>0.00078%</v>
      </c>
      <c r="C5412" t="s">
        <v>10</v>
      </c>
      <c r="D5412" t="s">
        <v>10</v>
      </c>
      <c r="E5412" t="str">
        <f>"$ 5,985"</f>
        <v>$ 5,985</v>
      </c>
      <c r="F5412">
        <v>224</v>
      </c>
    </row>
    <row r="5413" spans="1:6">
      <c r="A5413" t="s">
        <v>5410</v>
      </c>
      <c r="B5413" t="str">
        <f t="shared" si="236"/>
        <v>0.00078%</v>
      </c>
      <c r="C5413" t="s">
        <v>10</v>
      </c>
      <c r="D5413" t="s">
        <v>10</v>
      </c>
      <c r="E5413" t="str">
        <f>"$ 6,055"</f>
        <v>$ 6,055</v>
      </c>
      <c r="F5413" s="1">
        <v>5278</v>
      </c>
    </row>
    <row r="5414" spans="1:6">
      <c r="A5414" t="s">
        <v>5411</v>
      </c>
      <c r="B5414" t="str">
        <f t="shared" si="236"/>
        <v>0.00078%</v>
      </c>
      <c r="C5414" t="s">
        <v>10</v>
      </c>
      <c r="D5414" t="s">
        <v>10</v>
      </c>
      <c r="E5414" t="str">
        <f>"$ 5,992"</f>
        <v>$ 5,992</v>
      </c>
      <c r="F5414" s="1">
        <v>5106</v>
      </c>
    </row>
    <row r="5415" spans="1:6">
      <c r="A5415" t="s">
        <v>5412</v>
      </c>
      <c r="B5415" t="str">
        <f t="shared" si="236"/>
        <v>0.00078%</v>
      </c>
      <c r="C5415" t="s">
        <v>10</v>
      </c>
      <c r="D5415" t="s">
        <v>10</v>
      </c>
      <c r="E5415" t="str">
        <f>"$ 6,044"</f>
        <v>$ 6,044</v>
      </c>
      <c r="F5415">
        <v>161</v>
      </c>
    </row>
    <row r="5416" spans="1:6">
      <c r="A5416" t="s">
        <v>5413</v>
      </c>
      <c r="B5416" t="str">
        <f t="shared" ref="B5416:B5445" si="237">"0.00077%"</f>
        <v>0.00077%</v>
      </c>
      <c r="C5416" t="s">
        <v>10</v>
      </c>
      <c r="D5416" t="s">
        <v>10</v>
      </c>
      <c r="E5416" t="str">
        <f>"$ 5,937"</f>
        <v>$ 5,937</v>
      </c>
      <c r="F5416" s="1">
        <v>2775</v>
      </c>
    </row>
    <row r="5417" spans="1:6">
      <c r="A5417" t="s">
        <v>5414</v>
      </c>
      <c r="B5417" t="str">
        <f t="shared" si="237"/>
        <v>0.00077%</v>
      </c>
      <c r="C5417" t="s">
        <v>10</v>
      </c>
      <c r="D5417" t="s">
        <v>10</v>
      </c>
      <c r="E5417" t="str">
        <f>"$ 5,910"</f>
        <v>$ 5,910</v>
      </c>
      <c r="F5417" s="1">
        <v>2575</v>
      </c>
    </row>
    <row r="5418" spans="1:6">
      <c r="A5418" t="s">
        <v>5415</v>
      </c>
      <c r="B5418" t="str">
        <f t="shared" si="237"/>
        <v>0.00077%</v>
      </c>
      <c r="C5418" t="s">
        <v>10</v>
      </c>
      <c r="D5418" t="s">
        <v>10</v>
      </c>
      <c r="E5418" t="str">
        <f>"$ 5,942"</f>
        <v>$ 5,942</v>
      </c>
      <c r="F5418" s="1">
        <v>8177</v>
      </c>
    </row>
    <row r="5419" spans="1:6">
      <c r="A5419" t="s">
        <v>5416</v>
      </c>
      <c r="B5419" t="str">
        <f t="shared" si="237"/>
        <v>0.00077%</v>
      </c>
      <c r="C5419" t="s">
        <v>10</v>
      </c>
      <c r="D5419" t="s">
        <v>10</v>
      </c>
      <c r="E5419" t="str">
        <f>"$ 5,912"</f>
        <v>$ 5,912</v>
      </c>
      <c r="F5419">
        <v>223</v>
      </c>
    </row>
    <row r="5420" spans="1:6">
      <c r="A5420" t="s">
        <v>5417</v>
      </c>
      <c r="B5420" t="str">
        <f t="shared" si="237"/>
        <v>0.00077%</v>
      </c>
      <c r="C5420" t="s">
        <v>10</v>
      </c>
      <c r="D5420" t="s">
        <v>10</v>
      </c>
      <c r="E5420" t="str">
        <f>"$ 5,933"</f>
        <v>$ 5,933</v>
      </c>
      <c r="F5420">
        <v>33</v>
      </c>
    </row>
    <row r="5421" spans="1:6">
      <c r="A5421" t="s">
        <v>5418</v>
      </c>
      <c r="B5421" t="str">
        <f t="shared" si="237"/>
        <v>0.00077%</v>
      </c>
      <c r="C5421" t="s">
        <v>10</v>
      </c>
      <c r="D5421" t="s">
        <v>10</v>
      </c>
      <c r="E5421" t="str">
        <f>"$ 5,975"</f>
        <v>$ 5,975</v>
      </c>
      <c r="F5421">
        <v>104</v>
      </c>
    </row>
    <row r="5422" spans="1:6">
      <c r="A5422" t="s">
        <v>5419</v>
      </c>
      <c r="B5422" t="str">
        <f t="shared" si="237"/>
        <v>0.00077%</v>
      </c>
      <c r="C5422" t="s">
        <v>10</v>
      </c>
      <c r="D5422" t="s">
        <v>10</v>
      </c>
      <c r="E5422" t="str">
        <f>"$ 5,919"</f>
        <v>$ 5,919</v>
      </c>
      <c r="F5422" s="1">
        <v>3348</v>
      </c>
    </row>
    <row r="5423" spans="1:6">
      <c r="A5423" t="s">
        <v>5420</v>
      </c>
      <c r="B5423" t="str">
        <f t="shared" si="237"/>
        <v>0.00077%</v>
      </c>
      <c r="C5423" t="s">
        <v>10</v>
      </c>
      <c r="D5423" t="s">
        <v>10</v>
      </c>
      <c r="E5423" t="str">
        <f>"$ 5,975"</f>
        <v>$ 5,975</v>
      </c>
      <c r="F5423">
        <v>302</v>
      </c>
    </row>
    <row r="5424" spans="1:6">
      <c r="A5424" t="s">
        <v>5421</v>
      </c>
      <c r="B5424" t="str">
        <f t="shared" si="237"/>
        <v>0.00077%</v>
      </c>
      <c r="C5424" t="s">
        <v>10</v>
      </c>
      <c r="D5424" t="s">
        <v>10</v>
      </c>
      <c r="E5424" t="str">
        <f>"$ 5,934"</f>
        <v>$ 5,934</v>
      </c>
      <c r="F5424">
        <v>214</v>
      </c>
    </row>
    <row r="5425" spans="1:6">
      <c r="A5425" t="s">
        <v>5422</v>
      </c>
      <c r="B5425" t="str">
        <f t="shared" si="237"/>
        <v>0.00077%</v>
      </c>
      <c r="C5425" t="s">
        <v>10</v>
      </c>
      <c r="D5425" t="s">
        <v>10</v>
      </c>
      <c r="E5425" t="str">
        <f>"$ 5,962"</f>
        <v>$ 5,962</v>
      </c>
      <c r="F5425" s="1">
        <v>1221</v>
      </c>
    </row>
    <row r="5426" spans="1:6">
      <c r="A5426" t="s">
        <v>5423</v>
      </c>
      <c r="B5426" t="str">
        <f t="shared" si="237"/>
        <v>0.00077%</v>
      </c>
      <c r="C5426" t="s">
        <v>10</v>
      </c>
      <c r="D5426" t="s">
        <v>10</v>
      </c>
      <c r="E5426" t="str">
        <f>"$ 5,936"</f>
        <v>$ 5,936</v>
      </c>
      <c r="F5426">
        <v>638</v>
      </c>
    </row>
    <row r="5427" spans="1:6">
      <c r="A5427" t="s">
        <v>3394</v>
      </c>
      <c r="B5427" t="str">
        <f t="shared" si="237"/>
        <v>0.00077%</v>
      </c>
      <c r="C5427" t="s">
        <v>10</v>
      </c>
      <c r="D5427" t="s">
        <v>10</v>
      </c>
      <c r="E5427" t="str">
        <f>"$ 5,925"</f>
        <v>$ 5,925</v>
      </c>
      <c r="F5427">
        <v>24</v>
      </c>
    </row>
    <row r="5428" spans="1:6">
      <c r="A5428" t="s">
        <v>5424</v>
      </c>
      <c r="B5428" t="str">
        <f t="shared" si="237"/>
        <v>0.00077%</v>
      </c>
      <c r="C5428" t="s">
        <v>10</v>
      </c>
      <c r="D5428" t="s">
        <v>10</v>
      </c>
      <c r="E5428" t="str">
        <f>"$ 5,927"</f>
        <v>$ 5,927</v>
      </c>
      <c r="F5428">
        <v>174</v>
      </c>
    </row>
    <row r="5429" spans="1:6">
      <c r="A5429" t="s">
        <v>5425</v>
      </c>
      <c r="B5429" t="str">
        <f t="shared" si="237"/>
        <v>0.00077%</v>
      </c>
      <c r="C5429" t="s">
        <v>10</v>
      </c>
      <c r="D5429" t="s">
        <v>10</v>
      </c>
      <c r="E5429" t="str">
        <f>"$ 5,908"</f>
        <v>$ 5,908</v>
      </c>
      <c r="F5429" s="1">
        <v>1643</v>
      </c>
    </row>
    <row r="5430" spans="1:6">
      <c r="A5430" t="s">
        <v>5426</v>
      </c>
      <c r="B5430" t="str">
        <f t="shared" si="237"/>
        <v>0.00077%</v>
      </c>
      <c r="C5430" t="s">
        <v>10</v>
      </c>
      <c r="D5430" t="s">
        <v>10</v>
      </c>
      <c r="E5430" t="str">
        <f>"$ 5,959"</f>
        <v>$ 5,959</v>
      </c>
      <c r="F5430" s="1">
        <v>4680</v>
      </c>
    </row>
    <row r="5431" spans="1:6">
      <c r="A5431" t="s">
        <v>5427</v>
      </c>
      <c r="B5431" t="str">
        <f t="shared" si="237"/>
        <v>0.00077%</v>
      </c>
      <c r="C5431" t="s">
        <v>10</v>
      </c>
      <c r="D5431" t="s">
        <v>10</v>
      </c>
      <c r="E5431" t="str">
        <f>"$ 5,983"</f>
        <v>$ 5,983</v>
      </c>
      <c r="F5431">
        <v>181</v>
      </c>
    </row>
    <row r="5432" spans="1:6">
      <c r="A5432" t="s">
        <v>5428</v>
      </c>
      <c r="B5432" t="str">
        <f t="shared" si="237"/>
        <v>0.00077%</v>
      </c>
      <c r="C5432" t="s">
        <v>10</v>
      </c>
      <c r="D5432" t="s">
        <v>10</v>
      </c>
      <c r="E5432" t="str">
        <f>"$ 5,982"</f>
        <v>$ 5,982</v>
      </c>
      <c r="F5432" s="1">
        <v>2474</v>
      </c>
    </row>
    <row r="5433" spans="1:6">
      <c r="A5433" t="s">
        <v>5429</v>
      </c>
      <c r="B5433" t="str">
        <f t="shared" si="237"/>
        <v>0.00077%</v>
      </c>
      <c r="C5433" t="s">
        <v>10</v>
      </c>
      <c r="D5433" t="s">
        <v>10</v>
      </c>
      <c r="E5433" t="str">
        <f>"$ 5,932"</f>
        <v>$ 5,932</v>
      </c>
      <c r="F5433">
        <v>72</v>
      </c>
    </row>
    <row r="5434" spans="1:6">
      <c r="A5434" t="s">
        <v>5430</v>
      </c>
      <c r="B5434" t="str">
        <f t="shared" si="237"/>
        <v>0.00077%</v>
      </c>
      <c r="C5434" t="s">
        <v>10</v>
      </c>
      <c r="D5434" t="s">
        <v>10</v>
      </c>
      <c r="E5434" t="str">
        <f>"$ 5,911"</f>
        <v>$ 5,911</v>
      </c>
      <c r="F5434">
        <v>170</v>
      </c>
    </row>
    <row r="5435" spans="1:6">
      <c r="A5435" t="s">
        <v>5431</v>
      </c>
      <c r="B5435" t="str">
        <f t="shared" si="237"/>
        <v>0.00077%</v>
      </c>
      <c r="C5435" t="s">
        <v>10</v>
      </c>
      <c r="D5435" t="s">
        <v>10</v>
      </c>
      <c r="E5435" t="str">
        <f>"$ 5,941"</f>
        <v>$ 5,941</v>
      </c>
      <c r="F5435">
        <v>363</v>
      </c>
    </row>
    <row r="5436" spans="1:6">
      <c r="A5436" t="s">
        <v>5432</v>
      </c>
      <c r="B5436" t="str">
        <f t="shared" si="237"/>
        <v>0.00077%</v>
      </c>
      <c r="C5436" t="s">
        <v>10</v>
      </c>
      <c r="D5436" t="s">
        <v>10</v>
      </c>
      <c r="E5436" t="str">
        <f>"$ 5,978"</f>
        <v>$ 5,978</v>
      </c>
      <c r="F5436">
        <v>177</v>
      </c>
    </row>
    <row r="5437" spans="1:6">
      <c r="A5437" t="s">
        <v>5433</v>
      </c>
      <c r="B5437" t="str">
        <f t="shared" si="237"/>
        <v>0.00077%</v>
      </c>
      <c r="C5437" t="s">
        <v>10</v>
      </c>
      <c r="D5437" t="s">
        <v>10</v>
      </c>
      <c r="E5437" t="str">
        <f>"$ 5,964"</f>
        <v>$ 5,964</v>
      </c>
      <c r="F5437" s="1">
        <v>1308</v>
      </c>
    </row>
    <row r="5438" spans="1:6">
      <c r="A5438" t="s">
        <v>5434</v>
      </c>
      <c r="B5438" t="str">
        <f t="shared" si="237"/>
        <v>0.00077%</v>
      </c>
      <c r="C5438" t="s">
        <v>10</v>
      </c>
      <c r="D5438" t="s">
        <v>10</v>
      </c>
      <c r="E5438" t="str">
        <f>"$ 5,974"</f>
        <v>$ 5,974</v>
      </c>
      <c r="F5438">
        <v>204</v>
      </c>
    </row>
    <row r="5439" spans="1:6">
      <c r="A5439" t="s">
        <v>5435</v>
      </c>
      <c r="B5439" t="str">
        <f t="shared" si="237"/>
        <v>0.00077%</v>
      </c>
      <c r="C5439" t="s">
        <v>10</v>
      </c>
      <c r="D5439" t="s">
        <v>10</v>
      </c>
      <c r="E5439" t="str">
        <f>"$ 5,937"</f>
        <v>$ 5,937</v>
      </c>
      <c r="F5439" s="1">
        <v>2210</v>
      </c>
    </row>
    <row r="5440" spans="1:6">
      <c r="A5440" t="s">
        <v>5436</v>
      </c>
      <c r="B5440" t="str">
        <f t="shared" si="237"/>
        <v>0.00077%</v>
      </c>
      <c r="C5440" t="s">
        <v>10</v>
      </c>
      <c r="D5440" t="s">
        <v>10</v>
      </c>
      <c r="E5440" t="str">
        <f>"$ 5,909"</f>
        <v>$ 5,909</v>
      </c>
      <c r="F5440" s="1">
        <v>11282</v>
      </c>
    </row>
    <row r="5441" spans="1:6">
      <c r="A5441" t="s">
        <v>5437</v>
      </c>
      <c r="B5441" t="str">
        <f t="shared" si="237"/>
        <v>0.00077%</v>
      </c>
      <c r="C5441" t="s">
        <v>10</v>
      </c>
      <c r="D5441" t="s">
        <v>10</v>
      </c>
      <c r="E5441" t="str">
        <f>"$ 5,977"</f>
        <v>$ 5,977</v>
      </c>
      <c r="F5441" s="1">
        <v>2769</v>
      </c>
    </row>
    <row r="5442" spans="1:6">
      <c r="A5442" t="s">
        <v>5438</v>
      </c>
      <c r="B5442" t="str">
        <f t="shared" si="237"/>
        <v>0.00077%</v>
      </c>
      <c r="C5442" t="s">
        <v>10</v>
      </c>
      <c r="D5442" t="s">
        <v>10</v>
      </c>
      <c r="E5442" t="str">
        <f>"$ 5,921"</f>
        <v>$ 5,921</v>
      </c>
      <c r="F5442">
        <v>121</v>
      </c>
    </row>
    <row r="5443" spans="1:6">
      <c r="A5443" t="s">
        <v>5439</v>
      </c>
      <c r="B5443" t="str">
        <f t="shared" si="237"/>
        <v>0.00077%</v>
      </c>
      <c r="C5443" t="s">
        <v>10</v>
      </c>
      <c r="D5443" t="s">
        <v>10</v>
      </c>
      <c r="E5443" t="str">
        <f>"$ 5,944"</f>
        <v>$ 5,944</v>
      </c>
      <c r="F5443">
        <v>97</v>
      </c>
    </row>
    <row r="5444" spans="1:6">
      <c r="A5444" t="s">
        <v>5440</v>
      </c>
      <c r="B5444" t="str">
        <f t="shared" si="237"/>
        <v>0.00077%</v>
      </c>
      <c r="C5444" t="s">
        <v>10</v>
      </c>
      <c r="D5444" t="s">
        <v>10</v>
      </c>
      <c r="E5444" t="str">
        <f>"$ 5,922"</f>
        <v>$ 5,922</v>
      </c>
      <c r="F5444">
        <v>967</v>
      </c>
    </row>
    <row r="5445" spans="1:6">
      <c r="A5445" t="s">
        <v>5441</v>
      </c>
      <c r="B5445" t="str">
        <f t="shared" si="237"/>
        <v>0.00077%</v>
      </c>
      <c r="C5445" t="s">
        <v>10</v>
      </c>
      <c r="D5445" t="s">
        <v>10</v>
      </c>
      <c r="E5445" t="str">
        <f>"$ 5,929"</f>
        <v>$ 5,929</v>
      </c>
      <c r="F5445">
        <v>132</v>
      </c>
    </row>
    <row r="5446" spans="1:6">
      <c r="A5446" t="s">
        <v>5442</v>
      </c>
      <c r="B5446" t="str">
        <f t="shared" ref="B5446:B5473" si="238">"0.00076%"</f>
        <v>0.00076%</v>
      </c>
      <c r="C5446" t="s">
        <v>10</v>
      </c>
      <c r="D5446" t="s">
        <v>10</v>
      </c>
      <c r="E5446" t="str">
        <f>"$ 5,882"</f>
        <v>$ 5,882</v>
      </c>
      <c r="F5446" s="1">
        <v>11505</v>
      </c>
    </row>
    <row r="5447" spans="1:6">
      <c r="A5447" t="s">
        <v>5443</v>
      </c>
      <c r="B5447" t="str">
        <f t="shared" si="238"/>
        <v>0.00076%</v>
      </c>
      <c r="C5447" t="s">
        <v>10</v>
      </c>
      <c r="D5447" t="s">
        <v>10</v>
      </c>
      <c r="E5447" t="str">
        <f>"$ 5,847"</f>
        <v>$ 5,847</v>
      </c>
      <c r="F5447">
        <v>291</v>
      </c>
    </row>
    <row r="5448" spans="1:6">
      <c r="A5448" t="s">
        <v>5444</v>
      </c>
      <c r="B5448" t="str">
        <f t="shared" si="238"/>
        <v>0.00076%</v>
      </c>
      <c r="C5448" t="s">
        <v>10</v>
      </c>
      <c r="D5448" t="s">
        <v>10</v>
      </c>
      <c r="E5448" t="str">
        <f>"$ 5,840"</f>
        <v>$ 5,840</v>
      </c>
      <c r="F5448">
        <v>214</v>
      </c>
    </row>
    <row r="5449" spans="1:6">
      <c r="A5449" t="s">
        <v>5445</v>
      </c>
      <c r="B5449" t="str">
        <f t="shared" si="238"/>
        <v>0.00076%</v>
      </c>
      <c r="C5449" t="s">
        <v>10</v>
      </c>
      <c r="D5449" t="s">
        <v>10</v>
      </c>
      <c r="E5449" t="str">
        <f>"$ 5,880"</f>
        <v>$ 5,880</v>
      </c>
      <c r="F5449">
        <v>445</v>
      </c>
    </row>
    <row r="5450" spans="1:6">
      <c r="A5450" t="s">
        <v>5446</v>
      </c>
      <c r="B5450" t="str">
        <f t="shared" si="238"/>
        <v>0.00076%</v>
      </c>
      <c r="C5450" t="s">
        <v>10</v>
      </c>
      <c r="D5450" t="s">
        <v>10</v>
      </c>
      <c r="E5450" t="str">
        <f>"$ 5,882"</f>
        <v>$ 5,882</v>
      </c>
      <c r="F5450">
        <v>420</v>
      </c>
    </row>
    <row r="5451" spans="1:6">
      <c r="A5451" t="s">
        <v>5447</v>
      </c>
      <c r="B5451" t="str">
        <f t="shared" si="238"/>
        <v>0.00076%</v>
      </c>
      <c r="C5451" t="s">
        <v>10</v>
      </c>
      <c r="D5451" t="s">
        <v>10</v>
      </c>
      <c r="E5451" t="str">
        <f>"$ 5,833"</f>
        <v>$ 5,833</v>
      </c>
      <c r="F5451">
        <v>132</v>
      </c>
    </row>
    <row r="5452" spans="1:6">
      <c r="A5452" t="s">
        <v>5448</v>
      </c>
      <c r="B5452" t="str">
        <f t="shared" si="238"/>
        <v>0.00076%</v>
      </c>
      <c r="C5452" t="s">
        <v>10</v>
      </c>
      <c r="D5452" t="s">
        <v>10</v>
      </c>
      <c r="E5452" t="str">
        <f>"$ 5,887"</f>
        <v>$ 5,887</v>
      </c>
      <c r="F5452">
        <v>160</v>
      </c>
    </row>
    <row r="5453" spans="1:6">
      <c r="A5453" t="s">
        <v>5449</v>
      </c>
      <c r="B5453" t="str">
        <f t="shared" si="238"/>
        <v>0.00076%</v>
      </c>
      <c r="C5453" t="s">
        <v>10</v>
      </c>
      <c r="D5453" t="s">
        <v>10</v>
      </c>
      <c r="E5453" t="str">
        <f>"$ 5,845"</f>
        <v>$ 5,845</v>
      </c>
      <c r="F5453">
        <v>98</v>
      </c>
    </row>
    <row r="5454" spans="1:6">
      <c r="A5454" t="s">
        <v>5450</v>
      </c>
      <c r="B5454" t="str">
        <f t="shared" si="238"/>
        <v>0.00076%</v>
      </c>
      <c r="C5454" t="s">
        <v>10</v>
      </c>
      <c r="D5454" t="s">
        <v>10</v>
      </c>
      <c r="E5454" t="str">
        <f>"$ 5,885"</f>
        <v>$ 5,885</v>
      </c>
      <c r="F5454" s="1">
        <v>1035</v>
      </c>
    </row>
    <row r="5455" spans="1:6">
      <c r="A5455" t="s">
        <v>5451</v>
      </c>
      <c r="B5455" t="str">
        <f t="shared" si="238"/>
        <v>0.00076%</v>
      </c>
      <c r="C5455" t="s">
        <v>10</v>
      </c>
      <c r="D5455" t="s">
        <v>10</v>
      </c>
      <c r="E5455" t="str">
        <f>"$ 5,893"</f>
        <v>$ 5,893</v>
      </c>
      <c r="F5455">
        <v>330</v>
      </c>
    </row>
    <row r="5456" spans="1:6">
      <c r="A5456" t="s">
        <v>5452</v>
      </c>
      <c r="B5456" t="str">
        <f t="shared" si="238"/>
        <v>0.00076%</v>
      </c>
      <c r="C5456" t="s">
        <v>10</v>
      </c>
      <c r="D5456" t="s">
        <v>10</v>
      </c>
      <c r="E5456" t="str">
        <f>"$ 5,838"</f>
        <v>$ 5,838</v>
      </c>
      <c r="F5456" s="1">
        <v>3802</v>
      </c>
    </row>
    <row r="5457" spans="1:6">
      <c r="A5457" t="s">
        <v>5453</v>
      </c>
      <c r="B5457" t="str">
        <f t="shared" si="238"/>
        <v>0.00076%</v>
      </c>
      <c r="C5457" t="s">
        <v>10</v>
      </c>
      <c r="D5457" t="s">
        <v>10</v>
      </c>
      <c r="E5457" t="str">
        <f>"$ 5,841"</f>
        <v>$ 5,841</v>
      </c>
      <c r="F5457">
        <v>132</v>
      </c>
    </row>
    <row r="5458" spans="1:6">
      <c r="A5458" t="s">
        <v>5454</v>
      </c>
      <c r="B5458" t="str">
        <f t="shared" si="238"/>
        <v>0.00076%</v>
      </c>
      <c r="C5458" t="s">
        <v>10</v>
      </c>
      <c r="D5458" t="s">
        <v>10</v>
      </c>
      <c r="E5458" t="str">
        <f>"$ 5,847"</f>
        <v>$ 5,847</v>
      </c>
      <c r="F5458" s="1">
        <v>15854</v>
      </c>
    </row>
    <row r="5459" spans="1:6">
      <c r="A5459" t="s">
        <v>5455</v>
      </c>
      <c r="B5459" t="str">
        <f t="shared" si="238"/>
        <v>0.00076%</v>
      </c>
      <c r="C5459" t="s">
        <v>10</v>
      </c>
      <c r="D5459" t="s">
        <v>10</v>
      </c>
      <c r="E5459" t="str">
        <f>"$ 5,868"</f>
        <v>$ 5,868</v>
      </c>
      <c r="F5459">
        <v>61</v>
      </c>
    </row>
    <row r="5460" spans="1:6">
      <c r="A5460" t="s">
        <v>5456</v>
      </c>
      <c r="B5460" t="str">
        <f t="shared" si="238"/>
        <v>0.00076%</v>
      </c>
      <c r="C5460" t="s">
        <v>10</v>
      </c>
      <c r="D5460" t="s">
        <v>10</v>
      </c>
      <c r="E5460" t="str">
        <f>"$ 5,840"</f>
        <v>$ 5,840</v>
      </c>
      <c r="F5460">
        <v>888</v>
      </c>
    </row>
    <row r="5461" spans="1:6">
      <c r="A5461" t="s">
        <v>5457</v>
      </c>
      <c r="B5461" t="str">
        <f t="shared" si="238"/>
        <v>0.00076%</v>
      </c>
      <c r="C5461" t="s">
        <v>10</v>
      </c>
      <c r="D5461" t="s">
        <v>10</v>
      </c>
      <c r="E5461" t="str">
        <f>"$ 5,867"</f>
        <v>$ 5,867</v>
      </c>
      <c r="F5461">
        <v>208</v>
      </c>
    </row>
    <row r="5462" spans="1:6">
      <c r="A5462" t="s">
        <v>5458</v>
      </c>
      <c r="B5462" t="str">
        <f t="shared" si="238"/>
        <v>0.00076%</v>
      </c>
      <c r="C5462" t="s">
        <v>10</v>
      </c>
      <c r="D5462" t="s">
        <v>10</v>
      </c>
      <c r="E5462" t="str">
        <f>"$ 5,873"</f>
        <v>$ 5,873</v>
      </c>
      <c r="F5462" s="1">
        <v>3587</v>
      </c>
    </row>
    <row r="5463" spans="1:6">
      <c r="A5463" t="s">
        <v>5459</v>
      </c>
      <c r="B5463" t="str">
        <f t="shared" si="238"/>
        <v>0.00076%</v>
      </c>
      <c r="C5463" t="s">
        <v>10</v>
      </c>
      <c r="D5463" t="s">
        <v>10</v>
      </c>
      <c r="E5463" t="str">
        <f>"$ 5,893"</f>
        <v>$ 5,893</v>
      </c>
      <c r="F5463">
        <v>85</v>
      </c>
    </row>
    <row r="5464" spans="1:6">
      <c r="A5464" t="s">
        <v>5460</v>
      </c>
      <c r="B5464" t="str">
        <f t="shared" si="238"/>
        <v>0.00076%</v>
      </c>
      <c r="C5464" t="s">
        <v>10</v>
      </c>
      <c r="D5464" t="s">
        <v>10</v>
      </c>
      <c r="E5464" t="str">
        <f>"$ 5,875"</f>
        <v>$ 5,875</v>
      </c>
      <c r="F5464">
        <v>247</v>
      </c>
    </row>
    <row r="5465" spans="1:6">
      <c r="A5465" t="s">
        <v>5461</v>
      </c>
      <c r="B5465" t="str">
        <f t="shared" si="238"/>
        <v>0.00076%</v>
      </c>
      <c r="C5465" t="s">
        <v>10</v>
      </c>
      <c r="D5465" t="s">
        <v>10</v>
      </c>
      <c r="E5465" t="str">
        <f>"$ 5,859"</f>
        <v>$ 5,859</v>
      </c>
      <c r="F5465" s="1">
        <v>8200</v>
      </c>
    </row>
    <row r="5466" spans="1:6">
      <c r="A5466" t="s">
        <v>5462</v>
      </c>
      <c r="B5466" t="str">
        <f t="shared" si="238"/>
        <v>0.00076%</v>
      </c>
      <c r="C5466" t="s">
        <v>10</v>
      </c>
      <c r="D5466" t="s">
        <v>10</v>
      </c>
      <c r="E5466" t="str">
        <f>"$ 5,890"</f>
        <v>$ 5,890</v>
      </c>
      <c r="F5466" s="1">
        <v>9290</v>
      </c>
    </row>
    <row r="5467" spans="1:6">
      <c r="A5467" t="s">
        <v>5463</v>
      </c>
      <c r="B5467" t="str">
        <f t="shared" si="238"/>
        <v>0.00076%</v>
      </c>
      <c r="C5467" t="s">
        <v>10</v>
      </c>
      <c r="D5467" t="s">
        <v>10</v>
      </c>
      <c r="E5467" t="str">
        <f>"$ 5,878"</f>
        <v>$ 5,878</v>
      </c>
      <c r="F5467" s="1">
        <v>2052</v>
      </c>
    </row>
    <row r="5468" spans="1:6">
      <c r="A5468" t="s">
        <v>5464</v>
      </c>
      <c r="B5468" t="str">
        <f t="shared" si="238"/>
        <v>0.00076%</v>
      </c>
      <c r="C5468" t="s">
        <v>10</v>
      </c>
      <c r="D5468" t="s">
        <v>10</v>
      </c>
      <c r="E5468" t="str">
        <f>"$ 5,891"</f>
        <v>$ 5,891</v>
      </c>
      <c r="F5468">
        <v>117</v>
      </c>
    </row>
    <row r="5469" spans="1:6">
      <c r="A5469" t="s">
        <v>5465</v>
      </c>
      <c r="B5469" t="str">
        <f t="shared" si="238"/>
        <v>0.00076%</v>
      </c>
      <c r="C5469" t="s">
        <v>10</v>
      </c>
      <c r="D5469" t="s">
        <v>10</v>
      </c>
      <c r="E5469" t="str">
        <f>"$ 5,893"</f>
        <v>$ 5,893</v>
      </c>
      <c r="F5469" s="1">
        <v>8340</v>
      </c>
    </row>
    <row r="5470" spans="1:6">
      <c r="A5470" t="s">
        <v>5466</v>
      </c>
      <c r="B5470" t="str">
        <f t="shared" si="238"/>
        <v>0.00076%</v>
      </c>
      <c r="C5470" t="s">
        <v>10</v>
      </c>
      <c r="D5470" t="s">
        <v>10</v>
      </c>
      <c r="E5470" t="str">
        <f>"$ 5,851"</f>
        <v>$ 5,851</v>
      </c>
      <c r="F5470" s="1">
        <v>1174</v>
      </c>
    </row>
    <row r="5471" spans="1:6">
      <c r="A5471" t="s">
        <v>5467</v>
      </c>
      <c r="B5471" t="str">
        <f t="shared" si="238"/>
        <v>0.00076%</v>
      </c>
      <c r="C5471" t="s">
        <v>10</v>
      </c>
      <c r="D5471" t="s">
        <v>10</v>
      </c>
      <c r="E5471" t="str">
        <f>"$ 5,851"</f>
        <v>$ 5,851</v>
      </c>
      <c r="F5471">
        <v>495</v>
      </c>
    </row>
    <row r="5472" spans="1:6">
      <c r="A5472" t="s">
        <v>5468</v>
      </c>
      <c r="B5472" t="str">
        <f t="shared" si="238"/>
        <v>0.00076%</v>
      </c>
      <c r="C5472" t="s">
        <v>10</v>
      </c>
      <c r="D5472" t="s">
        <v>10</v>
      </c>
      <c r="E5472" t="str">
        <f>"$ 5,905"</f>
        <v>$ 5,905</v>
      </c>
      <c r="F5472">
        <v>207</v>
      </c>
    </row>
    <row r="5473" spans="1:6">
      <c r="A5473" t="s">
        <v>5469</v>
      </c>
      <c r="B5473" t="str">
        <f t="shared" si="238"/>
        <v>0.00076%</v>
      </c>
      <c r="C5473" t="s">
        <v>10</v>
      </c>
      <c r="D5473" t="s">
        <v>10</v>
      </c>
      <c r="E5473" t="str">
        <f>"$ 5,867"</f>
        <v>$ 5,867</v>
      </c>
      <c r="F5473">
        <v>181</v>
      </c>
    </row>
    <row r="5474" spans="1:6">
      <c r="A5474" t="s">
        <v>5470</v>
      </c>
      <c r="B5474" t="str">
        <f t="shared" ref="B5474:B5511" si="239">"0.00075%"</f>
        <v>0.00075%</v>
      </c>
      <c r="C5474" t="s">
        <v>10</v>
      </c>
      <c r="D5474" t="s">
        <v>10</v>
      </c>
      <c r="E5474" t="str">
        <f>"$ 5,804"</f>
        <v>$ 5,804</v>
      </c>
      <c r="F5474">
        <v>381</v>
      </c>
    </row>
    <row r="5475" spans="1:6">
      <c r="A5475" t="s">
        <v>5471</v>
      </c>
      <c r="B5475" t="str">
        <f t="shared" si="239"/>
        <v>0.00075%</v>
      </c>
      <c r="C5475" t="s">
        <v>10</v>
      </c>
      <c r="D5475" t="s">
        <v>10</v>
      </c>
      <c r="E5475" t="str">
        <f>"$ 5,774"</f>
        <v>$ 5,774</v>
      </c>
      <c r="F5475">
        <v>104</v>
      </c>
    </row>
    <row r="5476" spans="1:6">
      <c r="A5476" t="s">
        <v>5472</v>
      </c>
      <c r="B5476" t="str">
        <f t="shared" si="239"/>
        <v>0.00075%</v>
      </c>
      <c r="C5476" t="s">
        <v>10</v>
      </c>
      <c r="D5476" t="s">
        <v>10</v>
      </c>
      <c r="E5476" t="str">
        <f>"$ 5,809"</f>
        <v>$ 5,809</v>
      </c>
      <c r="F5476">
        <v>214</v>
      </c>
    </row>
    <row r="5477" spans="1:6">
      <c r="A5477" t="s">
        <v>5473</v>
      </c>
      <c r="B5477" t="str">
        <f t="shared" si="239"/>
        <v>0.00075%</v>
      </c>
      <c r="C5477" t="s">
        <v>10</v>
      </c>
      <c r="D5477" t="s">
        <v>10</v>
      </c>
      <c r="E5477" t="str">
        <f>"$ 5,809"</f>
        <v>$ 5,809</v>
      </c>
      <c r="F5477" s="1">
        <v>1598</v>
      </c>
    </row>
    <row r="5478" spans="1:6">
      <c r="A5478" t="s">
        <v>5474</v>
      </c>
      <c r="B5478" t="str">
        <f t="shared" si="239"/>
        <v>0.00075%</v>
      </c>
      <c r="C5478" t="s">
        <v>10</v>
      </c>
      <c r="D5478" t="s">
        <v>10</v>
      </c>
      <c r="E5478" t="str">
        <f>"$ 5,765"</f>
        <v>$ 5,765</v>
      </c>
      <c r="F5478" s="1">
        <v>9335</v>
      </c>
    </row>
    <row r="5479" spans="1:6">
      <c r="A5479" t="s">
        <v>5475</v>
      </c>
      <c r="B5479" t="str">
        <f t="shared" si="239"/>
        <v>0.00075%</v>
      </c>
      <c r="C5479" t="s">
        <v>10</v>
      </c>
      <c r="D5479" t="s">
        <v>10</v>
      </c>
      <c r="E5479" t="str">
        <f>"$ 5,808"</f>
        <v>$ 5,808</v>
      </c>
      <c r="F5479">
        <v>362</v>
      </c>
    </row>
    <row r="5480" spans="1:6">
      <c r="A5480" t="s">
        <v>5476</v>
      </c>
      <c r="B5480" t="str">
        <f t="shared" si="239"/>
        <v>0.00075%</v>
      </c>
      <c r="C5480" t="s">
        <v>10</v>
      </c>
      <c r="D5480" t="s">
        <v>10</v>
      </c>
      <c r="E5480" t="str">
        <f>"$ 5,802"</f>
        <v>$ 5,802</v>
      </c>
      <c r="F5480" s="1">
        <v>3455</v>
      </c>
    </row>
    <row r="5481" spans="1:6">
      <c r="A5481" t="s">
        <v>5477</v>
      </c>
      <c r="B5481" t="str">
        <f t="shared" si="239"/>
        <v>0.00075%</v>
      </c>
      <c r="C5481" t="s">
        <v>10</v>
      </c>
      <c r="D5481" t="s">
        <v>10</v>
      </c>
      <c r="E5481" t="str">
        <f>"$ 5,801"</f>
        <v>$ 5,801</v>
      </c>
      <c r="F5481">
        <v>2</v>
      </c>
    </row>
    <row r="5482" spans="1:6">
      <c r="A5482" t="s">
        <v>5478</v>
      </c>
      <c r="B5482" t="str">
        <f t="shared" si="239"/>
        <v>0.00075%</v>
      </c>
      <c r="C5482" t="s">
        <v>10</v>
      </c>
      <c r="D5482" t="s">
        <v>10</v>
      </c>
      <c r="E5482" t="str">
        <f>"$ 5,780"</f>
        <v>$ 5,780</v>
      </c>
      <c r="F5482">
        <v>93</v>
      </c>
    </row>
    <row r="5483" spans="1:6">
      <c r="A5483" t="s">
        <v>5479</v>
      </c>
      <c r="B5483" t="str">
        <f t="shared" si="239"/>
        <v>0.00075%</v>
      </c>
      <c r="C5483" t="s">
        <v>10</v>
      </c>
      <c r="D5483" t="s">
        <v>10</v>
      </c>
      <c r="E5483" t="str">
        <f>"$ 5,780"</f>
        <v>$ 5,780</v>
      </c>
      <c r="F5483">
        <v>115</v>
      </c>
    </row>
    <row r="5484" spans="1:6">
      <c r="A5484" t="s">
        <v>5480</v>
      </c>
      <c r="B5484" t="str">
        <f t="shared" si="239"/>
        <v>0.00075%</v>
      </c>
      <c r="C5484" t="s">
        <v>10</v>
      </c>
      <c r="D5484" t="s">
        <v>10</v>
      </c>
      <c r="E5484" t="str">
        <f>"$ 5,815"</f>
        <v>$ 5,815</v>
      </c>
      <c r="F5484">
        <v>445</v>
      </c>
    </row>
    <row r="5485" spans="1:6">
      <c r="A5485" t="s">
        <v>5481</v>
      </c>
      <c r="B5485" t="str">
        <f t="shared" si="239"/>
        <v>0.00075%</v>
      </c>
      <c r="C5485" t="s">
        <v>10</v>
      </c>
      <c r="D5485" t="s">
        <v>10</v>
      </c>
      <c r="E5485" t="str">
        <f>"$ 5,826"</f>
        <v>$ 5,826</v>
      </c>
      <c r="F5485" s="1">
        <v>1121</v>
      </c>
    </row>
    <row r="5486" spans="1:6">
      <c r="A5486" t="s">
        <v>5482</v>
      </c>
      <c r="B5486" t="str">
        <f t="shared" si="239"/>
        <v>0.00075%</v>
      </c>
      <c r="C5486" t="s">
        <v>10</v>
      </c>
      <c r="D5486" t="s">
        <v>10</v>
      </c>
      <c r="E5486" t="str">
        <f>"$ 5,773"</f>
        <v>$ 5,773</v>
      </c>
      <c r="F5486">
        <v>241</v>
      </c>
    </row>
    <row r="5487" spans="1:6">
      <c r="A5487" t="s">
        <v>5483</v>
      </c>
      <c r="B5487" t="str">
        <f t="shared" si="239"/>
        <v>0.00075%</v>
      </c>
      <c r="C5487" t="s">
        <v>10</v>
      </c>
      <c r="D5487" t="s">
        <v>10</v>
      </c>
      <c r="E5487" t="str">
        <f>"$ 5,823"</f>
        <v>$ 5,823</v>
      </c>
      <c r="F5487">
        <v>270</v>
      </c>
    </row>
    <row r="5488" spans="1:6">
      <c r="A5488" t="s">
        <v>5484</v>
      </c>
      <c r="B5488" t="str">
        <f t="shared" si="239"/>
        <v>0.00075%</v>
      </c>
      <c r="C5488" t="s">
        <v>10</v>
      </c>
      <c r="D5488" t="s">
        <v>10</v>
      </c>
      <c r="E5488" t="str">
        <f>"$ 5,797"</f>
        <v>$ 5,797</v>
      </c>
      <c r="F5488">
        <v>128</v>
      </c>
    </row>
    <row r="5489" spans="1:6">
      <c r="A5489" t="s">
        <v>5485</v>
      </c>
      <c r="B5489" t="str">
        <f t="shared" si="239"/>
        <v>0.00075%</v>
      </c>
      <c r="C5489" t="s">
        <v>10</v>
      </c>
      <c r="D5489" t="s">
        <v>10</v>
      </c>
      <c r="E5489" t="str">
        <f>"$ 5,819"</f>
        <v>$ 5,819</v>
      </c>
      <c r="F5489">
        <v>896</v>
      </c>
    </row>
    <row r="5490" spans="1:6">
      <c r="A5490" t="s">
        <v>5486</v>
      </c>
      <c r="B5490" t="str">
        <f t="shared" si="239"/>
        <v>0.00075%</v>
      </c>
      <c r="C5490" t="s">
        <v>10</v>
      </c>
      <c r="D5490" t="s">
        <v>10</v>
      </c>
      <c r="E5490" t="str">
        <f>"$ 5,771"</f>
        <v>$ 5,771</v>
      </c>
      <c r="F5490" s="1">
        <v>3791</v>
      </c>
    </row>
    <row r="5491" spans="1:6">
      <c r="A5491" t="s">
        <v>5487</v>
      </c>
      <c r="B5491" t="str">
        <f t="shared" si="239"/>
        <v>0.00075%</v>
      </c>
      <c r="C5491" t="s">
        <v>10</v>
      </c>
      <c r="D5491" t="s">
        <v>10</v>
      </c>
      <c r="E5491" t="str">
        <f>"$ 5,766"</f>
        <v>$ 5,766</v>
      </c>
      <c r="F5491">
        <v>934</v>
      </c>
    </row>
    <row r="5492" spans="1:6">
      <c r="A5492" t="s">
        <v>5488</v>
      </c>
      <c r="B5492" t="str">
        <f t="shared" si="239"/>
        <v>0.00075%</v>
      </c>
      <c r="C5492" t="s">
        <v>10</v>
      </c>
      <c r="D5492" t="s">
        <v>10</v>
      </c>
      <c r="E5492" t="str">
        <f>"$ 5,804"</f>
        <v>$ 5,804</v>
      </c>
      <c r="F5492" s="1">
        <v>3246</v>
      </c>
    </row>
    <row r="5493" spans="1:6">
      <c r="A5493" t="s">
        <v>5489</v>
      </c>
      <c r="B5493" t="str">
        <f t="shared" si="239"/>
        <v>0.00075%</v>
      </c>
      <c r="C5493" t="s">
        <v>10</v>
      </c>
      <c r="D5493" t="s">
        <v>10</v>
      </c>
      <c r="E5493" t="str">
        <f>"$ 5,815"</f>
        <v>$ 5,815</v>
      </c>
      <c r="F5493">
        <v>58</v>
      </c>
    </row>
    <row r="5494" spans="1:6">
      <c r="A5494" t="s">
        <v>5490</v>
      </c>
      <c r="B5494" t="str">
        <f t="shared" si="239"/>
        <v>0.00075%</v>
      </c>
      <c r="C5494" t="s">
        <v>10</v>
      </c>
      <c r="D5494" t="s">
        <v>10</v>
      </c>
      <c r="E5494" t="str">
        <f>"$ 5,770"</f>
        <v>$ 5,770</v>
      </c>
      <c r="F5494">
        <v>403</v>
      </c>
    </row>
    <row r="5495" spans="1:6">
      <c r="A5495" t="s">
        <v>5491</v>
      </c>
      <c r="B5495" t="str">
        <f t="shared" si="239"/>
        <v>0.00075%</v>
      </c>
      <c r="C5495" t="s">
        <v>10</v>
      </c>
      <c r="D5495" t="s">
        <v>10</v>
      </c>
      <c r="E5495" t="str">
        <f>"$ 5,766"</f>
        <v>$ 5,766</v>
      </c>
      <c r="F5495">
        <v>236</v>
      </c>
    </row>
    <row r="5496" spans="1:6">
      <c r="A5496" t="s">
        <v>5492</v>
      </c>
      <c r="B5496" t="str">
        <f t="shared" si="239"/>
        <v>0.00075%</v>
      </c>
      <c r="C5496" t="s">
        <v>10</v>
      </c>
      <c r="D5496" t="s">
        <v>10</v>
      </c>
      <c r="E5496" t="str">
        <f>"$ 5,794"</f>
        <v>$ 5,794</v>
      </c>
      <c r="F5496" s="1">
        <v>2509</v>
      </c>
    </row>
    <row r="5497" spans="1:6">
      <c r="A5497" t="s">
        <v>5493</v>
      </c>
      <c r="B5497" t="str">
        <f t="shared" si="239"/>
        <v>0.00075%</v>
      </c>
      <c r="C5497" t="s">
        <v>10</v>
      </c>
      <c r="D5497" t="s">
        <v>10</v>
      </c>
      <c r="E5497" t="str">
        <f>"$ 5,776"</f>
        <v>$ 5,776</v>
      </c>
      <c r="F5497" s="1">
        <v>1676485</v>
      </c>
    </row>
    <row r="5498" spans="1:6">
      <c r="A5498" t="s">
        <v>5494</v>
      </c>
      <c r="B5498" t="str">
        <f t="shared" si="239"/>
        <v>0.00075%</v>
      </c>
      <c r="C5498" t="s">
        <v>10</v>
      </c>
      <c r="D5498" t="s">
        <v>10</v>
      </c>
      <c r="E5498" t="str">
        <f>"$ 5,793"</f>
        <v>$ 5,793</v>
      </c>
      <c r="F5498">
        <v>541</v>
      </c>
    </row>
    <row r="5499" spans="1:6">
      <c r="A5499" t="s">
        <v>5495</v>
      </c>
      <c r="B5499" t="str">
        <f t="shared" si="239"/>
        <v>0.00075%</v>
      </c>
      <c r="C5499" t="s">
        <v>10</v>
      </c>
      <c r="D5499" t="s">
        <v>10</v>
      </c>
      <c r="E5499" t="str">
        <f>"$ 5,773"</f>
        <v>$ 5,773</v>
      </c>
      <c r="F5499">
        <v>148</v>
      </c>
    </row>
    <row r="5500" spans="1:6">
      <c r="A5500" t="s">
        <v>3500</v>
      </c>
      <c r="B5500" t="str">
        <f t="shared" si="239"/>
        <v>0.00075%</v>
      </c>
      <c r="C5500" t="s">
        <v>10</v>
      </c>
      <c r="D5500" t="s">
        <v>10</v>
      </c>
      <c r="E5500" t="str">
        <f>"$ 5,775"</f>
        <v>$ 5,775</v>
      </c>
      <c r="F5500" s="1">
        <v>1456</v>
      </c>
    </row>
    <row r="5501" spans="1:6">
      <c r="A5501" t="s">
        <v>5496</v>
      </c>
      <c r="B5501" t="str">
        <f t="shared" si="239"/>
        <v>0.00075%</v>
      </c>
      <c r="C5501" t="s">
        <v>10</v>
      </c>
      <c r="D5501" t="s">
        <v>10</v>
      </c>
      <c r="E5501" t="str">
        <f>"$ 5,756"</f>
        <v>$ 5,756</v>
      </c>
      <c r="F5501">
        <v>326</v>
      </c>
    </row>
    <row r="5502" spans="1:6">
      <c r="A5502" t="s">
        <v>5497</v>
      </c>
      <c r="B5502" t="str">
        <f t="shared" si="239"/>
        <v>0.00075%</v>
      </c>
      <c r="C5502" t="s">
        <v>10</v>
      </c>
      <c r="D5502" t="s">
        <v>10</v>
      </c>
      <c r="E5502" t="str">
        <f>"$ 5,783"</f>
        <v>$ 5,783</v>
      </c>
      <c r="F5502" s="1">
        <v>4395</v>
      </c>
    </row>
    <row r="5503" spans="1:6">
      <c r="A5503" t="s">
        <v>5498</v>
      </c>
      <c r="B5503" t="str">
        <f t="shared" si="239"/>
        <v>0.00075%</v>
      </c>
      <c r="C5503" t="s">
        <v>10</v>
      </c>
      <c r="D5503" t="s">
        <v>10</v>
      </c>
      <c r="E5503" t="str">
        <f>"$ 5,813"</f>
        <v>$ 5,813</v>
      </c>
      <c r="F5503" s="1">
        <v>3746</v>
      </c>
    </row>
    <row r="5504" spans="1:6">
      <c r="A5504" t="s">
        <v>5499</v>
      </c>
      <c r="B5504" t="str">
        <f t="shared" si="239"/>
        <v>0.00075%</v>
      </c>
      <c r="C5504" t="s">
        <v>10</v>
      </c>
      <c r="D5504" t="s">
        <v>10</v>
      </c>
      <c r="E5504" t="str">
        <f>"$ 5,761"</f>
        <v>$ 5,761</v>
      </c>
      <c r="F5504">
        <v>496</v>
      </c>
    </row>
    <row r="5505" spans="1:6">
      <c r="A5505" t="s">
        <v>5500</v>
      </c>
      <c r="B5505" t="str">
        <f t="shared" si="239"/>
        <v>0.00075%</v>
      </c>
      <c r="C5505" t="s">
        <v>10</v>
      </c>
      <c r="D5505" t="s">
        <v>10</v>
      </c>
      <c r="E5505" t="str">
        <f>"$ 5,758"</f>
        <v>$ 5,758</v>
      </c>
      <c r="F5505" s="1">
        <v>4074</v>
      </c>
    </row>
    <row r="5506" spans="1:6">
      <c r="A5506" t="s">
        <v>5501</v>
      </c>
      <c r="B5506" t="str">
        <f t="shared" si="239"/>
        <v>0.00075%</v>
      </c>
      <c r="C5506" t="s">
        <v>10</v>
      </c>
      <c r="D5506" t="s">
        <v>10</v>
      </c>
      <c r="E5506" t="str">
        <f>"$ 5,788"</f>
        <v>$ 5,788</v>
      </c>
      <c r="F5506">
        <v>730</v>
      </c>
    </row>
    <row r="5507" spans="1:6">
      <c r="A5507" t="s">
        <v>5502</v>
      </c>
      <c r="B5507" t="str">
        <f t="shared" si="239"/>
        <v>0.00075%</v>
      </c>
      <c r="C5507" t="s">
        <v>10</v>
      </c>
      <c r="D5507" t="s">
        <v>10</v>
      </c>
      <c r="E5507" t="str">
        <f>"$ 5,812"</f>
        <v>$ 5,812</v>
      </c>
      <c r="F5507">
        <v>322</v>
      </c>
    </row>
    <row r="5508" spans="1:6">
      <c r="A5508" t="s">
        <v>5503</v>
      </c>
      <c r="B5508" t="str">
        <f t="shared" si="239"/>
        <v>0.00075%</v>
      </c>
      <c r="C5508" t="s">
        <v>10</v>
      </c>
      <c r="D5508" t="s">
        <v>10</v>
      </c>
      <c r="E5508" t="str">
        <f>"$ 5,822"</f>
        <v>$ 5,822</v>
      </c>
      <c r="F5508">
        <v>289</v>
      </c>
    </row>
    <row r="5509" spans="1:6">
      <c r="A5509" t="s">
        <v>5504</v>
      </c>
      <c r="B5509" t="str">
        <f t="shared" si="239"/>
        <v>0.00075%</v>
      </c>
      <c r="C5509" t="s">
        <v>10</v>
      </c>
      <c r="D5509" t="s">
        <v>10</v>
      </c>
      <c r="E5509" t="str">
        <f>"$ 5,781"</f>
        <v>$ 5,781</v>
      </c>
      <c r="F5509">
        <v>250</v>
      </c>
    </row>
    <row r="5510" spans="1:6">
      <c r="A5510" t="s">
        <v>5505</v>
      </c>
      <c r="B5510" t="str">
        <f t="shared" si="239"/>
        <v>0.00075%</v>
      </c>
      <c r="C5510" t="s">
        <v>10</v>
      </c>
      <c r="D5510" t="s">
        <v>10</v>
      </c>
      <c r="E5510" t="str">
        <f>"$ 5,793"</f>
        <v>$ 5,793</v>
      </c>
      <c r="F5510" s="1">
        <v>1908</v>
      </c>
    </row>
    <row r="5511" spans="1:6">
      <c r="A5511" t="s">
        <v>5506</v>
      </c>
      <c r="B5511" t="str">
        <f t="shared" si="239"/>
        <v>0.00075%</v>
      </c>
      <c r="C5511" t="s">
        <v>10</v>
      </c>
      <c r="D5511" t="s">
        <v>10</v>
      </c>
      <c r="E5511" t="str">
        <f>"$ 5,776"</f>
        <v>$ 5,776</v>
      </c>
      <c r="F5511">
        <v>178</v>
      </c>
    </row>
    <row r="5512" spans="1:6">
      <c r="A5512" t="s">
        <v>5507</v>
      </c>
      <c r="B5512" t="str">
        <f t="shared" ref="B5512:B5543" si="240">"0.00074%"</f>
        <v>0.00074%</v>
      </c>
      <c r="C5512" t="s">
        <v>10</v>
      </c>
      <c r="D5512" t="s">
        <v>10</v>
      </c>
      <c r="E5512" t="str">
        <f>"$ 5,735"</f>
        <v>$ 5,735</v>
      </c>
      <c r="F5512" s="1">
        <v>5872</v>
      </c>
    </row>
    <row r="5513" spans="1:6">
      <c r="A5513" t="s">
        <v>5508</v>
      </c>
      <c r="B5513" t="str">
        <f t="shared" si="240"/>
        <v>0.00074%</v>
      </c>
      <c r="C5513" t="s">
        <v>10</v>
      </c>
      <c r="D5513" t="s">
        <v>10</v>
      </c>
      <c r="E5513" t="str">
        <f>"$ 5,719"</f>
        <v>$ 5,719</v>
      </c>
      <c r="F5513">
        <v>218</v>
      </c>
    </row>
    <row r="5514" spans="1:6">
      <c r="A5514" t="s">
        <v>5509</v>
      </c>
      <c r="B5514" t="str">
        <f t="shared" si="240"/>
        <v>0.00074%</v>
      </c>
      <c r="C5514" t="s">
        <v>10</v>
      </c>
      <c r="D5514" t="s">
        <v>10</v>
      </c>
      <c r="E5514" t="str">
        <f>"$ 5,714"</f>
        <v>$ 5,714</v>
      </c>
      <c r="F5514">
        <v>673</v>
      </c>
    </row>
    <row r="5515" spans="1:6">
      <c r="A5515" t="s">
        <v>5510</v>
      </c>
      <c r="B5515" t="str">
        <f t="shared" si="240"/>
        <v>0.00074%</v>
      </c>
      <c r="C5515" t="s">
        <v>10</v>
      </c>
      <c r="D5515" t="s">
        <v>10</v>
      </c>
      <c r="E5515" t="str">
        <f>"$ 5,719"</f>
        <v>$ 5,719</v>
      </c>
      <c r="F5515">
        <v>259</v>
      </c>
    </row>
    <row r="5516" spans="1:6">
      <c r="A5516" t="s">
        <v>5511</v>
      </c>
      <c r="B5516" t="str">
        <f t="shared" si="240"/>
        <v>0.00074%</v>
      </c>
      <c r="C5516" t="s">
        <v>10</v>
      </c>
      <c r="D5516" t="s">
        <v>10</v>
      </c>
      <c r="E5516" t="str">
        <f>"$ 5,700"</f>
        <v>$ 5,700</v>
      </c>
      <c r="F5516">
        <v>264</v>
      </c>
    </row>
    <row r="5517" spans="1:6">
      <c r="A5517" t="s">
        <v>5512</v>
      </c>
      <c r="B5517" t="str">
        <f t="shared" si="240"/>
        <v>0.00074%</v>
      </c>
      <c r="C5517" t="s">
        <v>10</v>
      </c>
      <c r="D5517" t="s">
        <v>10</v>
      </c>
      <c r="E5517" t="str">
        <f>"$ 5,702"</f>
        <v>$ 5,702</v>
      </c>
      <c r="F5517">
        <v>330</v>
      </c>
    </row>
    <row r="5518" spans="1:6">
      <c r="A5518" t="s">
        <v>5513</v>
      </c>
      <c r="B5518" t="str">
        <f t="shared" si="240"/>
        <v>0.00074%</v>
      </c>
      <c r="C5518" t="s">
        <v>10</v>
      </c>
      <c r="D5518" t="s">
        <v>10</v>
      </c>
      <c r="E5518" t="str">
        <f>"$ 5,748"</f>
        <v>$ 5,748</v>
      </c>
      <c r="F5518">
        <v>981</v>
      </c>
    </row>
    <row r="5519" spans="1:6">
      <c r="A5519" t="s">
        <v>5514</v>
      </c>
      <c r="B5519" t="str">
        <f t="shared" si="240"/>
        <v>0.00074%</v>
      </c>
      <c r="C5519" t="s">
        <v>10</v>
      </c>
      <c r="D5519" t="s">
        <v>10</v>
      </c>
      <c r="E5519" t="str">
        <f>"$ 5,685"</f>
        <v>$ 5,685</v>
      </c>
      <c r="F5519">
        <v>191</v>
      </c>
    </row>
    <row r="5520" spans="1:6">
      <c r="A5520" t="s">
        <v>5515</v>
      </c>
      <c r="B5520" t="str">
        <f t="shared" si="240"/>
        <v>0.00074%</v>
      </c>
      <c r="C5520" t="s">
        <v>10</v>
      </c>
      <c r="D5520" t="s">
        <v>10</v>
      </c>
      <c r="E5520" t="str">
        <f>"$ 5,711"</f>
        <v>$ 5,711</v>
      </c>
      <c r="F5520">
        <v>86</v>
      </c>
    </row>
    <row r="5521" spans="1:6">
      <c r="A5521" t="s">
        <v>5516</v>
      </c>
      <c r="B5521" t="str">
        <f t="shared" si="240"/>
        <v>0.00074%</v>
      </c>
      <c r="C5521" t="s">
        <v>10</v>
      </c>
      <c r="D5521" t="s">
        <v>10</v>
      </c>
      <c r="E5521" t="str">
        <f>"$ 5,690"</f>
        <v>$ 5,690</v>
      </c>
      <c r="F5521">
        <v>462</v>
      </c>
    </row>
    <row r="5522" spans="1:6">
      <c r="A5522" t="s">
        <v>5517</v>
      </c>
      <c r="B5522" t="str">
        <f t="shared" si="240"/>
        <v>0.00074%</v>
      </c>
      <c r="C5522" t="s">
        <v>10</v>
      </c>
      <c r="D5522" t="s">
        <v>10</v>
      </c>
      <c r="E5522" t="str">
        <f>"$ 5,723"</f>
        <v>$ 5,723</v>
      </c>
      <c r="F5522">
        <v>307</v>
      </c>
    </row>
    <row r="5523" spans="1:6">
      <c r="A5523" t="s">
        <v>5518</v>
      </c>
      <c r="B5523" t="str">
        <f t="shared" si="240"/>
        <v>0.00074%</v>
      </c>
      <c r="C5523" t="s">
        <v>10</v>
      </c>
      <c r="D5523" t="s">
        <v>10</v>
      </c>
      <c r="E5523" t="str">
        <f>"$ 5,705"</f>
        <v>$ 5,705</v>
      </c>
      <c r="F5523">
        <v>110</v>
      </c>
    </row>
    <row r="5524" spans="1:6">
      <c r="A5524" t="s">
        <v>5519</v>
      </c>
      <c r="B5524" t="str">
        <f t="shared" si="240"/>
        <v>0.00074%</v>
      </c>
      <c r="C5524" t="s">
        <v>10</v>
      </c>
      <c r="D5524" t="s">
        <v>10</v>
      </c>
      <c r="E5524" t="str">
        <f>"$ 5,750"</f>
        <v>$ 5,750</v>
      </c>
      <c r="F5524" s="1">
        <v>13315</v>
      </c>
    </row>
    <row r="5525" spans="1:6">
      <c r="A5525" t="s">
        <v>5520</v>
      </c>
      <c r="B5525" t="str">
        <f t="shared" si="240"/>
        <v>0.00074%</v>
      </c>
      <c r="C5525" t="s">
        <v>10</v>
      </c>
      <c r="D5525" t="s">
        <v>10</v>
      </c>
      <c r="E5525" t="str">
        <f>"$ 5,747"</f>
        <v>$ 5,747</v>
      </c>
      <c r="F5525">
        <v>39</v>
      </c>
    </row>
    <row r="5526" spans="1:6">
      <c r="A5526" t="s">
        <v>5521</v>
      </c>
      <c r="B5526" t="str">
        <f t="shared" si="240"/>
        <v>0.00074%</v>
      </c>
      <c r="C5526" t="s">
        <v>10</v>
      </c>
      <c r="D5526" t="s">
        <v>10</v>
      </c>
      <c r="E5526" t="str">
        <f>"$ 5,726"</f>
        <v>$ 5,726</v>
      </c>
      <c r="F5526">
        <v>39</v>
      </c>
    </row>
    <row r="5527" spans="1:6">
      <c r="A5527" t="s">
        <v>5522</v>
      </c>
      <c r="B5527" t="str">
        <f t="shared" si="240"/>
        <v>0.00074%</v>
      </c>
      <c r="C5527" t="s">
        <v>10</v>
      </c>
      <c r="D5527" t="s">
        <v>10</v>
      </c>
      <c r="E5527" t="str">
        <f>"$ 5,736"</f>
        <v>$ 5,736</v>
      </c>
      <c r="F5527">
        <v>224</v>
      </c>
    </row>
    <row r="5528" spans="1:6">
      <c r="A5528" t="s">
        <v>5523</v>
      </c>
      <c r="B5528" t="str">
        <f t="shared" si="240"/>
        <v>0.00074%</v>
      </c>
      <c r="C5528" t="s">
        <v>10</v>
      </c>
      <c r="D5528" t="s">
        <v>10</v>
      </c>
      <c r="E5528" t="str">
        <f>"$ 5,685"</f>
        <v>$ 5,685</v>
      </c>
      <c r="F5528">
        <v>855</v>
      </c>
    </row>
    <row r="5529" spans="1:6">
      <c r="A5529" t="s">
        <v>5524</v>
      </c>
      <c r="B5529" t="str">
        <f t="shared" si="240"/>
        <v>0.00074%</v>
      </c>
      <c r="C5529" t="s">
        <v>10</v>
      </c>
      <c r="D5529" t="s">
        <v>10</v>
      </c>
      <c r="E5529" t="str">
        <f>"$ 5,694"</f>
        <v>$ 5,694</v>
      </c>
      <c r="F5529" s="1">
        <v>5280</v>
      </c>
    </row>
    <row r="5530" spans="1:6">
      <c r="A5530" t="s">
        <v>5525</v>
      </c>
      <c r="B5530" t="str">
        <f t="shared" si="240"/>
        <v>0.00074%</v>
      </c>
      <c r="C5530" t="s">
        <v>10</v>
      </c>
      <c r="D5530" t="s">
        <v>10</v>
      </c>
      <c r="E5530" t="str">
        <f>"$ 5,718"</f>
        <v>$ 5,718</v>
      </c>
      <c r="F5530">
        <v>231</v>
      </c>
    </row>
    <row r="5531" spans="1:6">
      <c r="A5531" t="s">
        <v>5526</v>
      </c>
      <c r="B5531" t="str">
        <f t="shared" si="240"/>
        <v>0.00074%</v>
      </c>
      <c r="C5531" t="s">
        <v>10</v>
      </c>
      <c r="D5531" t="s">
        <v>10</v>
      </c>
      <c r="E5531" t="str">
        <f>"$ 5,716"</f>
        <v>$ 5,716</v>
      </c>
      <c r="F5531" s="1">
        <v>2159</v>
      </c>
    </row>
    <row r="5532" spans="1:6">
      <c r="A5532" t="s">
        <v>5527</v>
      </c>
      <c r="B5532" t="str">
        <f t="shared" si="240"/>
        <v>0.00074%</v>
      </c>
      <c r="C5532" t="s">
        <v>10</v>
      </c>
      <c r="D5532" t="s">
        <v>10</v>
      </c>
      <c r="E5532" t="str">
        <f>"$ 5,705"</f>
        <v>$ 5,705</v>
      </c>
      <c r="F5532">
        <v>495</v>
      </c>
    </row>
    <row r="5533" spans="1:6">
      <c r="A5533" t="s">
        <v>5528</v>
      </c>
      <c r="B5533" t="str">
        <f t="shared" si="240"/>
        <v>0.00074%</v>
      </c>
      <c r="C5533" t="s">
        <v>10</v>
      </c>
      <c r="D5533" t="s">
        <v>10</v>
      </c>
      <c r="E5533" t="str">
        <f>"$ 5,742"</f>
        <v>$ 5,742</v>
      </c>
      <c r="F5533">
        <v>33</v>
      </c>
    </row>
    <row r="5534" spans="1:6">
      <c r="A5534" t="s">
        <v>5529</v>
      </c>
      <c r="B5534" t="str">
        <f t="shared" si="240"/>
        <v>0.00074%</v>
      </c>
      <c r="C5534" t="s">
        <v>10</v>
      </c>
      <c r="D5534" t="s">
        <v>10</v>
      </c>
      <c r="E5534" t="str">
        <f>"$ 5,698"</f>
        <v>$ 5,698</v>
      </c>
      <c r="F5534">
        <v>297</v>
      </c>
    </row>
    <row r="5535" spans="1:6">
      <c r="A5535" t="s">
        <v>5530</v>
      </c>
      <c r="B5535" t="str">
        <f t="shared" si="240"/>
        <v>0.00074%</v>
      </c>
      <c r="C5535" t="s">
        <v>10</v>
      </c>
      <c r="D5535" t="s">
        <v>10</v>
      </c>
      <c r="E5535" t="str">
        <f>"$ 5,713"</f>
        <v>$ 5,713</v>
      </c>
      <c r="F5535">
        <v>181</v>
      </c>
    </row>
    <row r="5536" spans="1:6">
      <c r="A5536" t="s">
        <v>5531</v>
      </c>
      <c r="B5536" t="str">
        <f t="shared" si="240"/>
        <v>0.00074%</v>
      </c>
      <c r="C5536" t="s">
        <v>10</v>
      </c>
      <c r="D5536" t="s">
        <v>10</v>
      </c>
      <c r="E5536" t="str">
        <f>"$ 5,692"</f>
        <v>$ 5,692</v>
      </c>
      <c r="F5536">
        <v>293</v>
      </c>
    </row>
    <row r="5537" spans="1:6">
      <c r="A5537" t="s">
        <v>5532</v>
      </c>
      <c r="B5537" t="str">
        <f t="shared" si="240"/>
        <v>0.00074%</v>
      </c>
      <c r="C5537" t="s">
        <v>10</v>
      </c>
      <c r="D5537" t="s">
        <v>10</v>
      </c>
      <c r="E5537" t="str">
        <f>"$ 5,688"</f>
        <v>$ 5,688</v>
      </c>
      <c r="F5537">
        <v>187</v>
      </c>
    </row>
    <row r="5538" spans="1:6">
      <c r="A5538" t="s">
        <v>5533</v>
      </c>
      <c r="B5538" t="str">
        <f t="shared" si="240"/>
        <v>0.00074%</v>
      </c>
      <c r="C5538" t="s">
        <v>10</v>
      </c>
      <c r="D5538" t="s">
        <v>10</v>
      </c>
      <c r="E5538" t="str">
        <f>"$ 5,679"</f>
        <v>$ 5,679</v>
      </c>
      <c r="F5538">
        <v>683</v>
      </c>
    </row>
    <row r="5539" spans="1:6">
      <c r="A5539" t="s">
        <v>5534</v>
      </c>
      <c r="B5539" t="str">
        <f t="shared" si="240"/>
        <v>0.00074%</v>
      </c>
      <c r="C5539" t="s">
        <v>10</v>
      </c>
      <c r="D5539" t="s">
        <v>10</v>
      </c>
      <c r="E5539" t="str">
        <f>"$ 5,709"</f>
        <v>$ 5,709</v>
      </c>
      <c r="F5539">
        <v>124</v>
      </c>
    </row>
    <row r="5540" spans="1:6">
      <c r="A5540" t="s">
        <v>5535</v>
      </c>
      <c r="B5540" t="str">
        <f t="shared" si="240"/>
        <v>0.00074%</v>
      </c>
      <c r="C5540" t="s">
        <v>10</v>
      </c>
      <c r="D5540" t="s">
        <v>10</v>
      </c>
      <c r="E5540" t="str">
        <f>"$ 5,704"</f>
        <v>$ 5,704</v>
      </c>
      <c r="F5540">
        <v>201</v>
      </c>
    </row>
    <row r="5541" spans="1:6">
      <c r="A5541" t="s">
        <v>5536</v>
      </c>
      <c r="B5541" t="str">
        <f t="shared" si="240"/>
        <v>0.00074%</v>
      </c>
      <c r="C5541" t="s">
        <v>10</v>
      </c>
      <c r="D5541" t="s">
        <v>10</v>
      </c>
      <c r="E5541" t="str">
        <f>"$ 5,721"</f>
        <v>$ 5,721</v>
      </c>
      <c r="F5541" s="1">
        <v>9435</v>
      </c>
    </row>
    <row r="5542" spans="1:6">
      <c r="A5542" t="s">
        <v>5537</v>
      </c>
      <c r="B5542" t="str">
        <f t="shared" si="240"/>
        <v>0.00074%</v>
      </c>
      <c r="C5542" t="s">
        <v>10</v>
      </c>
      <c r="D5542" t="s">
        <v>10</v>
      </c>
      <c r="E5542" t="str">
        <f>"$ 5,703"</f>
        <v>$ 5,703</v>
      </c>
      <c r="F5542">
        <v>196</v>
      </c>
    </row>
    <row r="5543" spans="1:6">
      <c r="A5543" t="s">
        <v>5538</v>
      </c>
      <c r="B5543" t="str">
        <f t="shared" si="240"/>
        <v>0.00074%</v>
      </c>
      <c r="C5543" t="s">
        <v>10</v>
      </c>
      <c r="D5543" t="s">
        <v>10</v>
      </c>
      <c r="E5543" t="str">
        <f>"$ 5,720"</f>
        <v>$ 5,720</v>
      </c>
      <c r="F5543">
        <v>49</v>
      </c>
    </row>
    <row r="5544" spans="1:6">
      <c r="A5544" t="s">
        <v>5539</v>
      </c>
      <c r="B5544" t="str">
        <f t="shared" ref="B5544:B5573" si="241">"0.00073%"</f>
        <v>0.00073%</v>
      </c>
      <c r="C5544" t="s">
        <v>10</v>
      </c>
      <c r="D5544" t="s">
        <v>10</v>
      </c>
      <c r="E5544" t="str">
        <f>"$ 5,667"</f>
        <v>$ 5,667</v>
      </c>
      <c r="F5544">
        <v>445</v>
      </c>
    </row>
    <row r="5545" spans="1:6">
      <c r="A5545" t="s">
        <v>5540</v>
      </c>
      <c r="B5545" t="str">
        <f t="shared" si="241"/>
        <v>0.00073%</v>
      </c>
      <c r="C5545" t="s">
        <v>10</v>
      </c>
      <c r="D5545" t="s">
        <v>10</v>
      </c>
      <c r="E5545" t="str">
        <f>"$ 5,665"</f>
        <v>$ 5,665</v>
      </c>
      <c r="F5545">
        <v>178</v>
      </c>
    </row>
    <row r="5546" spans="1:6">
      <c r="A5546" t="s">
        <v>5541</v>
      </c>
      <c r="B5546" t="str">
        <f t="shared" si="241"/>
        <v>0.00073%</v>
      </c>
      <c r="C5546" t="s">
        <v>10</v>
      </c>
      <c r="D5546" t="s">
        <v>10</v>
      </c>
      <c r="E5546" t="str">
        <f>"$ 5,638"</f>
        <v>$ 5,638</v>
      </c>
      <c r="F5546">
        <v>856</v>
      </c>
    </row>
    <row r="5547" spans="1:6">
      <c r="A5547" t="s">
        <v>5542</v>
      </c>
      <c r="B5547" t="str">
        <f t="shared" si="241"/>
        <v>0.00073%</v>
      </c>
      <c r="C5547" t="s">
        <v>10</v>
      </c>
      <c r="D5547" t="s">
        <v>10</v>
      </c>
      <c r="E5547" t="str">
        <f>"$ 5,637"</f>
        <v>$ 5,637</v>
      </c>
      <c r="F5547">
        <v>102</v>
      </c>
    </row>
    <row r="5548" spans="1:6">
      <c r="A5548" t="s">
        <v>5543</v>
      </c>
      <c r="B5548" t="str">
        <f t="shared" si="241"/>
        <v>0.00073%</v>
      </c>
      <c r="C5548" t="s">
        <v>10</v>
      </c>
      <c r="D5548" t="s">
        <v>10</v>
      </c>
      <c r="E5548" t="str">
        <f>"$ 5,635"</f>
        <v>$ 5,635</v>
      </c>
      <c r="F5548">
        <v>796</v>
      </c>
    </row>
    <row r="5549" spans="1:6">
      <c r="A5549" t="s">
        <v>5544</v>
      </c>
      <c r="B5549" t="str">
        <f t="shared" si="241"/>
        <v>0.00073%</v>
      </c>
      <c r="C5549" t="s">
        <v>10</v>
      </c>
      <c r="D5549" t="s">
        <v>10</v>
      </c>
      <c r="E5549" t="str">
        <f>"$ 5,613"</f>
        <v>$ 5,613</v>
      </c>
      <c r="F5549">
        <v>117</v>
      </c>
    </row>
    <row r="5550" spans="1:6">
      <c r="A5550" t="s">
        <v>5545</v>
      </c>
      <c r="B5550" t="str">
        <f t="shared" si="241"/>
        <v>0.00073%</v>
      </c>
      <c r="C5550" t="s">
        <v>10</v>
      </c>
      <c r="D5550" t="s">
        <v>10</v>
      </c>
      <c r="E5550" t="str">
        <f>"$ 5,658"</f>
        <v>$ 5,658</v>
      </c>
      <c r="F5550" s="1">
        <v>1372</v>
      </c>
    </row>
    <row r="5551" spans="1:6">
      <c r="A5551" t="s">
        <v>5546</v>
      </c>
      <c r="B5551" t="str">
        <f t="shared" si="241"/>
        <v>0.00073%</v>
      </c>
      <c r="C5551" t="s">
        <v>10</v>
      </c>
      <c r="D5551" t="s">
        <v>10</v>
      </c>
      <c r="E5551" t="str">
        <f>"$ 5,660"</f>
        <v>$ 5,660</v>
      </c>
      <c r="F5551">
        <v>251</v>
      </c>
    </row>
    <row r="5552" spans="1:6">
      <c r="A5552" t="s">
        <v>5547</v>
      </c>
      <c r="B5552" t="str">
        <f t="shared" si="241"/>
        <v>0.00073%</v>
      </c>
      <c r="C5552" t="s">
        <v>10</v>
      </c>
      <c r="D5552" t="s">
        <v>10</v>
      </c>
      <c r="E5552" t="str">
        <f>"$ 5,673"</f>
        <v>$ 5,673</v>
      </c>
      <c r="F5552" s="1">
        <v>1184</v>
      </c>
    </row>
    <row r="5553" spans="1:6">
      <c r="A5553" t="s">
        <v>5548</v>
      </c>
      <c r="B5553" t="str">
        <f t="shared" si="241"/>
        <v>0.00073%</v>
      </c>
      <c r="C5553" t="s">
        <v>10</v>
      </c>
      <c r="D5553" t="s">
        <v>10</v>
      </c>
      <c r="E5553" t="str">
        <f>"$ 5,673"</f>
        <v>$ 5,673</v>
      </c>
      <c r="F5553">
        <v>231</v>
      </c>
    </row>
    <row r="5554" spans="1:6">
      <c r="A5554" t="s">
        <v>5549</v>
      </c>
      <c r="B5554" t="str">
        <f t="shared" si="241"/>
        <v>0.00073%</v>
      </c>
      <c r="C5554" t="s">
        <v>10</v>
      </c>
      <c r="D5554" t="s">
        <v>10</v>
      </c>
      <c r="E5554" t="str">
        <f>"$ 5,659"</f>
        <v>$ 5,659</v>
      </c>
      <c r="F5554" s="1">
        <v>1653</v>
      </c>
    </row>
    <row r="5555" spans="1:6">
      <c r="A5555" t="s">
        <v>5550</v>
      </c>
      <c r="B5555" t="str">
        <f t="shared" si="241"/>
        <v>0.00073%</v>
      </c>
      <c r="C5555" t="s">
        <v>10</v>
      </c>
      <c r="D5555" t="s">
        <v>10</v>
      </c>
      <c r="E5555" t="str">
        <f>"$ 5,624"</f>
        <v>$ 5,624</v>
      </c>
      <c r="F5555" s="1">
        <v>1444</v>
      </c>
    </row>
    <row r="5556" spans="1:6">
      <c r="A5556" t="s">
        <v>5551</v>
      </c>
      <c r="B5556" t="str">
        <f t="shared" si="241"/>
        <v>0.00073%</v>
      </c>
      <c r="C5556" t="s">
        <v>10</v>
      </c>
      <c r="D5556" t="s">
        <v>10</v>
      </c>
      <c r="E5556" t="str">
        <f>"$ 5,629"</f>
        <v>$ 5,629</v>
      </c>
      <c r="F5556">
        <v>280</v>
      </c>
    </row>
    <row r="5557" spans="1:6">
      <c r="A5557" t="s">
        <v>5552</v>
      </c>
      <c r="B5557" t="str">
        <f t="shared" si="241"/>
        <v>0.00073%</v>
      </c>
      <c r="C5557" t="s">
        <v>10</v>
      </c>
      <c r="D5557" t="s">
        <v>10</v>
      </c>
      <c r="E5557" t="str">
        <f>"$ 5,647"</f>
        <v>$ 5,647</v>
      </c>
      <c r="F5557">
        <v>158</v>
      </c>
    </row>
    <row r="5558" spans="1:6">
      <c r="A5558" t="s">
        <v>5553</v>
      </c>
      <c r="B5558" t="str">
        <f t="shared" si="241"/>
        <v>0.00073%</v>
      </c>
      <c r="C5558" t="s">
        <v>10</v>
      </c>
      <c r="D5558" t="s">
        <v>10</v>
      </c>
      <c r="E5558" t="str">
        <f>"$ 5,669"</f>
        <v>$ 5,669</v>
      </c>
      <c r="F5558">
        <v>532</v>
      </c>
    </row>
    <row r="5559" spans="1:6">
      <c r="A5559" t="s">
        <v>5554</v>
      </c>
      <c r="B5559" t="str">
        <f t="shared" si="241"/>
        <v>0.00073%</v>
      </c>
      <c r="C5559" t="s">
        <v>10</v>
      </c>
      <c r="D5559" t="s">
        <v>10</v>
      </c>
      <c r="E5559" t="str">
        <f>"$ 5,652"</f>
        <v>$ 5,652</v>
      </c>
      <c r="F5559" s="1">
        <v>4899</v>
      </c>
    </row>
    <row r="5560" spans="1:6">
      <c r="A5560" t="s">
        <v>5555</v>
      </c>
      <c r="B5560" t="str">
        <f t="shared" si="241"/>
        <v>0.00073%</v>
      </c>
      <c r="C5560" t="s">
        <v>10</v>
      </c>
      <c r="D5560" t="s">
        <v>10</v>
      </c>
      <c r="E5560" t="str">
        <f>"$ 5,660"</f>
        <v>$ 5,660</v>
      </c>
      <c r="F5560">
        <v>641</v>
      </c>
    </row>
    <row r="5561" spans="1:6">
      <c r="A5561" t="s">
        <v>5556</v>
      </c>
      <c r="B5561" t="str">
        <f t="shared" si="241"/>
        <v>0.00073%</v>
      </c>
      <c r="C5561" t="s">
        <v>10</v>
      </c>
      <c r="D5561" t="s">
        <v>10</v>
      </c>
      <c r="E5561" t="str">
        <f>"$ 5,666"</f>
        <v>$ 5,666</v>
      </c>
      <c r="F5561">
        <v>90</v>
      </c>
    </row>
    <row r="5562" spans="1:6">
      <c r="A5562" t="s">
        <v>5557</v>
      </c>
      <c r="B5562" t="str">
        <f t="shared" si="241"/>
        <v>0.00073%</v>
      </c>
      <c r="C5562" t="s">
        <v>10</v>
      </c>
      <c r="D5562" t="s">
        <v>10</v>
      </c>
      <c r="E5562" t="str">
        <f>"$ 5,653"</f>
        <v>$ 5,653</v>
      </c>
      <c r="F5562">
        <v>511</v>
      </c>
    </row>
    <row r="5563" spans="1:6">
      <c r="A5563" t="s">
        <v>5558</v>
      </c>
      <c r="B5563" t="str">
        <f t="shared" si="241"/>
        <v>0.00073%</v>
      </c>
      <c r="C5563" t="s">
        <v>10</v>
      </c>
      <c r="D5563" t="s">
        <v>10</v>
      </c>
      <c r="E5563" t="str">
        <f>"$ 5,655"</f>
        <v>$ 5,655</v>
      </c>
      <c r="F5563">
        <v>313</v>
      </c>
    </row>
    <row r="5564" spans="1:6">
      <c r="A5564" t="s">
        <v>5559</v>
      </c>
      <c r="B5564" t="str">
        <f t="shared" si="241"/>
        <v>0.00073%</v>
      </c>
      <c r="C5564" t="s">
        <v>10</v>
      </c>
      <c r="D5564" t="s">
        <v>10</v>
      </c>
      <c r="E5564" t="str">
        <f>"$ 5,618"</f>
        <v>$ 5,618</v>
      </c>
      <c r="F5564" s="1">
        <v>15096</v>
      </c>
    </row>
    <row r="5565" spans="1:6">
      <c r="A5565" t="s">
        <v>5560</v>
      </c>
      <c r="B5565" t="str">
        <f t="shared" si="241"/>
        <v>0.00073%</v>
      </c>
      <c r="C5565" t="s">
        <v>10</v>
      </c>
      <c r="D5565" t="s">
        <v>10</v>
      </c>
      <c r="E5565" t="str">
        <f>"$ 5,660"</f>
        <v>$ 5,660</v>
      </c>
      <c r="F5565" s="1">
        <v>3695</v>
      </c>
    </row>
    <row r="5566" spans="1:6">
      <c r="A5566" t="s">
        <v>5561</v>
      </c>
      <c r="B5566" t="str">
        <f t="shared" si="241"/>
        <v>0.00073%</v>
      </c>
      <c r="C5566" t="s">
        <v>10</v>
      </c>
      <c r="D5566" t="s">
        <v>10</v>
      </c>
      <c r="E5566" t="str">
        <f>"$ 5,616"</f>
        <v>$ 5,616</v>
      </c>
      <c r="F5566" s="1">
        <v>6172</v>
      </c>
    </row>
    <row r="5567" spans="1:6">
      <c r="A5567" t="s">
        <v>5562</v>
      </c>
      <c r="B5567" t="str">
        <f t="shared" si="241"/>
        <v>0.00073%</v>
      </c>
      <c r="C5567" t="s">
        <v>10</v>
      </c>
      <c r="D5567" t="s">
        <v>10</v>
      </c>
      <c r="E5567" t="str">
        <f>"$ 5,654"</f>
        <v>$ 5,654</v>
      </c>
      <c r="F5567" s="1">
        <v>1448</v>
      </c>
    </row>
    <row r="5568" spans="1:6">
      <c r="A5568" t="s">
        <v>5563</v>
      </c>
      <c r="B5568" t="str">
        <f t="shared" si="241"/>
        <v>0.00073%</v>
      </c>
      <c r="C5568" t="s">
        <v>10</v>
      </c>
      <c r="D5568" t="s">
        <v>10</v>
      </c>
      <c r="E5568" t="str">
        <f>"$ 5,617"</f>
        <v>$ 5,617</v>
      </c>
      <c r="F5568" s="1">
        <v>6337</v>
      </c>
    </row>
    <row r="5569" spans="1:6">
      <c r="A5569" t="s">
        <v>5564</v>
      </c>
      <c r="B5569" t="str">
        <f t="shared" si="241"/>
        <v>0.00073%</v>
      </c>
      <c r="C5569" t="s">
        <v>10</v>
      </c>
      <c r="D5569" t="s">
        <v>10</v>
      </c>
      <c r="E5569" t="str">
        <f>"$ 5,631"</f>
        <v>$ 5,631</v>
      </c>
      <c r="F5569">
        <v>269</v>
      </c>
    </row>
    <row r="5570" spans="1:6">
      <c r="A5570" t="s">
        <v>5565</v>
      </c>
      <c r="B5570" t="str">
        <f t="shared" si="241"/>
        <v>0.00073%</v>
      </c>
      <c r="C5570" t="s">
        <v>10</v>
      </c>
      <c r="D5570" t="s">
        <v>10</v>
      </c>
      <c r="E5570" t="str">
        <f>"$ 5,657"</f>
        <v>$ 5,657</v>
      </c>
      <c r="F5570">
        <v>396</v>
      </c>
    </row>
    <row r="5571" spans="1:6">
      <c r="A5571" t="s">
        <v>5566</v>
      </c>
      <c r="B5571" t="str">
        <f t="shared" si="241"/>
        <v>0.00073%</v>
      </c>
      <c r="C5571" t="s">
        <v>10</v>
      </c>
      <c r="D5571" t="s">
        <v>10</v>
      </c>
      <c r="E5571" t="str">
        <f>"$ 5,607"</f>
        <v>$ 5,607</v>
      </c>
      <c r="F5571" s="1">
        <v>1543</v>
      </c>
    </row>
    <row r="5572" spans="1:6">
      <c r="A5572" t="s">
        <v>5567</v>
      </c>
      <c r="B5572" t="str">
        <f t="shared" si="241"/>
        <v>0.00073%</v>
      </c>
      <c r="C5572" t="s">
        <v>10</v>
      </c>
      <c r="D5572" t="s">
        <v>10</v>
      </c>
      <c r="E5572" t="str">
        <f>"$ 5,654"</f>
        <v>$ 5,654</v>
      </c>
      <c r="F5572">
        <v>142</v>
      </c>
    </row>
    <row r="5573" spans="1:6">
      <c r="A5573" t="s">
        <v>5568</v>
      </c>
      <c r="B5573" t="str">
        <f t="shared" si="241"/>
        <v>0.00073%</v>
      </c>
      <c r="C5573" t="s">
        <v>10</v>
      </c>
      <c r="D5573" t="s">
        <v>10</v>
      </c>
      <c r="E5573" t="str">
        <f>"$ 5,662"</f>
        <v>$ 5,662</v>
      </c>
      <c r="F5573" s="1">
        <v>1089</v>
      </c>
    </row>
    <row r="5574" spans="1:6">
      <c r="A5574" t="s">
        <v>5569</v>
      </c>
      <c r="B5574" t="str">
        <f t="shared" ref="B5574:B5604" si="242">"0.00072%"</f>
        <v>0.00072%</v>
      </c>
      <c r="C5574" t="s">
        <v>10</v>
      </c>
      <c r="D5574" t="s">
        <v>10</v>
      </c>
      <c r="E5574" t="str">
        <f>"$ 5,539"</f>
        <v>$ 5,539</v>
      </c>
      <c r="F5574" s="1">
        <v>4906</v>
      </c>
    </row>
    <row r="5575" spans="1:6">
      <c r="A5575" t="s">
        <v>5570</v>
      </c>
      <c r="B5575" t="str">
        <f t="shared" si="242"/>
        <v>0.00072%</v>
      </c>
      <c r="C5575" t="s">
        <v>10</v>
      </c>
      <c r="D5575" t="s">
        <v>10</v>
      </c>
      <c r="E5575" t="str">
        <f>"$ 5,568"</f>
        <v>$ 5,568</v>
      </c>
      <c r="F5575">
        <v>44</v>
      </c>
    </row>
    <row r="5576" spans="1:6">
      <c r="A5576" t="s">
        <v>5571</v>
      </c>
      <c r="B5576" t="str">
        <f t="shared" si="242"/>
        <v>0.00072%</v>
      </c>
      <c r="C5576" t="s">
        <v>10</v>
      </c>
      <c r="D5576" t="s">
        <v>10</v>
      </c>
      <c r="E5576" t="str">
        <f>"$ 5,588"</f>
        <v>$ 5,588</v>
      </c>
      <c r="F5576">
        <v>82</v>
      </c>
    </row>
    <row r="5577" spans="1:6">
      <c r="A5577" t="s">
        <v>5572</v>
      </c>
      <c r="B5577" t="str">
        <f t="shared" si="242"/>
        <v>0.00072%</v>
      </c>
      <c r="C5577" t="s">
        <v>10</v>
      </c>
      <c r="D5577" t="s">
        <v>10</v>
      </c>
      <c r="E5577" t="str">
        <f>"$ 5,594"</f>
        <v>$ 5,594</v>
      </c>
      <c r="F5577">
        <v>214</v>
      </c>
    </row>
    <row r="5578" spans="1:6">
      <c r="A5578" t="s">
        <v>5573</v>
      </c>
      <c r="B5578" t="str">
        <f t="shared" si="242"/>
        <v>0.00072%</v>
      </c>
      <c r="C5578" t="s">
        <v>10</v>
      </c>
      <c r="D5578" t="s">
        <v>10</v>
      </c>
      <c r="E5578" t="str">
        <f>"$ 5,544"</f>
        <v>$ 5,544</v>
      </c>
      <c r="F5578" s="1">
        <v>2565</v>
      </c>
    </row>
    <row r="5579" spans="1:6">
      <c r="A5579" t="s">
        <v>5574</v>
      </c>
      <c r="B5579" t="str">
        <f t="shared" si="242"/>
        <v>0.00072%</v>
      </c>
      <c r="C5579" t="s">
        <v>10</v>
      </c>
      <c r="D5579" t="s">
        <v>10</v>
      </c>
      <c r="E5579" t="str">
        <f>"$ 5,563"</f>
        <v>$ 5,563</v>
      </c>
      <c r="F5579">
        <v>640</v>
      </c>
    </row>
    <row r="5580" spans="1:6">
      <c r="A5580" t="s">
        <v>5575</v>
      </c>
      <c r="B5580" t="str">
        <f t="shared" si="242"/>
        <v>0.00072%</v>
      </c>
      <c r="C5580" t="s">
        <v>10</v>
      </c>
      <c r="D5580" t="s">
        <v>10</v>
      </c>
      <c r="E5580" t="str">
        <f>"$ 5,576"</f>
        <v>$ 5,576</v>
      </c>
      <c r="F5580">
        <v>148</v>
      </c>
    </row>
    <row r="5581" spans="1:6">
      <c r="A5581" t="s">
        <v>5576</v>
      </c>
      <c r="B5581" t="str">
        <f t="shared" si="242"/>
        <v>0.00072%</v>
      </c>
      <c r="C5581" t="s">
        <v>10</v>
      </c>
      <c r="D5581" t="s">
        <v>10</v>
      </c>
      <c r="E5581" t="str">
        <f>"$ 5,595"</f>
        <v>$ 5,595</v>
      </c>
      <c r="F5581">
        <v>58</v>
      </c>
    </row>
    <row r="5582" spans="1:6">
      <c r="A5582" t="s">
        <v>5577</v>
      </c>
      <c r="B5582" t="str">
        <f t="shared" si="242"/>
        <v>0.00072%</v>
      </c>
      <c r="C5582" t="s">
        <v>10</v>
      </c>
      <c r="D5582" t="s">
        <v>10</v>
      </c>
      <c r="E5582" t="str">
        <f>"$ 5,570"</f>
        <v>$ 5,570</v>
      </c>
      <c r="F5582" s="1">
        <v>2911</v>
      </c>
    </row>
    <row r="5583" spans="1:6">
      <c r="A5583" t="s">
        <v>5578</v>
      </c>
      <c r="B5583" t="str">
        <f t="shared" si="242"/>
        <v>0.00072%</v>
      </c>
      <c r="C5583" t="s">
        <v>10</v>
      </c>
      <c r="D5583" t="s">
        <v>10</v>
      </c>
      <c r="E5583" t="str">
        <f>"$ 5,554"</f>
        <v>$ 5,554</v>
      </c>
      <c r="F5583" s="1">
        <v>1400</v>
      </c>
    </row>
    <row r="5584" spans="1:6">
      <c r="A5584" t="s">
        <v>5579</v>
      </c>
      <c r="B5584" t="str">
        <f t="shared" si="242"/>
        <v>0.00072%</v>
      </c>
      <c r="C5584" t="s">
        <v>10</v>
      </c>
      <c r="D5584" t="s">
        <v>10</v>
      </c>
      <c r="E5584" t="str">
        <f>"$ 5,559"</f>
        <v>$ 5,559</v>
      </c>
      <c r="F5584" s="1">
        <v>1249</v>
      </c>
    </row>
    <row r="5585" spans="1:6">
      <c r="A5585" t="s">
        <v>5580</v>
      </c>
      <c r="B5585" t="str">
        <f t="shared" si="242"/>
        <v>0.00072%</v>
      </c>
      <c r="C5585" t="s">
        <v>10</v>
      </c>
      <c r="D5585" t="s">
        <v>10</v>
      </c>
      <c r="E5585" t="str">
        <f>"$ 5,572"</f>
        <v>$ 5,572</v>
      </c>
      <c r="F5585">
        <v>373</v>
      </c>
    </row>
    <row r="5586" spans="1:6">
      <c r="A5586" t="s">
        <v>5581</v>
      </c>
      <c r="B5586" t="str">
        <f t="shared" si="242"/>
        <v>0.00072%</v>
      </c>
      <c r="C5586" t="s">
        <v>10</v>
      </c>
      <c r="D5586" t="s">
        <v>10</v>
      </c>
      <c r="E5586" t="str">
        <f>"$ 5,537"</f>
        <v>$ 5,537</v>
      </c>
      <c r="F5586">
        <v>231</v>
      </c>
    </row>
    <row r="5587" spans="1:6">
      <c r="A5587" t="s">
        <v>5582</v>
      </c>
      <c r="B5587" t="str">
        <f t="shared" si="242"/>
        <v>0.00072%</v>
      </c>
      <c r="C5587" t="s">
        <v>10</v>
      </c>
      <c r="D5587" t="s">
        <v>10</v>
      </c>
      <c r="E5587" t="str">
        <f>"$ 5,593"</f>
        <v>$ 5,593</v>
      </c>
      <c r="F5587">
        <v>44</v>
      </c>
    </row>
    <row r="5588" spans="1:6">
      <c r="A5588" t="s">
        <v>5583</v>
      </c>
      <c r="B5588" t="str">
        <f t="shared" si="242"/>
        <v>0.00072%</v>
      </c>
      <c r="C5588" t="s">
        <v>10</v>
      </c>
      <c r="D5588" t="s">
        <v>10</v>
      </c>
      <c r="E5588" t="str">
        <f>"$ 5,588"</f>
        <v>$ 5,588</v>
      </c>
      <c r="F5588" s="1">
        <v>2210</v>
      </c>
    </row>
    <row r="5589" spans="1:6">
      <c r="A5589" t="s">
        <v>5584</v>
      </c>
      <c r="B5589" t="str">
        <f t="shared" si="242"/>
        <v>0.00072%</v>
      </c>
      <c r="C5589" t="s">
        <v>10</v>
      </c>
      <c r="D5589" t="s">
        <v>10</v>
      </c>
      <c r="E5589" t="str">
        <f>"$ 5,598"</f>
        <v>$ 5,598</v>
      </c>
      <c r="F5589">
        <v>334</v>
      </c>
    </row>
    <row r="5590" spans="1:6">
      <c r="A5590" t="s">
        <v>5585</v>
      </c>
      <c r="B5590" t="str">
        <f t="shared" si="242"/>
        <v>0.00072%</v>
      </c>
      <c r="C5590" t="s">
        <v>10</v>
      </c>
      <c r="D5590" t="s">
        <v>10</v>
      </c>
      <c r="E5590" t="str">
        <f>"$ 5,545"</f>
        <v>$ 5,545</v>
      </c>
      <c r="F5590">
        <v>190</v>
      </c>
    </row>
    <row r="5591" spans="1:6">
      <c r="A5591" t="s">
        <v>5586</v>
      </c>
      <c r="B5591" t="str">
        <f t="shared" si="242"/>
        <v>0.00072%</v>
      </c>
      <c r="C5591" t="s">
        <v>10</v>
      </c>
      <c r="D5591" t="s">
        <v>10</v>
      </c>
      <c r="E5591" t="str">
        <f>"$ 5,559"</f>
        <v>$ 5,559</v>
      </c>
      <c r="F5591">
        <v>297</v>
      </c>
    </row>
    <row r="5592" spans="1:6">
      <c r="A5592" t="s">
        <v>5587</v>
      </c>
      <c r="B5592" t="str">
        <f t="shared" si="242"/>
        <v>0.00072%</v>
      </c>
      <c r="C5592" t="s">
        <v>10</v>
      </c>
      <c r="D5592" t="s">
        <v>10</v>
      </c>
      <c r="E5592" t="str">
        <f>"$ 5,531"</f>
        <v>$ 5,531</v>
      </c>
      <c r="F5592">
        <v>800</v>
      </c>
    </row>
    <row r="5593" spans="1:6">
      <c r="A5593" t="s">
        <v>5588</v>
      </c>
      <c r="B5593" t="str">
        <f t="shared" si="242"/>
        <v>0.00072%</v>
      </c>
      <c r="C5593" t="s">
        <v>10</v>
      </c>
      <c r="D5593" t="s">
        <v>10</v>
      </c>
      <c r="E5593" t="str">
        <f>"$ 5,570"</f>
        <v>$ 5,570</v>
      </c>
      <c r="F5593" s="1">
        <v>1516</v>
      </c>
    </row>
    <row r="5594" spans="1:6">
      <c r="A5594" t="s">
        <v>5589</v>
      </c>
      <c r="B5594" t="str">
        <f t="shared" si="242"/>
        <v>0.00072%</v>
      </c>
      <c r="C5594" t="s">
        <v>10</v>
      </c>
      <c r="D5594" t="s">
        <v>10</v>
      </c>
      <c r="E5594" t="str">
        <f>"$ 5,583"</f>
        <v>$ 5,583</v>
      </c>
      <c r="F5594">
        <v>281</v>
      </c>
    </row>
    <row r="5595" spans="1:6">
      <c r="A5595" t="s">
        <v>5590</v>
      </c>
      <c r="B5595" t="str">
        <f t="shared" si="242"/>
        <v>0.00072%</v>
      </c>
      <c r="C5595" t="s">
        <v>10</v>
      </c>
      <c r="D5595" t="s">
        <v>10</v>
      </c>
      <c r="E5595" t="str">
        <f>"$ 5,569"</f>
        <v>$ 5,569</v>
      </c>
      <c r="F5595" s="1">
        <v>10703</v>
      </c>
    </row>
    <row r="5596" spans="1:6">
      <c r="A5596" t="s">
        <v>5591</v>
      </c>
      <c r="B5596" t="str">
        <f t="shared" si="242"/>
        <v>0.00072%</v>
      </c>
      <c r="C5596" t="s">
        <v>10</v>
      </c>
      <c r="D5596" t="s">
        <v>10</v>
      </c>
      <c r="E5596" t="str">
        <f>"$ 5,523"</f>
        <v>$ 5,523</v>
      </c>
      <c r="F5596" s="1">
        <v>8465</v>
      </c>
    </row>
    <row r="5597" spans="1:6">
      <c r="A5597" t="s">
        <v>5592</v>
      </c>
      <c r="B5597" t="str">
        <f t="shared" si="242"/>
        <v>0.00072%</v>
      </c>
      <c r="C5597" t="s">
        <v>10</v>
      </c>
      <c r="D5597" t="s">
        <v>10</v>
      </c>
      <c r="E5597" t="str">
        <f>"$ 5,567"</f>
        <v>$ 5,567</v>
      </c>
      <c r="F5597" s="1">
        <v>1120</v>
      </c>
    </row>
    <row r="5598" spans="1:6">
      <c r="A5598" t="s">
        <v>5593</v>
      </c>
      <c r="B5598" t="str">
        <f t="shared" si="242"/>
        <v>0.00072%</v>
      </c>
      <c r="C5598" t="s">
        <v>10</v>
      </c>
      <c r="D5598" t="s">
        <v>10</v>
      </c>
      <c r="E5598" t="str">
        <f>"$ 5,578"</f>
        <v>$ 5,578</v>
      </c>
      <c r="F5598" s="1">
        <v>5112</v>
      </c>
    </row>
    <row r="5599" spans="1:6">
      <c r="A5599" t="s">
        <v>5594</v>
      </c>
      <c r="B5599" t="str">
        <f t="shared" si="242"/>
        <v>0.00072%</v>
      </c>
      <c r="C5599" t="s">
        <v>10</v>
      </c>
      <c r="D5599" t="s">
        <v>10</v>
      </c>
      <c r="E5599" t="str">
        <f>"$ 5,533"</f>
        <v>$ 5,533</v>
      </c>
      <c r="F5599">
        <v>188</v>
      </c>
    </row>
    <row r="5600" spans="1:6">
      <c r="A5600" t="s">
        <v>5595</v>
      </c>
      <c r="B5600" t="str">
        <f t="shared" si="242"/>
        <v>0.00072%</v>
      </c>
      <c r="C5600" t="s">
        <v>10</v>
      </c>
      <c r="D5600" t="s">
        <v>10</v>
      </c>
      <c r="E5600" t="str">
        <f>"$ 5,579"</f>
        <v>$ 5,579</v>
      </c>
      <c r="F5600">
        <v>147</v>
      </c>
    </row>
    <row r="5601" spans="1:6">
      <c r="A5601" t="s">
        <v>5596</v>
      </c>
      <c r="B5601" t="str">
        <f t="shared" si="242"/>
        <v>0.00072%</v>
      </c>
      <c r="C5601" t="s">
        <v>10</v>
      </c>
      <c r="D5601" t="s">
        <v>10</v>
      </c>
      <c r="E5601" t="str">
        <f>"$ 5,530"</f>
        <v>$ 5,530</v>
      </c>
      <c r="F5601">
        <v>144</v>
      </c>
    </row>
    <row r="5602" spans="1:6">
      <c r="A5602" t="s">
        <v>5597</v>
      </c>
      <c r="B5602" t="str">
        <f t="shared" si="242"/>
        <v>0.00072%</v>
      </c>
      <c r="C5602" t="s">
        <v>10</v>
      </c>
      <c r="D5602" t="s">
        <v>10</v>
      </c>
      <c r="E5602" t="str">
        <f>"$ 5,549"</f>
        <v>$ 5,549</v>
      </c>
      <c r="F5602">
        <v>825</v>
      </c>
    </row>
    <row r="5603" spans="1:6">
      <c r="A5603" t="s">
        <v>5598</v>
      </c>
      <c r="B5603" t="str">
        <f t="shared" si="242"/>
        <v>0.00072%</v>
      </c>
      <c r="C5603" t="s">
        <v>10</v>
      </c>
      <c r="D5603" t="s">
        <v>10</v>
      </c>
      <c r="E5603" t="str">
        <f>"$ 5,576"</f>
        <v>$ 5,576</v>
      </c>
      <c r="F5603">
        <v>159</v>
      </c>
    </row>
    <row r="5604" spans="1:6">
      <c r="A5604" t="s">
        <v>5599</v>
      </c>
      <c r="B5604" t="str">
        <f t="shared" si="242"/>
        <v>0.00072%</v>
      </c>
      <c r="C5604" t="s">
        <v>10</v>
      </c>
      <c r="D5604" t="s">
        <v>10</v>
      </c>
      <c r="E5604" t="str">
        <f>"$ 5,524"</f>
        <v>$ 5,524</v>
      </c>
      <c r="F5604">
        <v>455</v>
      </c>
    </row>
    <row r="5605" spans="1:6">
      <c r="A5605" t="s">
        <v>5600</v>
      </c>
      <c r="B5605" t="str">
        <f t="shared" ref="B5605:B5633" si="243">"0.00071%"</f>
        <v>0.00071%</v>
      </c>
      <c r="C5605" t="s">
        <v>10</v>
      </c>
      <c r="D5605" t="s">
        <v>10</v>
      </c>
      <c r="E5605" t="str">
        <f>"$ 5,494"</f>
        <v>$ 5,494</v>
      </c>
      <c r="F5605" s="1">
        <v>3420</v>
      </c>
    </row>
    <row r="5606" spans="1:6">
      <c r="A5606" t="s">
        <v>5601</v>
      </c>
      <c r="B5606" t="str">
        <f t="shared" si="243"/>
        <v>0.00071%</v>
      </c>
      <c r="C5606" t="s">
        <v>10</v>
      </c>
      <c r="D5606" t="s">
        <v>10</v>
      </c>
      <c r="E5606" t="str">
        <f>"$ 5,446"</f>
        <v>$ 5,446</v>
      </c>
      <c r="F5606" s="1">
        <v>1563</v>
      </c>
    </row>
    <row r="5607" spans="1:6">
      <c r="A5607" t="s">
        <v>5602</v>
      </c>
      <c r="B5607" t="str">
        <f t="shared" si="243"/>
        <v>0.00071%</v>
      </c>
      <c r="C5607" t="s">
        <v>10</v>
      </c>
      <c r="D5607" t="s">
        <v>10</v>
      </c>
      <c r="E5607" t="str">
        <f>"$ 5,516"</f>
        <v>$ 5,516</v>
      </c>
      <c r="F5607">
        <v>211</v>
      </c>
    </row>
    <row r="5608" spans="1:6">
      <c r="A5608" t="s">
        <v>5603</v>
      </c>
      <c r="B5608" t="str">
        <f t="shared" si="243"/>
        <v>0.00071%</v>
      </c>
      <c r="C5608" t="s">
        <v>10</v>
      </c>
      <c r="D5608" t="s">
        <v>10</v>
      </c>
      <c r="E5608" t="str">
        <f>"$ 5,454"</f>
        <v>$ 5,454</v>
      </c>
      <c r="F5608">
        <v>446</v>
      </c>
    </row>
    <row r="5609" spans="1:6">
      <c r="A5609" t="s">
        <v>5604</v>
      </c>
      <c r="B5609" t="str">
        <f t="shared" si="243"/>
        <v>0.00071%</v>
      </c>
      <c r="C5609" t="s">
        <v>10</v>
      </c>
      <c r="D5609" t="s">
        <v>10</v>
      </c>
      <c r="E5609" t="str">
        <f>"$ 5,490"</f>
        <v>$ 5,490</v>
      </c>
      <c r="F5609">
        <v>233</v>
      </c>
    </row>
    <row r="5610" spans="1:6">
      <c r="A5610" t="s">
        <v>5605</v>
      </c>
      <c r="B5610" t="str">
        <f t="shared" si="243"/>
        <v>0.00071%</v>
      </c>
      <c r="C5610" t="s">
        <v>10</v>
      </c>
      <c r="D5610" t="s">
        <v>10</v>
      </c>
      <c r="E5610" t="str">
        <f>"$ 5,478"</f>
        <v>$ 5,478</v>
      </c>
      <c r="F5610" s="1">
        <v>4496</v>
      </c>
    </row>
    <row r="5611" spans="1:6">
      <c r="A5611" t="s">
        <v>5606</v>
      </c>
      <c r="B5611" t="str">
        <f t="shared" si="243"/>
        <v>0.00071%</v>
      </c>
      <c r="C5611" t="s">
        <v>10</v>
      </c>
      <c r="D5611" t="s">
        <v>10</v>
      </c>
      <c r="E5611" t="str">
        <f>"$ 5,446"</f>
        <v>$ 5,446</v>
      </c>
      <c r="F5611">
        <v>280</v>
      </c>
    </row>
    <row r="5612" spans="1:6">
      <c r="A5612" t="s">
        <v>5607</v>
      </c>
      <c r="B5612" t="str">
        <f t="shared" si="243"/>
        <v>0.00071%</v>
      </c>
      <c r="C5612" t="s">
        <v>10</v>
      </c>
      <c r="D5612" t="s">
        <v>10</v>
      </c>
      <c r="E5612" t="str">
        <f>"$ 5,472"</f>
        <v>$ 5,472</v>
      </c>
      <c r="F5612" s="1">
        <v>5881</v>
      </c>
    </row>
    <row r="5613" spans="1:6">
      <c r="A5613" t="s">
        <v>5608</v>
      </c>
      <c r="B5613" t="str">
        <f t="shared" si="243"/>
        <v>0.00071%</v>
      </c>
      <c r="C5613" t="s">
        <v>10</v>
      </c>
      <c r="D5613" t="s">
        <v>10</v>
      </c>
      <c r="E5613" t="str">
        <f>"$ 5,460"</f>
        <v>$ 5,460</v>
      </c>
      <c r="F5613">
        <v>312</v>
      </c>
    </row>
    <row r="5614" spans="1:6">
      <c r="A5614" t="s">
        <v>5609</v>
      </c>
      <c r="B5614" t="str">
        <f t="shared" si="243"/>
        <v>0.00071%</v>
      </c>
      <c r="C5614" t="s">
        <v>10</v>
      </c>
      <c r="D5614" t="s">
        <v>10</v>
      </c>
      <c r="E5614" t="str">
        <f>"$ 5,492"</f>
        <v>$ 5,492</v>
      </c>
      <c r="F5614">
        <v>83</v>
      </c>
    </row>
    <row r="5615" spans="1:6">
      <c r="A5615" t="s">
        <v>5610</v>
      </c>
      <c r="B5615" t="str">
        <f t="shared" si="243"/>
        <v>0.00071%</v>
      </c>
      <c r="C5615" t="s">
        <v>10</v>
      </c>
      <c r="D5615" t="s">
        <v>10</v>
      </c>
      <c r="E5615" t="str">
        <f>"$ 5,452"</f>
        <v>$ 5,452</v>
      </c>
      <c r="F5615">
        <v>81</v>
      </c>
    </row>
    <row r="5616" spans="1:6">
      <c r="A5616" t="s">
        <v>5611</v>
      </c>
      <c r="B5616" t="str">
        <f t="shared" si="243"/>
        <v>0.00071%</v>
      </c>
      <c r="C5616" t="s">
        <v>10</v>
      </c>
      <c r="D5616" t="s">
        <v>10</v>
      </c>
      <c r="E5616" t="str">
        <f>"$ 5,453"</f>
        <v>$ 5,453</v>
      </c>
      <c r="F5616">
        <v>205</v>
      </c>
    </row>
    <row r="5617" spans="1:6">
      <c r="A5617" t="s">
        <v>5612</v>
      </c>
      <c r="B5617" t="str">
        <f t="shared" si="243"/>
        <v>0.00071%</v>
      </c>
      <c r="C5617" t="s">
        <v>10</v>
      </c>
      <c r="D5617" t="s">
        <v>10</v>
      </c>
      <c r="E5617" t="str">
        <f>"$ 5,477"</f>
        <v>$ 5,477</v>
      </c>
      <c r="F5617">
        <v>181</v>
      </c>
    </row>
    <row r="5618" spans="1:6">
      <c r="A5618" t="s">
        <v>5613</v>
      </c>
      <c r="B5618" t="str">
        <f t="shared" si="243"/>
        <v>0.00071%</v>
      </c>
      <c r="C5618" t="s">
        <v>10</v>
      </c>
      <c r="D5618" t="s">
        <v>10</v>
      </c>
      <c r="E5618" t="str">
        <f>"$ 5,512"</f>
        <v>$ 5,512</v>
      </c>
      <c r="F5618">
        <v>525</v>
      </c>
    </row>
    <row r="5619" spans="1:6">
      <c r="A5619" t="s">
        <v>5614</v>
      </c>
      <c r="B5619" t="str">
        <f t="shared" si="243"/>
        <v>0.00071%</v>
      </c>
      <c r="C5619" t="s">
        <v>10</v>
      </c>
      <c r="D5619" t="s">
        <v>10</v>
      </c>
      <c r="E5619" t="str">
        <f>"$ 5,494"</f>
        <v>$ 5,494</v>
      </c>
      <c r="F5619">
        <v>186</v>
      </c>
    </row>
    <row r="5620" spans="1:6">
      <c r="A5620" t="s">
        <v>5615</v>
      </c>
      <c r="B5620" t="str">
        <f t="shared" si="243"/>
        <v>0.00071%</v>
      </c>
      <c r="C5620" t="s">
        <v>10</v>
      </c>
      <c r="D5620" t="s">
        <v>10</v>
      </c>
      <c r="E5620" t="str">
        <f>"$ 5,454"</f>
        <v>$ 5,454</v>
      </c>
      <c r="F5620">
        <v>79</v>
      </c>
    </row>
    <row r="5621" spans="1:6">
      <c r="A5621" t="s">
        <v>5616</v>
      </c>
      <c r="B5621" t="str">
        <f t="shared" si="243"/>
        <v>0.00071%</v>
      </c>
      <c r="C5621" t="s">
        <v>10</v>
      </c>
      <c r="D5621" t="s">
        <v>10</v>
      </c>
      <c r="E5621" t="str">
        <f>"$ 5,454"</f>
        <v>$ 5,454</v>
      </c>
      <c r="F5621">
        <v>252</v>
      </c>
    </row>
    <row r="5622" spans="1:6">
      <c r="A5622" t="s">
        <v>5617</v>
      </c>
      <c r="B5622" t="str">
        <f t="shared" si="243"/>
        <v>0.00071%</v>
      </c>
      <c r="C5622" t="s">
        <v>10</v>
      </c>
      <c r="D5622" t="s">
        <v>10</v>
      </c>
      <c r="E5622" t="str">
        <f>"$ 5,469"</f>
        <v>$ 5,469</v>
      </c>
      <c r="F5622" s="1">
        <v>19909</v>
      </c>
    </row>
    <row r="5623" spans="1:6">
      <c r="A5623" t="s">
        <v>5618</v>
      </c>
      <c r="B5623" t="str">
        <f t="shared" si="243"/>
        <v>0.00071%</v>
      </c>
      <c r="C5623" t="s">
        <v>10</v>
      </c>
      <c r="D5623" t="s">
        <v>10</v>
      </c>
      <c r="E5623" t="str">
        <f>"$ 5,482"</f>
        <v>$ 5,482</v>
      </c>
      <c r="F5623">
        <v>67</v>
      </c>
    </row>
    <row r="5624" spans="1:6">
      <c r="A5624" t="s">
        <v>5619</v>
      </c>
      <c r="B5624" t="str">
        <f t="shared" si="243"/>
        <v>0.00071%</v>
      </c>
      <c r="C5624" t="s">
        <v>10</v>
      </c>
      <c r="D5624" t="s">
        <v>10</v>
      </c>
      <c r="E5624" t="str">
        <f>"$ 5,485"</f>
        <v>$ 5,485</v>
      </c>
      <c r="F5624">
        <v>687</v>
      </c>
    </row>
    <row r="5625" spans="1:6">
      <c r="A5625" t="s">
        <v>5620</v>
      </c>
      <c r="B5625" t="str">
        <f t="shared" si="243"/>
        <v>0.00071%</v>
      </c>
      <c r="C5625" t="s">
        <v>10</v>
      </c>
      <c r="D5625" t="s">
        <v>10</v>
      </c>
      <c r="E5625" t="str">
        <f>"$ 5,444"</f>
        <v>$ 5,444</v>
      </c>
      <c r="F5625" s="1">
        <v>18886</v>
      </c>
    </row>
    <row r="5626" spans="1:6">
      <c r="A5626" t="s">
        <v>5621</v>
      </c>
      <c r="B5626" t="str">
        <f t="shared" si="243"/>
        <v>0.00071%</v>
      </c>
      <c r="C5626" t="s">
        <v>10</v>
      </c>
      <c r="D5626" t="s">
        <v>10</v>
      </c>
      <c r="E5626" t="str">
        <f>"$ 5,512"</f>
        <v>$ 5,512</v>
      </c>
      <c r="F5626" s="1">
        <v>4565</v>
      </c>
    </row>
    <row r="5627" spans="1:6">
      <c r="A5627" t="s">
        <v>5622</v>
      </c>
      <c r="B5627" t="str">
        <f t="shared" si="243"/>
        <v>0.00071%</v>
      </c>
      <c r="C5627" t="s">
        <v>10</v>
      </c>
      <c r="D5627" t="s">
        <v>10</v>
      </c>
      <c r="E5627" t="str">
        <f>"$ 5,456"</f>
        <v>$ 5,456</v>
      </c>
      <c r="F5627">
        <v>87</v>
      </c>
    </row>
    <row r="5628" spans="1:6">
      <c r="A5628" t="s">
        <v>5623</v>
      </c>
      <c r="B5628" t="str">
        <f t="shared" si="243"/>
        <v>0.00071%</v>
      </c>
      <c r="C5628" t="s">
        <v>10</v>
      </c>
      <c r="D5628" t="s">
        <v>10</v>
      </c>
      <c r="E5628" t="str">
        <f>"$ 5,468"</f>
        <v>$ 5,468</v>
      </c>
      <c r="F5628" s="1">
        <v>11252</v>
      </c>
    </row>
    <row r="5629" spans="1:6">
      <c r="A5629" t="s">
        <v>5624</v>
      </c>
      <c r="B5629" t="str">
        <f t="shared" si="243"/>
        <v>0.00071%</v>
      </c>
      <c r="C5629" t="s">
        <v>10</v>
      </c>
      <c r="D5629" t="s">
        <v>10</v>
      </c>
      <c r="E5629" t="str">
        <f>"$ 5,486"</f>
        <v>$ 5,486</v>
      </c>
      <c r="F5629" s="1">
        <v>3909</v>
      </c>
    </row>
    <row r="5630" spans="1:6">
      <c r="A5630" t="s">
        <v>5625</v>
      </c>
      <c r="B5630" t="str">
        <f t="shared" si="243"/>
        <v>0.00071%</v>
      </c>
      <c r="C5630" t="s">
        <v>10</v>
      </c>
      <c r="D5630" t="s">
        <v>10</v>
      </c>
      <c r="E5630" t="str">
        <f>"$ 5,448"</f>
        <v>$ 5,448</v>
      </c>
      <c r="F5630">
        <v>76</v>
      </c>
    </row>
    <row r="5631" spans="1:6">
      <c r="A5631" t="s">
        <v>5626</v>
      </c>
      <c r="B5631" t="str">
        <f t="shared" si="243"/>
        <v>0.00071%</v>
      </c>
      <c r="C5631" t="s">
        <v>10</v>
      </c>
      <c r="D5631" t="s">
        <v>10</v>
      </c>
      <c r="E5631" t="str">
        <f>"$ 5,495"</f>
        <v>$ 5,495</v>
      </c>
      <c r="F5631">
        <v>478</v>
      </c>
    </row>
    <row r="5632" spans="1:6">
      <c r="A5632" t="s">
        <v>5627</v>
      </c>
      <c r="B5632" t="str">
        <f t="shared" si="243"/>
        <v>0.00071%</v>
      </c>
      <c r="C5632" t="s">
        <v>10</v>
      </c>
      <c r="D5632" t="s">
        <v>10</v>
      </c>
      <c r="E5632" t="str">
        <f>"$ 5,501"</f>
        <v>$ 5,501</v>
      </c>
      <c r="F5632">
        <v>300</v>
      </c>
    </row>
    <row r="5633" spans="1:6">
      <c r="A5633" t="s">
        <v>5628</v>
      </c>
      <c r="B5633" t="str">
        <f t="shared" si="243"/>
        <v>0.00071%</v>
      </c>
      <c r="C5633" t="s">
        <v>10</v>
      </c>
      <c r="D5633" t="s">
        <v>10</v>
      </c>
      <c r="E5633" t="str">
        <f>"$ 5,452"</f>
        <v>$ 5,452</v>
      </c>
      <c r="F5633" s="1">
        <v>1571</v>
      </c>
    </row>
    <row r="5634" spans="1:6">
      <c r="A5634" t="s">
        <v>5629</v>
      </c>
      <c r="B5634" t="str">
        <f t="shared" ref="B5634:B5658" si="244">"0.00070%"</f>
        <v>0.00070%</v>
      </c>
      <c r="C5634" t="s">
        <v>10</v>
      </c>
      <c r="D5634" t="s">
        <v>10</v>
      </c>
      <c r="E5634" t="str">
        <f>"$ 5,427"</f>
        <v>$ 5,427</v>
      </c>
      <c r="F5634" s="1">
        <v>10660</v>
      </c>
    </row>
    <row r="5635" spans="1:6">
      <c r="A5635" t="s">
        <v>5630</v>
      </c>
      <c r="B5635" t="str">
        <f t="shared" si="244"/>
        <v>0.00070%</v>
      </c>
      <c r="C5635" t="s">
        <v>10</v>
      </c>
      <c r="D5635" t="s">
        <v>10</v>
      </c>
      <c r="E5635" t="str">
        <f>"$ 5,427"</f>
        <v>$ 5,427</v>
      </c>
      <c r="F5635">
        <v>132</v>
      </c>
    </row>
    <row r="5636" spans="1:6">
      <c r="A5636" t="s">
        <v>5631</v>
      </c>
      <c r="B5636" t="str">
        <f t="shared" si="244"/>
        <v>0.00070%</v>
      </c>
      <c r="C5636" t="s">
        <v>10</v>
      </c>
      <c r="D5636" t="s">
        <v>10</v>
      </c>
      <c r="E5636" t="str">
        <f>"$ 5,371"</f>
        <v>$ 5,371</v>
      </c>
      <c r="F5636">
        <v>132</v>
      </c>
    </row>
    <row r="5637" spans="1:6">
      <c r="A5637" t="s">
        <v>5632</v>
      </c>
      <c r="B5637" t="str">
        <f t="shared" si="244"/>
        <v>0.00070%</v>
      </c>
      <c r="C5637" t="s">
        <v>10</v>
      </c>
      <c r="D5637" t="s">
        <v>10</v>
      </c>
      <c r="E5637" t="str">
        <f>"$ 5,443"</f>
        <v>$ 5,443</v>
      </c>
      <c r="F5637">
        <v>472</v>
      </c>
    </row>
    <row r="5638" spans="1:6">
      <c r="A5638" t="s">
        <v>5633</v>
      </c>
      <c r="B5638" t="str">
        <f t="shared" si="244"/>
        <v>0.00070%</v>
      </c>
      <c r="C5638" t="s">
        <v>10</v>
      </c>
      <c r="D5638" t="s">
        <v>10</v>
      </c>
      <c r="E5638" t="str">
        <f>"$ 5,397"</f>
        <v>$ 5,397</v>
      </c>
      <c r="F5638">
        <v>348</v>
      </c>
    </row>
    <row r="5639" spans="1:6">
      <c r="A5639" t="s">
        <v>5634</v>
      </c>
      <c r="B5639" t="str">
        <f t="shared" si="244"/>
        <v>0.00070%</v>
      </c>
      <c r="C5639" t="s">
        <v>10</v>
      </c>
      <c r="D5639" t="s">
        <v>10</v>
      </c>
      <c r="E5639" t="str">
        <f>"$ 5,404"</f>
        <v>$ 5,404</v>
      </c>
      <c r="F5639">
        <v>175</v>
      </c>
    </row>
    <row r="5640" spans="1:6">
      <c r="A5640" t="s">
        <v>5635</v>
      </c>
      <c r="B5640" t="str">
        <f t="shared" si="244"/>
        <v>0.00070%</v>
      </c>
      <c r="C5640" t="s">
        <v>10</v>
      </c>
      <c r="D5640" t="s">
        <v>10</v>
      </c>
      <c r="E5640" t="str">
        <f>"$ 5,400"</f>
        <v>$ 5,400</v>
      </c>
      <c r="F5640">
        <v>61</v>
      </c>
    </row>
    <row r="5641" spans="1:6">
      <c r="A5641" t="s">
        <v>5636</v>
      </c>
      <c r="B5641" t="str">
        <f t="shared" si="244"/>
        <v>0.00070%</v>
      </c>
      <c r="C5641" t="s">
        <v>10</v>
      </c>
      <c r="D5641" t="s">
        <v>10</v>
      </c>
      <c r="E5641" t="str">
        <f>"$ 5,397"</f>
        <v>$ 5,397</v>
      </c>
      <c r="F5641">
        <v>148</v>
      </c>
    </row>
    <row r="5642" spans="1:6">
      <c r="A5642" t="s">
        <v>5637</v>
      </c>
      <c r="B5642" t="str">
        <f t="shared" si="244"/>
        <v>0.00070%</v>
      </c>
      <c r="C5642" t="s">
        <v>10</v>
      </c>
      <c r="D5642" t="s">
        <v>10</v>
      </c>
      <c r="E5642" t="str">
        <f>"$ 5,376"</f>
        <v>$ 5,376</v>
      </c>
      <c r="F5642">
        <v>153</v>
      </c>
    </row>
    <row r="5643" spans="1:6">
      <c r="A5643" t="s">
        <v>5638</v>
      </c>
      <c r="B5643" t="str">
        <f t="shared" si="244"/>
        <v>0.00070%</v>
      </c>
      <c r="C5643" t="s">
        <v>10</v>
      </c>
      <c r="D5643" t="s">
        <v>10</v>
      </c>
      <c r="E5643" t="str">
        <f>"$ 5,433"</f>
        <v>$ 5,433</v>
      </c>
      <c r="F5643">
        <v>918</v>
      </c>
    </row>
    <row r="5644" spans="1:6">
      <c r="A5644" t="s">
        <v>5639</v>
      </c>
      <c r="B5644" t="str">
        <f t="shared" si="244"/>
        <v>0.00070%</v>
      </c>
      <c r="C5644" t="s">
        <v>10</v>
      </c>
      <c r="D5644" t="s">
        <v>10</v>
      </c>
      <c r="E5644" t="str">
        <f>"$ 5,423"</f>
        <v>$ 5,423</v>
      </c>
      <c r="F5644">
        <v>223</v>
      </c>
    </row>
    <row r="5645" spans="1:6">
      <c r="A5645" t="s">
        <v>5640</v>
      </c>
      <c r="B5645" t="str">
        <f t="shared" si="244"/>
        <v>0.00070%</v>
      </c>
      <c r="C5645" t="s">
        <v>10</v>
      </c>
      <c r="D5645" t="s">
        <v>10</v>
      </c>
      <c r="E5645" t="str">
        <f>"$ 5,408"</f>
        <v>$ 5,408</v>
      </c>
      <c r="F5645">
        <v>261</v>
      </c>
    </row>
    <row r="5646" spans="1:6">
      <c r="A5646" t="s">
        <v>5641</v>
      </c>
      <c r="B5646" t="str">
        <f t="shared" si="244"/>
        <v>0.00070%</v>
      </c>
      <c r="C5646" t="s">
        <v>10</v>
      </c>
      <c r="D5646" t="s">
        <v>10</v>
      </c>
      <c r="E5646" t="str">
        <f>"$ 5,401"</f>
        <v>$ 5,401</v>
      </c>
      <c r="F5646">
        <v>41</v>
      </c>
    </row>
    <row r="5647" spans="1:6">
      <c r="A5647" t="s">
        <v>5642</v>
      </c>
      <c r="B5647" t="str">
        <f t="shared" si="244"/>
        <v>0.00070%</v>
      </c>
      <c r="C5647" t="s">
        <v>10</v>
      </c>
      <c r="D5647" t="s">
        <v>10</v>
      </c>
      <c r="E5647" t="str">
        <f>"$ 5,383"</f>
        <v>$ 5,383</v>
      </c>
      <c r="F5647">
        <v>157</v>
      </c>
    </row>
    <row r="5648" spans="1:6">
      <c r="A5648" t="s">
        <v>5643</v>
      </c>
      <c r="B5648" t="str">
        <f t="shared" si="244"/>
        <v>0.00070%</v>
      </c>
      <c r="C5648" t="s">
        <v>10</v>
      </c>
      <c r="D5648" t="s">
        <v>10</v>
      </c>
      <c r="E5648" t="str">
        <f>"$ 5,380"</f>
        <v>$ 5,380</v>
      </c>
      <c r="F5648">
        <v>166</v>
      </c>
    </row>
    <row r="5649" spans="1:6">
      <c r="A5649" t="s">
        <v>5644</v>
      </c>
      <c r="B5649" t="str">
        <f t="shared" si="244"/>
        <v>0.00070%</v>
      </c>
      <c r="C5649" t="s">
        <v>10</v>
      </c>
      <c r="D5649" t="s">
        <v>10</v>
      </c>
      <c r="E5649" t="str">
        <f>"$ 5,436"</f>
        <v>$ 5,436</v>
      </c>
      <c r="F5649">
        <v>503</v>
      </c>
    </row>
    <row r="5650" spans="1:6">
      <c r="A5650" t="s">
        <v>5645</v>
      </c>
      <c r="B5650" t="str">
        <f t="shared" si="244"/>
        <v>0.00070%</v>
      </c>
      <c r="C5650" t="s">
        <v>10</v>
      </c>
      <c r="D5650" t="s">
        <v>10</v>
      </c>
      <c r="E5650" t="str">
        <f>"$ 5,423"</f>
        <v>$ 5,423</v>
      </c>
      <c r="F5650" s="1">
        <v>9732</v>
      </c>
    </row>
    <row r="5651" spans="1:6">
      <c r="A5651" t="s">
        <v>5646</v>
      </c>
      <c r="B5651" t="str">
        <f t="shared" si="244"/>
        <v>0.00070%</v>
      </c>
      <c r="C5651" t="s">
        <v>10</v>
      </c>
      <c r="D5651" t="s">
        <v>10</v>
      </c>
      <c r="E5651" t="str">
        <f>"$ 5,417"</f>
        <v>$ 5,417</v>
      </c>
      <c r="F5651">
        <v>117</v>
      </c>
    </row>
    <row r="5652" spans="1:6">
      <c r="A5652" t="s">
        <v>5647</v>
      </c>
      <c r="B5652" t="str">
        <f t="shared" si="244"/>
        <v>0.00070%</v>
      </c>
      <c r="C5652" t="s">
        <v>10</v>
      </c>
      <c r="D5652" t="s">
        <v>10</v>
      </c>
      <c r="E5652" t="str">
        <f>"$ 5,411"</f>
        <v>$ 5,411</v>
      </c>
      <c r="F5652" s="1">
        <v>5126</v>
      </c>
    </row>
    <row r="5653" spans="1:6">
      <c r="A5653" t="s">
        <v>5648</v>
      </c>
      <c r="B5653" t="str">
        <f t="shared" si="244"/>
        <v>0.00070%</v>
      </c>
      <c r="C5653" t="s">
        <v>10</v>
      </c>
      <c r="D5653" t="s">
        <v>10</v>
      </c>
      <c r="E5653" t="str">
        <f>"$ 5,404"</f>
        <v>$ 5,404</v>
      </c>
      <c r="F5653" s="1">
        <v>43473</v>
      </c>
    </row>
    <row r="5654" spans="1:6">
      <c r="A5654" t="s">
        <v>5649</v>
      </c>
      <c r="B5654" t="str">
        <f t="shared" si="244"/>
        <v>0.00070%</v>
      </c>
      <c r="C5654" t="s">
        <v>10</v>
      </c>
      <c r="D5654" t="s">
        <v>10</v>
      </c>
      <c r="E5654" t="str">
        <f>"$ 5,428"</f>
        <v>$ 5,428</v>
      </c>
      <c r="F5654">
        <v>735</v>
      </c>
    </row>
    <row r="5655" spans="1:6">
      <c r="A5655" t="s">
        <v>5650</v>
      </c>
      <c r="B5655" t="str">
        <f t="shared" si="244"/>
        <v>0.00070%</v>
      </c>
      <c r="C5655" t="s">
        <v>10</v>
      </c>
      <c r="D5655" t="s">
        <v>10</v>
      </c>
      <c r="E5655" t="str">
        <f>"$ 5,421"</f>
        <v>$ 5,421</v>
      </c>
      <c r="F5655" s="1">
        <v>5299</v>
      </c>
    </row>
    <row r="5656" spans="1:6">
      <c r="A5656" t="s">
        <v>5651</v>
      </c>
      <c r="B5656" t="str">
        <f t="shared" si="244"/>
        <v>0.00070%</v>
      </c>
      <c r="C5656" t="s">
        <v>10</v>
      </c>
      <c r="D5656" t="s">
        <v>10</v>
      </c>
      <c r="E5656" t="str">
        <f>"$ 5,374"</f>
        <v>$ 5,374</v>
      </c>
      <c r="F5656" s="1">
        <v>4334</v>
      </c>
    </row>
    <row r="5657" spans="1:6">
      <c r="A5657" t="s">
        <v>5652</v>
      </c>
      <c r="B5657" t="str">
        <f t="shared" si="244"/>
        <v>0.00070%</v>
      </c>
      <c r="C5657" t="s">
        <v>10</v>
      </c>
      <c r="D5657" t="s">
        <v>10</v>
      </c>
      <c r="E5657" t="str">
        <f>"$ 5,392"</f>
        <v>$ 5,392</v>
      </c>
      <c r="F5657">
        <v>279</v>
      </c>
    </row>
    <row r="5658" spans="1:6">
      <c r="A5658" t="s">
        <v>5653</v>
      </c>
      <c r="B5658" t="str">
        <f t="shared" si="244"/>
        <v>0.00070%</v>
      </c>
      <c r="C5658" t="s">
        <v>10</v>
      </c>
      <c r="D5658" t="s">
        <v>10</v>
      </c>
      <c r="E5658" t="str">
        <f>"$ 5,373"</f>
        <v>$ 5,373</v>
      </c>
      <c r="F5658">
        <v>165</v>
      </c>
    </row>
    <row r="5659" spans="1:6">
      <c r="A5659" t="s">
        <v>5654</v>
      </c>
      <c r="B5659" t="str">
        <f t="shared" ref="B5659:B5690" si="245">"0.00069%"</f>
        <v>0.00069%</v>
      </c>
      <c r="C5659" t="s">
        <v>10</v>
      </c>
      <c r="D5659" t="s">
        <v>10</v>
      </c>
      <c r="E5659" t="str">
        <f>"$ 5,364"</f>
        <v>$ 5,364</v>
      </c>
      <c r="F5659">
        <v>628</v>
      </c>
    </row>
    <row r="5660" spans="1:6">
      <c r="A5660" t="s">
        <v>5655</v>
      </c>
      <c r="B5660" t="str">
        <f t="shared" si="245"/>
        <v>0.00069%</v>
      </c>
      <c r="C5660" t="s">
        <v>10</v>
      </c>
      <c r="D5660" t="s">
        <v>10</v>
      </c>
      <c r="E5660" t="str">
        <f>"$ 5,310"</f>
        <v>$ 5,310</v>
      </c>
      <c r="F5660">
        <v>344</v>
      </c>
    </row>
    <row r="5661" spans="1:6">
      <c r="A5661" t="s">
        <v>5656</v>
      </c>
      <c r="B5661" t="str">
        <f t="shared" si="245"/>
        <v>0.00069%</v>
      </c>
      <c r="C5661" t="s">
        <v>10</v>
      </c>
      <c r="D5661" t="s">
        <v>10</v>
      </c>
      <c r="E5661" t="str">
        <f>"$ 5,325"</f>
        <v>$ 5,325</v>
      </c>
      <c r="F5661" s="1">
        <v>1596</v>
      </c>
    </row>
    <row r="5662" spans="1:6">
      <c r="A5662" t="s">
        <v>5657</v>
      </c>
      <c r="B5662" t="str">
        <f t="shared" si="245"/>
        <v>0.00069%</v>
      </c>
      <c r="C5662" t="s">
        <v>10</v>
      </c>
      <c r="D5662" t="s">
        <v>10</v>
      </c>
      <c r="E5662" t="str">
        <f>"$ 5,323"</f>
        <v>$ 5,323</v>
      </c>
      <c r="F5662" s="1">
        <v>11658</v>
      </c>
    </row>
    <row r="5663" spans="1:6">
      <c r="A5663" t="s">
        <v>5658</v>
      </c>
      <c r="B5663" t="str">
        <f t="shared" si="245"/>
        <v>0.00069%</v>
      </c>
      <c r="C5663" t="s">
        <v>10</v>
      </c>
      <c r="D5663" t="s">
        <v>10</v>
      </c>
      <c r="E5663" t="str">
        <f>"$ 5,303"</f>
        <v>$ 5,303</v>
      </c>
      <c r="F5663">
        <v>123</v>
      </c>
    </row>
    <row r="5664" spans="1:6">
      <c r="A5664" t="s">
        <v>5659</v>
      </c>
      <c r="B5664" t="str">
        <f t="shared" si="245"/>
        <v>0.00069%</v>
      </c>
      <c r="C5664" t="s">
        <v>10</v>
      </c>
      <c r="D5664" t="s">
        <v>10</v>
      </c>
      <c r="E5664" t="str">
        <f>"$ 5,348"</f>
        <v>$ 5,348</v>
      </c>
      <c r="F5664">
        <v>253</v>
      </c>
    </row>
    <row r="5665" spans="1:6">
      <c r="A5665" t="s">
        <v>5660</v>
      </c>
      <c r="B5665" t="str">
        <f t="shared" si="245"/>
        <v>0.00069%</v>
      </c>
      <c r="C5665" t="s">
        <v>10</v>
      </c>
      <c r="D5665" t="s">
        <v>10</v>
      </c>
      <c r="E5665" t="str">
        <f>"$ 5,331"</f>
        <v>$ 5,331</v>
      </c>
      <c r="F5665" s="1">
        <v>1570</v>
      </c>
    </row>
    <row r="5666" spans="1:6">
      <c r="A5666" t="s">
        <v>5661</v>
      </c>
      <c r="B5666" t="str">
        <f t="shared" si="245"/>
        <v>0.00069%</v>
      </c>
      <c r="C5666" t="s">
        <v>10</v>
      </c>
      <c r="D5666" t="s">
        <v>10</v>
      </c>
      <c r="E5666" t="str">
        <f>"$ 5,307"</f>
        <v>$ 5,307</v>
      </c>
      <c r="F5666">
        <v>173</v>
      </c>
    </row>
    <row r="5667" spans="1:6">
      <c r="A5667" t="s">
        <v>5662</v>
      </c>
      <c r="B5667" t="str">
        <f t="shared" si="245"/>
        <v>0.00069%</v>
      </c>
      <c r="C5667" t="s">
        <v>10</v>
      </c>
      <c r="D5667" t="s">
        <v>10</v>
      </c>
      <c r="E5667" t="str">
        <f>"$ 5,358"</f>
        <v>$ 5,358</v>
      </c>
      <c r="F5667">
        <v>307</v>
      </c>
    </row>
    <row r="5668" spans="1:6">
      <c r="A5668" t="s">
        <v>5663</v>
      </c>
      <c r="B5668" t="str">
        <f t="shared" si="245"/>
        <v>0.00069%</v>
      </c>
      <c r="C5668" t="s">
        <v>10</v>
      </c>
      <c r="D5668" t="s">
        <v>10</v>
      </c>
      <c r="E5668" t="str">
        <f>"$ 5,312"</f>
        <v>$ 5,312</v>
      </c>
      <c r="F5668">
        <v>95</v>
      </c>
    </row>
    <row r="5669" spans="1:6">
      <c r="A5669" t="s">
        <v>5664</v>
      </c>
      <c r="B5669" t="str">
        <f t="shared" si="245"/>
        <v>0.00069%</v>
      </c>
      <c r="C5669" t="s">
        <v>10</v>
      </c>
      <c r="D5669" t="s">
        <v>10</v>
      </c>
      <c r="E5669" t="str">
        <f>"$ 5,330"</f>
        <v>$ 5,330</v>
      </c>
      <c r="F5669">
        <v>41</v>
      </c>
    </row>
    <row r="5670" spans="1:6">
      <c r="A5670" t="s">
        <v>5665</v>
      </c>
      <c r="B5670" t="str">
        <f t="shared" si="245"/>
        <v>0.00069%</v>
      </c>
      <c r="C5670" t="s">
        <v>10</v>
      </c>
      <c r="D5670" t="s">
        <v>10</v>
      </c>
      <c r="E5670" t="str">
        <f>"$ 5,347"</f>
        <v>$ 5,347</v>
      </c>
      <c r="F5670" s="1">
        <v>1000</v>
      </c>
    </row>
    <row r="5671" spans="1:6">
      <c r="A5671" t="s">
        <v>5666</v>
      </c>
      <c r="B5671" t="str">
        <f t="shared" si="245"/>
        <v>0.00069%</v>
      </c>
      <c r="C5671" t="s">
        <v>10</v>
      </c>
      <c r="D5671" t="s">
        <v>10</v>
      </c>
      <c r="E5671" t="str">
        <f>"$ 5,314"</f>
        <v>$ 5,314</v>
      </c>
      <c r="F5671">
        <v>664</v>
      </c>
    </row>
    <row r="5672" spans="1:6">
      <c r="A5672" t="s">
        <v>5667</v>
      </c>
      <c r="B5672" t="str">
        <f t="shared" si="245"/>
        <v>0.00069%</v>
      </c>
      <c r="C5672" t="s">
        <v>10</v>
      </c>
      <c r="D5672" t="s">
        <v>10</v>
      </c>
      <c r="E5672" t="str">
        <f>"$ 5,312"</f>
        <v>$ 5,312</v>
      </c>
      <c r="F5672">
        <v>235</v>
      </c>
    </row>
    <row r="5673" spans="1:6">
      <c r="A5673" t="s">
        <v>5668</v>
      </c>
      <c r="B5673" t="str">
        <f t="shared" si="245"/>
        <v>0.00069%</v>
      </c>
      <c r="C5673" t="s">
        <v>10</v>
      </c>
      <c r="D5673" t="s">
        <v>10</v>
      </c>
      <c r="E5673" t="str">
        <f>"$ 5,304"</f>
        <v>$ 5,304</v>
      </c>
      <c r="F5673">
        <v>330</v>
      </c>
    </row>
    <row r="5674" spans="1:6">
      <c r="A5674" t="s">
        <v>5669</v>
      </c>
      <c r="B5674" t="str">
        <f t="shared" si="245"/>
        <v>0.00069%</v>
      </c>
      <c r="C5674" t="s">
        <v>10</v>
      </c>
      <c r="D5674" t="s">
        <v>10</v>
      </c>
      <c r="E5674" t="str">
        <f>"$ 5,360"</f>
        <v>$ 5,360</v>
      </c>
      <c r="F5674">
        <v>15</v>
      </c>
    </row>
    <row r="5675" spans="1:6">
      <c r="A5675" t="s">
        <v>5670</v>
      </c>
      <c r="B5675" t="str">
        <f t="shared" si="245"/>
        <v>0.00069%</v>
      </c>
      <c r="C5675" t="s">
        <v>10</v>
      </c>
      <c r="D5675" t="s">
        <v>10</v>
      </c>
      <c r="E5675" t="str">
        <f>"$ 5,314"</f>
        <v>$ 5,314</v>
      </c>
      <c r="F5675">
        <v>73</v>
      </c>
    </row>
    <row r="5676" spans="1:6">
      <c r="A5676" t="s">
        <v>5671</v>
      </c>
      <c r="B5676" t="str">
        <f t="shared" si="245"/>
        <v>0.00069%</v>
      </c>
      <c r="C5676" t="s">
        <v>10</v>
      </c>
      <c r="D5676" t="s">
        <v>10</v>
      </c>
      <c r="E5676" t="str">
        <f>"$ 5,365"</f>
        <v>$ 5,365</v>
      </c>
      <c r="F5676">
        <v>35</v>
      </c>
    </row>
    <row r="5677" spans="1:6">
      <c r="A5677" t="s">
        <v>5672</v>
      </c>
      <c r="B5677" t="str">
        <f t="shared" si="245"/>
        <v>0.00069%</v>
      </c>
      <c r="C5677" t="s">
        <v>10</v>
      </c>
      <c r="D5677" t="s">
        <v>10</v>
      </c>
      <c r="E5677" t="str">
        <f>"$ 5,347"</f>
        <v>$ 5,347</v>
      </c>
      <c r="F5677">
        <v>396</v>
      </c>
    </row>
    <row r="5678" spans="1:6">
      <c r="A5678" t="s">
        <v>5673</v>
      </c>
      <c r="B5678" t="str">
        <f t="shared" si="245"/>
        <v>0.00069%</v>
      </c>
      <c r="C5678" t="s">
        <v>10</v>
      </c>
      <c r="D5678" t="s">
        <v>10</v>
      </c>
      <c r="E5678" t="str">
        <f>"$ 5,319"</f>
        <v>$ 5,319</v>
      </c>
      <c r="F5678" s="1">
        <v>2035</v>
      </c>
    </row>
    <row r="5679" spans="1:6">
      <c r="A5679" t="s">
        <v>5674</v>
      </c>
      <c r="B5679" t="str">
        <f t="shared" si="245"/>
        <v>0.00069%</v>
      </c>
      <c r="C5679" t="s">
        <v>10</v>
      </c>
      <c r="D5679" t="s">
        <v>10</v>
      </c>
      <c r="E5679" t="str">
        <f>"$ 5,328"</f>
        <v>$ 5,328</v>
      </c>
      <c r="F5679" s="1">
        <v>1618</v>
      </c>
    </row>
    <row r="5680" spans="1:6">
      <c r="A5680" t="s">
        <v>5675</v>
      </c>
      <c r="B5680" t="str">
        <f t="shared" si="245"/>
        <v>0.00069%</v>
      </c>
      <c r="C5680" t="s">
        <v>10</v>
      </c>
      <c r="D5680" t="s">
        <v>10</v>
      </c>
      <c r="E5680" t="str">
        <f>"$ 5,348"</f>
        <v>$ 5,348</v>
      </c>
      <c r="F5680">
        <v>198</v>
      </c>
    </row>
    <row r="5681" spans="1:6">
      <c r="A5681" t="s">
        <v>5676</v>
      </c>
      <c r="B5681" t="str">
        <f t="shared" si="245"/>
        <v>0.00069%</v>
      </c>
      <c r="C5681" t="s">
        <v>10</v>
      </c>
      <c r="D5681" t="s">
        <v>10</v>
      </c>
      <c r="E5681" t="str">
        <f>"$ 5,305"</f>
        <v>$ 5,305</v>
      </c>
      <c r="F5681" s="1">
        <v>3541</v>
      </c>
    </row>
    <row r="5682" spans="1:6">
      <c r="A5682" t="s">
        <v>5677</v>
      </c>
      <c r="B5682" t="str">
        <f t="shared" si="245"/>
        <v>0.00069%</v>
      </c>
      <c r="C5682" t="s">
        <v>10</v>
      </c>
      <c r="D5682" t="s">
        <v>10</v>
      </c>
      <c r="E5682" t="str">
        <f>"$ 5,296"</f>
        <v>$ 5,296</v>
      </c>
      <c r="F5682">
        <v>309</v>
      </c>
    </row>
    <row r="5683" spans="1:6">
      <c r="A5683" t="s">
        <v>5678</v>
      </c>
      <c r="B5683" t="str">
        <f t="shared" si="245"/>
        <v>0.00069%</v>
      </c>
      <c r="C5683" t="s">
        <v>10</v>
      </c>
      <c r="D5683" t="s">
        <v>10</v>
      </c>
      <c r="E5683" t="str">
        <f>"$ 5,319"</f>
        <v>$ 5,319</v>
      </c>
      <c r="F5683" s="1">
        <v>2475</v>
      </c>
    </row>
    <row r="5684" spans="1:6">
      <c r="A5684" t="s">
        <v>5679</v>
      </c>
      <c r="B5684" t="str">
        <f t="shared" si="245"/>
        <v>0.00069%</v>
      </c>
      <c r="C5684" t="s">
        <v>10</v>
      </c>
      <c r="D5684" t="s">
        <v>10</v>
      </c>
      <c r="E5684" t="str">
        <f>"$ 5,320"</f>
        <v>$ 5,320</v>
      </c>
      <c r="F5684" s="1">
        <v>1303</v>
      </c>
    </row>
    <row r="5685" spans="1:6">
      <c r="A5685" t="s">
        <v>5680</v>
      </c>
      <c r="B5685" t="str">
        <f t="shared" si="245"/>
        <v>0.00069%</v>
      </c>
      <c r="C5685" t="s">
        <v>10</v>
      </c>
      <c r="D5685" t="s">
        <v>10</v>
      </c>
      <c r="E5685" t="str">
        <f>"$ 5,317"</f>
        <v>$ 5,317</v>
      </c>
      <c r="F5685">
        <v>181</v>
      </c>
    </row>
    <row r="5686" spans="1:6">
      <c r="A5686" t="s">
        <v>5681</v>
      </c>
      <c r="B5686" t="str">
        <f t="shared" si="245"/>
        <v>0.00069%</v>
      </c>
      <c r="C5686" t="s">
        <v>10</v>
      </c>
      <c r="D5686" t="s">
        <v>10</v>
      </c>
      <c r="E5686" t="str">
        <f>"$ 5,312"</f>
        <v>$ 5,312</v>
      </c>
      <c r="F5686" s="1">
        <v>1735</v>
      </c>
    </row>
    <row r="5687" spans="1:6">
      <c r="A5687" t="s">
        <v>5682</v>
      </c>
      <c r="B5687" t="str">
        <f t="shared" si="245"/>
        <v>0.00069%</v>
      </c>
      <c r="C5687" t="s">
        <v>10</v>
      </c>
      <c r="D5687" t="s">
        <v>10</v>
      </c>
      <c r="E5687" t="str">
        <f>"$ 5,318"</f>
        <v>$ 5,318</v>
      </c>
      <c r="F5687">
        <v>393</v>
      </c>
    </row>
    <row r="5688" spans="1:6">
      <c r="A5688" t="s">
        <v>5683</v>
      </c>
      <c r="B5688" t="str">
        <f t="shared" si="245"/>
        <v>0.00069%</v>
      </c>
      <c r="C5688" t="s">
        <v>10</v>
      </c>
      <c r="D5688" t="s">
        <v>10</v>
      </c>
      <c r="E5688" t="str">
        <f>"$ 5,292"</f>
        <v>$ 5,292</v>
      </c>
      <c r="F5688">
        <v>201</v>
      </c>
    </row>
    <row r="5689" spans="1:6">
      <c r="A5689" t="s">
        <v>5684</v>
      </c>
      <c r="B5689" t="str">
        <f t="shared" si="245"/>
        <v>0.00069%</v>
      </c>
      <c r="C5689" t="s">
        <v>10</v>
      </c>
      <c r="D5689" t="s">
        <v>10</v>
      </c>
      <c r="E5689" t="str">
        <f>"$ 5,309"</f>
        <v>$ 5,309</v>
      </c>
      <c r="F5689" s="1">
        <v>1935</v>
      </c>
    </row>
    <row r="5690" spans="1:6">
      <c r="A5690" t="s">
        <v>5685</v>
      </c>
      <c r="B5690" t="str">
        <f t="shared" si="245"/>
        <v>0.00069%</v>
      </c>
      <c r="C5690" t="s">
        <v>10</v>
      </c>
      <c r="D5690" t="s">
        <v>10</v>
      </c>
      <c r="E5690" t="str">
        <f>"$ 5,362"</f>
        <v>$ 5,362</v>
      </c>
      <c r="F5690">
        <v>630</v>
      </c>
    </row>
    <row r="5691" spans="1:6">
      <c r="A5691" t="s">
        <v>5686</v>
      </c>
      <c r="B5691" t="str">
        <f t="shared" ref="B5691:B5724" si="246">"0.00068%"</f>
        <v>0.00068%</v>
      </c>
      <c r="C5691" t="s">
        <v>10</v>
      </c>
      <c r="D5691" t="s">
        <v>10</v>
      </c>
      <c r="E5691" t="str">
        <f>"$ 5,279"</f>
        <v>$ 5,279</v>
      </c>
      <c r="F5691" s="1">
        <v>7122</v>
      </c>
    </row>
    <row r="5692" spans="1:6">
      <c r="A5692" t="s">
        <v>5687</v>
      </c>
      <c r="B5692" t="str">
        <f t="shared" si="246"/>
        <v>0.00068%</v>
      </c>
      <c r="C5692" t="s">
        <v>10</v>
      </c>
      <c r="D5692" t="s">
        <v>10</v>
      </c>
      <c r="E5692" t="str">
        <f>"$ 5,243"</f>
        <v>$ 5,243</v>
      </c>
      <c r="F5692" s="1">
        <v>4248</v>
      </c>
    </row>
    <row r="5693" spans="1:6">
      <c r="A5693" t="s">
        <v>5688</v>
      </c>
      <c r="B5693" t="str">
        <f t="shared" si="246"/>
        <v>0.00068%</v>
      </c>
      <c r="C5693" t="s">
        <v>10</v>
      </c>
      <c r="D5693" t="s">
        <v>10</v>
      </c>
      <c r="E5693" t="str">
        <f>"$ 5,250"</f>
        <v>$ 5,250</v>
      </c>
      <c r="F5693" s="1">
        <v>9796</v>
      </c>
    </row>
    <row r="5694" spans="1:6">
      <c r="A5694" t="s">
        <v>5689</v>
      </c>
      <c r="B5694" t="str">
        <f t="shared" si="246"/>
        <v>0.00068%</v>
      </c>
      <c r="C5694" t="s">
        <v>10</v>
      </c>
      <c r="D5694" t="s">
        <v>10</v>
      </c>
      <c r="E5694" t="str">
        <f>"$ 5,273"</f>
        <v>$ 5,273</v>
      </c>
      <c r="F5694">
        <v>328</v>
      </c>
    </row>
    <row r="5695" spans="1:6">
      <c r="A5695" t="s">
        <v>5690</v>
      </c>
      <c r="B5695" t="str">
        <f t="shared" si="246"/>
        <v>0.00068%</v>
      </c>
      <c r="C5695" t="s">
        <v>10</v>
      </c>
      <c r="D5695" t="s">
        <v>10</v>
      </c>
      <c r="E5695" t="str">
        <f>"$ 5,259"</f>
        <v>$ 5,259</v>
      </c>
      <c r="F5695" s="1">
        <v>3837</v>
      </c>
    </row>
    <row r="5696" spans="1:6">
      <c r="A5696" t="s">
        <v>5691</v>
      </c>
      <c r="B5696" t="str">
        <f t="shared" si="246"/>
        <v>0.00068%</v>
      </c>
      <c r="C5696" t="s">
        <v>10</v>
      </c>
      <c r="D5696" t="s">
        <v>10</v>
      </c>
      <c r="E5696" t="str">
        <f>"$ 5,286"</f>
        <v>$ 5,286</v>
      </c>
      <c r="F5696">
        <v>796</v>
      </c>
    </row>
    <row r="5697" spans="1:6">
      <c r="A5697" t="s">
        <v>5692</v>
      </c>
      <c r="B5697" t="str">
        <f t="shared" si="246"/>
        <v>0.00068%</v>
      </c>
      <c r="C5697" t="s">
        <v>10</v>
      </c>
      <c r="D5697" t="s">
        <v>10</v>
      </c>
      <c r="E5697" t="str">
        <f>"$ 5,251"</f>
        <v>$ 5,251</v>
      </c>
      <c r="F5697">
        <v>880</v>
      </c>
    </row>
    <row r="5698" spans="1:6">
      <c r="A5698" t="s">
        <v>5693</v>
      </c>
      <c r="B5698" t="str">
        <f t="shared" si="246"/>
        <v>0.00068%</v>
      </c>
      <c r="C5698" t="s">
        <v>10</v>
      </c>
      <c r="D5698" t="s">
        <v>10</v>
      </c>
      <c r="E5698" t="str">
        <f>"$ 5,244"</f>
        <v>$ 5,244</v>
      </c>
      <c r="F5698">
        <v>165</v>
      </c>
    </row>
    <row r="5699" spans="1:6">
      <c r="A5699" t="s">
        <v>5694</v>
      </c>
      <c r="B5699" t="str">
        <f t="shared" si="246"/>
        <v>0.00068%</v>
      </c>
      <c r="C5699" t="s">
        <v>10</v>
      </c>
      <c r="D5699" t="s">
        <v>10</v>
      </c>
      <c r="E5699" t="str">
        <f>"$ 5,253"</f>
        <v>$ 5,253</v>
      </c>
      <c r="F5699">
        <v>544</v>
      </c>
    </row>
    <row r="5700" spans="1:6">
      <c r="A5700" t="s">
        <v>5695</v>
      </c>
      <c r="B5700" t="str">
        <f t="shared" si="246"/>
        <v>0.00068%</v>
      </c>
      <c r="C5700" t="s">
        <v>10</v>
      </c>
      <c r="D5700" t="s">
        <v>10</v>
      </c>
      <c r="E5700" t="str">
        <f>"$ 5,268"</f>
        <v>$ 5,268</v>
      </c>
      <c r="F5700" s="1">
        <v>6458</v>
      </c>
    </row>
    <row r="5701" spans="1:6">
      <c r="A5701" t="s">
        <v>5696</v>
      </c>
      <c r="B5701" t="str">
        <f t="shared" si="246"/>
        <v>0.00068%</v>
      </c>
      <c r="C5701" t="s">
        <v>10</v>
      </c>
      <c r="D5701" t="s">
        <v>10</v>
      </c>
      <c r="E5701" t="str">
        <f>"$ 5,260"</f>
        <v>$ 5,260</v>
      </c>
      <c r="F5701" s="1">
        <v>5545</v>
      </c>
    </row>
    <row r="5702" spans="1:6">
      <c r="A5702" t="s">
        <v>5697</v>
      </c>
      <c r="B5702" t="str">
        <f t="shared" si="246"/>
        <v>0.00068%</v>
      </c>
      <c r="C5702" t="s">
        <v>10</v>
      </c>
      <c r="D5702" t="s">
        <v>10</v>
      </c>
      <c r="E5702" t="str">
        <f>"$ 5,239"</f>
        <v>$ 5,239</v>
      </c>
      <c r="F5702">
        <v>372</v>
      </c>
    </row>
    <row r="5703" spans="1:6">
      <c r="A5703" t="s">
        <v>5698</v>
      </c>
      <c r="B5703" t="str">
        <f t="shared" si="246"/>
        <v>0.00068%</v>
      </c>
      <c r="C5703" t="s">
        <v>10</v>
      </c>
      <c r="D5703" t="s">
        <v>10</v>
      </c>
      <c r="E5703" t="str">
        <f>"$ 5,223"</f>
        <v>$ 5,223</v>
      </c>
      <c r="F5703">
        <v>115</v>
      </c>
    </row>
    <row r="5704" spans="1:6">
      <c r="A5704" t="s">
        <v>5699</v>
      </c>
      <c r="B5704" t="str">
        <f t="shared" si="246"/>
        <v>0.00068%</v>
      </c>
      <c r="C5704" t="s">
        <v>10</v>
      </c>
      <c r="D5704" t="s">
        <v>10</v>
      </c>
      <c r="E5704" t="str">
        <f>"$ 5,268"</f>
        <v>$ 5,268</v>
      </c>
      <c r="F5704">
        <v>62</v>
      </c>
    </row>
    <row r="5705" spans="1:6">
      <c r="A5705" t="s">
        <v>5700</v>
      </c>
      <c r="B5705" t="str">
        <f t="shared" si="246"/>
        <v>0.00068%</v>
      </c>
      <c r="C5705" t="s">
        <v>10</v>
      </c>
      <c r="D5705" t="s">
        <v>10</v>
      </c>
      <c r="E5705" t="str">
        <f>"$ 5,241"</f>
        <v>$ 5,241</v>
      </c>
      <c r="F5705">
        <v>513</v>
      </c>
    </row>
    <row r="5706" spans="1:6">
      <c r="A5706" t="s">
        <v>5701</v>
      </c>
      <c r="B5706" t="str">
        <f t="shared" si="246"/>
        <v>0.00068%</v>
      </c>
      <c r="C5706" t="s">
        <v>10</v>
      </c>
      <c r="D5706" t="s">
        <v>10</v>
      </c>
      <c r="E5706" t="str">
        <f>"$ 5,289"</f>
        <v>$ 5,289</v>
      </c>
      <c r="F5706">
        <v>461</v>
      </c>
    </row>
    <row r="5707" spans="1:6">
      <c r="A5707" t="s">
        <v>5702</v>
      </c>
      <c r="B5707" t="str">
        <f t="shared" si="246"/>
        <v>0.00068%</v>
      </c>
      <c r="C5707" t="s">
        <v>10</v>
      </c>
      <c r="D5707" t="s">
        <v>10</v>
      </c>
      <c r="E5707" t="str">
        <f>"$ 5,232"</f>
        <v>$ 5,232</v>
      </c>
      <c r="F5707" s="1">
        <v>1131</v>
      </c>
    </row>
    <row r="5708" spans="1:6">
      <c r="A5708" t="s">
        <v>5703</v>
      </c>
      <c r="B5708" t="str">
        <f t="shared" si="246"/>
        <v>0.00068%</v>
      </c>
      <c r="C5708" t="s">
        <v>10</v>
      </c>
      <c r="D5708" t="s">
        <v>10</v>
      </c>
      <c r="E5708" t="str">
        <f>"$ 5,217"</f>
        <v>$ 5,217</v>
      </c>
      <c r="F5708">
        <v>702</v>
      </c>
    </row>
    <row r="5709" spans="1:6">
      <c r="A5709" t="s">
        <v>5704</v>
      </c>
      <c r="B5709" t="str">
        <f t="shared" si="246"/>
        <v>0.00068%</v>
      </c>
      <c r="C5709" t="s">
        <v>10</v>
      </c>
      <c r="D5709" t="s">
        <v>10</v>
      </c>
      <c r="E5709" t="str">
        <f>"$ 5,245"</f>
        <v>$ 5,245</v>
      </c>
      <c r="F5709">
        <v>285</v>
      </c>
    </row>
    <row r="5710" spans="1:6">
      <c r="A5710" t="s">
        <v>5705</v>
      </c>
      <c r="B5710" t="str">
        <f t="shared" si="246"/>
        <v>0.00068%</v>
      </c>
      <c r="C5710" t="s">
        <v>10</v>
      </c>
      <c r="D5710" t="s">
        <v>10</v>
      </c>
      <c r="E5710" t="str">
        <f>"$ 5,246"</f>
        <v>$ 5,246</v>
      </c>
      <c r="F5710">
        <v>155</v>
      </c>
    </row>
    <row r="5711" spans="1:6">
      <c r="A5711" t="s">
        <v>5706</v>
      </c>
      <c r="B5711" t="str">
        <f t="shared" si="246"/>
        <v>0.00068%</v>
      </c>
      <c r="C5711" t="s">
        <v>10</v>
      </c>
      <c r="D5711" t="s">
        <v>10</v>
      </c>
      <c r="E5711" t="str">
        <f>"$ 5,270"</f>
        <v>$ 5,270</v>
      </c>
      <c r="F5711">
        <v>297</v>
      </c>
    </row>
    <row r="5712" spans="1:6">
      <c r="A5712" t="s">
        <v>4361</v>
      </c>
      <c r="B5712" t="str">
        <f t="shared" si="246"/>
        <v>0.00068%</v>
      </c>
      <c r="C5712" t="s">
        <v>10</v>
      </c>
      <c r="D5712" t="s">
        <v>10</v>
      </c>
      <c r="E5712" t="str">
        <f>"$ 5,257"</f>
        <v>$ 5,257</v>
      </c>
      <c r="F5712">
        <v>402</v>
      </c>
    </row>
    <row r="5713" spans="1:6">
      <c r="A5713" t="s">
        <v>5707</v>
      </c>
      <c r="B5713" t="str">
        <f t="shared" si="246"/>
        <v>0.00068%</v>
      </c>
      <c r="C5713" t="s">
        <v>10</v>
      </c>
      <c r="D5713" t="s">
        <v>10</v>
      </c>
      <c r="E5713" t="str">
        <f>"$ 5,247"</f>
        <v>$ 5,247</v>
      </c>
      <c r="F5713">
        <v>169</v>
      </c>
    </row>
    <row r="5714" spans="1:6">
      <c r="A5714" t="s">
        <v>5708</v>
      </c>
      <c r="B5714" t="str">
        <f t="shared" si="246"/>
        <v>0.00068%</v>
      </c>
      <c r="C5714" t="s">
        <v>10</v>
      </c>
      <c r="D5714" t="s">
        <v>10</v>
      </c>
      <c r="E5714" t="str">
        <f>"$ 5,220"</f>
        <v>$ 5,220</v>
      </c>
      <c r="F5714">
        <v>93</v>
      </c>
    </row>
    <row r="5715" spans="1:6">
      <c r="A5715" t="s">
        <v>5709</v>
      </c>
      <c r="B5715" t="str">
        <f t="shared" si="246"/>
        <v>0.00068%</v>
      </c>
      <c r="C5715" t="s">
        <v>10</v>
      </c>
      <c r="D5715" t="s">
        <v>10</v>
      </c>
      <c r="E5715" t="str">
        <f>"$ 5,225"</f>
        <v>$ 5,225</v>
      </c>
      <c r="F5715" s="1">
        <v>2012</v>
      </c>
    </row>
    <row r="5716" spans="1:6">
      <c r="A5716" t="s">
        <v>5710</v>
      </c>
      <c r="B5716" t="str">
        <f t="shared" si="246"/>
        <v>0.00068%</v>
      </c>
      <c r="C5716" t="s">
        <v>10</v>
      </c>
      <c r="D5716" t="s">
        <v>10</v>
      </c>
      <c r="E5716" t="str">
        <f>"$ 5,287"</f>
        <v>$ 5,287</v>
      </c>
      <c r="F5716" s="1">
        <v>9236</v>
      </c>
    </row>
    <row r="5717" spans="1:6">
      <c r="A5717" t="s">
        <v>5711</v>
      </c>
      <c r="B5717" t="str">
        <f t="shared" si="246"/>
        <v>0.00068%</v>
      </c>
      <c r="C5717" t="s">
        <v>10</v>
      </c>
      <c r="D5717" t="s">
        <v>10</v>
      </c>
      <c r="E5717" t="str">
        <f>"$ 5,232"</f>
        <v>$ 5,232</v>
      </c>
      <c r="F5717">
        <v>225</v>
      </c>
    </row>
    <row r="5718" spans="1:6">
      <c r="A5718" t="s">
        <v>5712</v>
      </c>
      <c r="B5718" t="str">
        <f t="shared" si="246"/>
        <v>0.00068%</v>
      </c>
      <c r="C5718" t="s">
        <v>10</v>
      </c>
      <c r="D5718" t="s">
        <v>10</v>
      </c>
      <c r="E5718" t="str">
        <f>"$ 5,223"</f>
        <v>$ 5,223</v>
      </c>
      <c r="F5718">
        <v>246</v>
      </c>
    </row>
    <row r="5719" spans="1:6">
      <c r="A5719" t="s">
        <v>5713</v>
      </c>
      <c r="B5719" t="str">
        <f t="shared" si="246"/>
        <v>0.00068%</v>
      </c>
      <c r="C5719" t="s">
        <v>10</v>
      </c>
      <c r="D5719" t="s">
        <v>10</v>
      </c>
      <c r="E5719" t="str">
        <f>"$ 5,234"</f>
        <v>$ 5,234</v>
      </c>
      <c r="F5719" s="1">
        <v>4309</v>
      </c>
    </row>
    <row r="5720" spans="1:6">
      <c r="A5720" t="s">
        <v>5714</v>
      </c>
      <c r="B5720" t="str">
        <f t="shared" si="246"/>
        <v>0.00068%</v>
      </c>
      <c r="C5720" t="s">
        <v>10</v>
      </c>
      <c r="D5720" t="s">
        <v>10</v>
      </c>
      <c r="E5720" t="str">
        <f>"$ 5,273"</f>
        <v>$ 5,273</v>
      </c>
      <c r="F5720" s="1">
        <v>19464</v>
      </c>
    </row>
    <row r="5721" spans="1:6">
      <c r="A5721" t="s">
        <v>5715</v>
      </c>
      <c r="B5721" t="str">
        <f t="shared" si="246"/>
        <v>0.00068%</v>
      </c>
      <c r="C5721" t="s">
        <v>10</v>
      </c>
      <c r="D5721" t="s">
        <v>10</v>
      </c>
      <c r="E5721" t="str">
        <f>"$ 5,284"</f>
        <v>$ 5,284</v>
      </c>
      <c r="F5721">
        <v>189</v>
      </c>
    </row>
    <row r="5722" spans="1:6">
      <c r="A5722" t="s">
        <v>5716</v>
      </c>
      <c r="B5722" t="str">
        <f t="shared" si="246"/>
        <v>0.00068%</v>
      </c>
      <c r="C5722" t="s">
        <v>10</v>
      </c>
      <c r="D5722" t="s">
        <v>10</v>
      </c>
      <c r="E5722" t="str">
        <f>"$ 5,218"</f>
        <v>$ 5,218</v>
      </c>
      <c r="F5722">
        <v>818</v>
      </c>
    </row>
    <row r="5723" spans="1:6">
      <c r="A5723" t="s">
        <v>5717</v>
      </c>
      <c r="B5723" t="str">
        <f t="shared" si="246"/>
        <v>0.00068%</v>
      </c>
      <c r="C5723" t="s">
        <v>10</v>
      </c>
      <c r="D5723" t="s">
        <v>10</v>
      </c>
      <c r="E5723" t="str">
        <f>"$ 5,252"</f>
        <v>$ 5,252</v>
      </c>
      <c r="F5723">
        <v>161</v>
      </c>
    </row>
    <row r="5724" spans="1:6">
      <c r="A5724" t="s">
        <v>5718</v>
      </c>
      <c r="B5724" t="str">
        <f t="shared" si="246"/>
        <v>0.00068%</v>
      </c>
      <c r="C5724" t="s">
        <v>10</v>
      </c>
      <c r="D5724" t="s">
        <v>10</v>
      </c>
      <c r="E5724" t="str">
        <f>"$ 5,284"</f>
        <v>$ 5,284</v>
      </c>
      <c r="F5724" s="1">
        <v>10717</v>
      </c>
    </row>
    <row r="5725" spans="1:6">
      <c r="A5725" t="s">
        <v>5719</v>
      </c>
      <c r="B5725" t="str">
        <f t="shared" ref="B5725:B5751" si="247">"0.00067%"</f>
        <v>0.00067%</v>
      </c>
      <c r="C5725" t="s">
        <v>10</v>
      </c>
      <c r="D5725" t="s">
        <v>10</v>
      </c>
      <c r="E5725" t="str">
        <f>"$ 5,181"</f>
        <v>$ 5,181</v>
      </c>
      <c r="F5725">
        <v>376</v>
      </c>
    </row>
    <row r="5726" spans="1:6">
      <c r="A5726" t="s">
        <v>5720</v>
      </c>
      <c r="B5726" t="str">
        <f t="shared" si="247"/>
        <v>0.00067%</v>
      </c>
      <c r="C5726" t="s">
        <v>10</v>
      </c>
      <c r="D5726" t="s">
        <v>10</v>
      </c>
      <c r="E5726" t="str">
        <f>"$ 5,165"</f>
        <v>$ 5,165</v>
      </c>
      <c r="F5726">
        <v>26</v>
      </c>
    </row>
    <row r="5727" spans="1:6">
      <c r="A5727" t="s">
        <v>5721</v>
      </c>
      <c r="B5727" t="str">
        <f t="shared" si="247"/>
        <v>0.00067%</v>
      </c>
      <c r="C5727" t="s">
        <v>10</v>
      </c>
      <c r="D5727" t="s">
        <v>10</v>
      </c>
      <c r="E5727" t="str">
        <f>"$ 5,185"</f>
        <v>$ 5,185</v>
      </c>
      <c r="F5727">
        <v>492</v>
      </c>
    </row>
    <row r="5728" spans="1:6">
      <c r="A5728" t="s">
        <v>5722</v>
      </c>
      <c r="B5728" t="str">
        <f t="shared" si="247"/>
        <v>0.00067%</v>
      </c>
      <c r="C5728" t="s">
        <v>10</v>
      </c>
      <c r="D5728" t="s">
        <v>10</v>
      </c>
      <c r="E5728" t="str">
        <f>"$ 5,165"</f>
        <v>$ 5,165</v>
      </c>
      <c r="F5728">
        <v>194</v>
      </c>
    </row>
    <row r="5729" spans="1:6">
      <c r="A5729" t="s">
        <v>5723</v>
      </c>
      <c r="B5729" t="str">
        <f t="shared" si="247"/>
        <v>0.00067%</v>
      </c>
      <c r="C5729" t="s">
        <v>10</v>
      </c>
      <c r="D5729" t="s">
        <v>10</v>
      </c>
      <c r="E5729" t="str">
        <f>"$ 5,167"</f>
        <v>$ 5,167</v>
      </c>
      <c r="F5729" s="1">
        <v>1551</v>
      </c>
    </row>
    <row r="5730" spans="1:6">
      <c r="A5730" t="s">
        <v>5724</v>
      </c>
      <c r="B5730" t="str">
        <f t="shared" si="247"/>
        <v>0.00067%</v>
      </c>
      <c r="C5730" t="s">
        <v>10</v>
      </c>
      <c r="D5730" t="s">
        <v>10</v>
      </c>
      <c r="E5730" t="str">
        <f>"$ 5,183"</f>
        <v>$ 5,183</v>
      </c>
      <c r="F5730" s="1">
        <v>2254</v>
      </c>
    </row>
    <row r="5731" spans="1:6">
      <c r="A5731" t="s">
        <v>5725</v>
      </c>
      <c r="B5731" t="str">
        <f t="shared" si="247"/>
        <v>0.00067%</v>
      </c>
      <c r="C5731" t="s">
        <v>10</v>
      </c>
      <c r="D5731" t="s">
        <v>10</v>
      </c>
      <c r="E5731" t="str">
        <f>"$ 5,159"</f>
        <v>$ 5,159</v>
      </c>
      <c r="F5731">
        <v>313</v>
      </c>
    </row>
    <row r="5732" spans="1:6">
      <c r="A5732" t="s">
        <v>4916</v>
      </c>
      <c r="B5732" t="str">
        <f t="shared" si="247"/>
        <v>0.00067%</v>
      </c>
      <c r="C5732" t="s">
        <v>10</v>
      </c>
      <c r="D5732" t="s">
        <v>10</v>
      </c>
      <c r="E5732" t="str">
        <f>"$ 5,140"</f>
        <v>$ 5,140</v>
      </c>
      <c r="F5732">
        <v>943</v>
      </c>
    </row>
    <row r="5733" spans="1:6">
      <c r="A5733" t="s">
        <v>5726</v>
      </c>
      <c r="B5733" t="str">
        <f t="shared" si="247"/>
        <v>0.00067%</v>
      </c>
      <c r="C5733" t="s">
        <v>10</v>
      </c>
      <c r="D5733" t="s">
        <v>10</v>
      </c>
      <c r="E5733" t="str">
        <f>"$ 5,182"</f>
        <v>$ 5,182</v>
      </c>
      <c r="F5733">
        <v>546</v>
      </c>
    </row>
    <row r="5734" spans="1:6">
      <c r="A5734" t="s">
        <v>5727</v>
      </c>
      <c r="B5734" t="str">
        <f t="shared" si="247"/>
        <v>0.00067%</v>
      </c>
      <c r="C5734" t="s">
        <v>10</v>
      </c>
      <c r="D5734" t="s">
        <v>10</v>
      </c>
      <c r="E5734" t="str">
        <f>"$ 5,200"</f>
        <v>$ 5,200</v>
      </c>
      <c r="F5734">
        <v>82</v>
      </c>
    </row>
    <row r="5735" spans="1:6">
      <c r="A5735" t="s">
        <v>5728</v>
      </c>
      <c r="B5735" t="str">
        <f t="shared" si="247"/>
        <v>0.00067%</v>
      </c>
      <c r="C5735" t="s">
        <v>10</v>
      </c>
      <c r="D5735" t="s">
        <v>10</v>
      </c>
      <c r="E5735" t="str">
        <f>"$ 5,176"</f>
        <v>$ 5,176</v>
      </c>
      <c r="F5735">
        <v>108</v>
      </c>
    </row>
    <row r="5736" spans="1:6">
      <c r="A5736" t="s">
        <v>5729</v>
      </c>
      <c r="B5736" t="str">
        <f t="shared" si="247"/>
        <v>0.00067%</v>
      </c>
      <c r="C5736" t="s">
        <v>10</v>
      </c>
      <c r="D5736" t="s">
        <v>10</v>
      </c>
      <c r="E5736" t="str">
        <f>"$ 5,145"</f>
        <v>$ 5,145</v>
      </c>
      <c r="F5736">
        <v>182</v>
      </c>
    </row>
    <row r="5737" spans="1:6">
      <c r="A5737" t="s">
        <v>5730</v>
      </c>
      <c r="B5737" t="str">
        <f t="shared" si="247"/>
        <v>0.00067%</v>
      </c>
      <c r="C5737" t="s">
        <v>10</v>
      </c>
      <c r="D5737" t="s">
        <v>10</v>
      </c>
      <c r="E5737" t="str">
        <f>"$ 5,188"</f>
        <v>$ 5,188</v>
      </c>
      <c r="F5737">
        <v>221</v>
      </c>
    </row>
    <row r="5738" spans="1:6">
      <c r="A5738" t="s">
        <v>5731</v>
      </c>
      <c r="B5738" t="str">
        <f t="shared" si="247"/>
        <v>0.00067%</v>
      </c>
      <c r="C5738" t="s">
        <v>10</v>
      </c>
      <c r="D5738" t="s">
        <v>10</v>
      </c>
      <c r="E5738" t="str">
        <f>"$ 5,154"</f>
        <v>$ 5,154</v>
      </c>
      <c r="F5738">
        <v>44</v>
      </c>
    </row>
    <row r="5739" spans="1:6">
      <c r="A5739" t="s">
        <v>5732</v>
      </c>
      <c r="B5739" t="str">
        <f t="shared" si="247"/>
        <v>0.00067%</v>
      </c>
      <c r="C5739" t="s">
        <v>10</v>
      </c>
      <c r="D5739" t="s">
        <v>10</v>
      </c>
      <c r="E5739" t="str">
        <f>"$ 5,140"</f>
        <v>$ 5,140</v>
      </c>
      <c r="F5739" s="1">
        <v>8202</v>
      </c>
    </row>
    <row r="5740" spans="1:6">
      <c r="A5740" t="s">
        <v>5733</v>
      </c>
      <c r="B5740" t="str">
        <f t="shared" si="247"/>
        <v>0.00067%</v>
      </c>
      <c r="C5740" t="s">
        <v>10</v>
      </c>
      <c r="D5740" t="s">
        <v>10</v>
      </c>
      <c r="E5740" t="str">
        <f>"$ 5,195"</f>
        <v>$ 5,195</v>
      </c>
      <c r="F5740">
        <v>416</v>
      </c>
    </row>
    <row r="5741" spans="1:6">
      <c r="A5741" t="s">
        <v>5734</v>
      </c>
      <c r="B5741" t="str">
        <f t="shared" si="247"/>
        <v>0.00067%</v>
      </c>
      <c r="C5741" t="s">
        <v>10</v>
      </c>
      <c r="D5741" t="s">
        <v>10</v>
      </c>
      <c r="E5741" t="str">
        <f>"$ 5,176"</f>
        <v>$ 5,176</v>
      </c>
      <c r="F5741" s="1">
        <v>2591</v>
      </c>
    </row>
    <row r="5742" spans="1:6">
      <c r="A5742" t="s">
        <v>5735</v>
      </c>
      <c r="B5742" t="str">
        <f t="shared" si="247"/>
        <v>0.00067%</v>
      </c>
      <c r="C5742" t="s">
        <v>10</v>
      </c>
      <c r="D5742" t="s">
        <v>10</v>
      </c>
      <c r="E5742" t="str">
        <f>"$ 5,175"</f>
        <v>$ 5,175</v>
      </c>
      <c r="F5742">
        <v>414</v>
      </c>
    </row>
    <row r="5743" spans="1:6">
      <c r="A5743" t="s">
        <v>5736</v>
      </c>
      <c r="B5743" t="str">
        <f t="shared" si="247"/>
        <v>0.00067%</v>
      </c>
      <c r="C5743" t="s">
        <v>10</v>
      </c>
      <c r="D5743" t="s">
        <v>10</v>
      </c>
      <c r="E5743" t="str">
        <f>"$ 5,152"</f>
        <v>$ 5,152</v>
      </c>
      <c r="F5743">
        <v>730</v>
      </c>
    </row>
    <row r="5744" spans="1:6">
      <c r="A5744" t="s">
        <v>5737</v>
      </c>
      <c r="B5744" t="str">
        <f t="shared" si="247"/>
        <v>0.00067%</v>
      </c>
      <c r="C5744" t="s">
        <v>10</v>
      </c>
      <c r="D5744" t="s">
        <v>10</v>
      </c>
      <c r="E5744" t="str">
        <f>"$ 5,156"</f>
        <v>$ 5,156</v>
      </c>
      <c r="F5744">
        <v>292</v>
      </c>
    </row>
    <row r="5745" spans="1:6">
      <c r="A5745" t="s">
        <v>3697</v>
      </c>
      <c r="B5745" t="str">
        <f t="shared" si="247"/>
        <v>0.00067%</v>
      </c>
      <c r="C5745" t="s">
        <v>10</v>
      </c>
      <c r="D5745" t="s">
        <v>10</v>
      </c>
      <c r="E5745" t="str">
        <f>"$ 5,207"</f>
        <v>$ 5,207</v>
      </c>
      <c r="F5745">
        <v>758</v>
      </c>
    </row>
    <row r="5746" spans="1:6">
      <c r="A5746" t="s">
        <v>5738</v>
      </c>
      <c r="B5746" t="str">
        <f t="shared" si="247"/>
        <v>0.00067%</v>
      </c>
      <c r="C5746" t="s">
        <v>10</v>
      </c>
      <c r="D5746" t="s">
        <v>10</v>
      </c>
      <c r="E5746" t="str">
        <f>"$ 5,190"</f>
        <v>$ 5,190</v>
      </c>
      <c r="F5746">
        <v>88</v>
      </c>
    </row>
    <row r="5747" spans="1:6">
      <c r="A5747" t="s">
        <v>5739</v>
      </c>
      <c r="B5747" t="str">
        <f t="shared" si="247"/>
        <v>0.00067%</v>
      </c>
      <c r="C5747" t="s">
        <v>10</v>
      </c>
      <c r="D5747" t="s">
        <v>10</v>
      </c>
      <c r="E5747" t="str">
        <f>"$ 5,185"</f>
        <v>$ 5,185</v>
      </c>
      <c r="F5747" s="1">
        <v>8720</v>
      </c>
    </row>
    <row r="5748" spans="1:6">
      <c r="A5748" t="s">
        <v>5740</v>
      </c>
      <c r="B5748" t="str">
        <f t="shared" si="247"/>
        <v>0.00067%</v>
      </c>
      <c r="C5748" t="s">
        <v>10</v>
      </c>
      <c r="D5748" t="s">
        <v>10</v>
      </c>
      <c r="E5748" t="str">
        <f>"$ 5,137"</f>
        <v>$ 5,137</v>
      </c>
      <c r="F5748" s="1">
        <v>1516</v>
      </c>
    </row>
    <row r="5749" spans="1:6">
      <c r="A5749" t="s">
        <v>5741</v>
      </c>
      <c r="B5749" t="str">
        <f t="shared" si="247"/>
        <v>0.00067%</v>
      </c>
      <c r="C5749" t="s">
        <v>10</v>
      </c>
      <c r="D5749" t="s">
        <v>10</v>
      </c>
      <c r="E5749" t="str">
        <f>"$ 5,151"</f>
        <v>$ 5,151</v>
      </c>
      <c r="F5749">
        <v>16</v>
      </c>
    </row>
    <row r="5750" spans="1:6">
      <c r="A5750" t="s">
        <v>5742</v>
      </c>
      <c r="B5750" t="str">
        <f t="shared" si="247"/>
        <v>0.00067%</v>
      </c>
      <c r="C5750" t="s">
        <v>10</v>
      </c>
      <c r="D5750" t="s">
        <v>10</v>
      </c>
      <c r="E5750" t="str">
        <f>"$ 5,154"</f>
        <v>$ 5,154</v>
      </c>
      <c r="F5750">
        <v>363</v>
      </c>
    </row>
    <row r="5751" spans="1:6">
      <c r="A5751" t="s">
        <v>5743</v>
      </c>
      <c r="B5751" t="str">
        <f t="shared" si="247"/>
        <v>0.00067%</v>
      </c>
      <c r="C5751" t="s">
        <v>10</v>
      </c>
      <c r="D5751" t="s">
        <v>10</v>
      </c>
      <c r="E5751" t="str">
        <f>"$ 5,180"</f>
        <v>$ 5,180</v>
      </c>
      <c r="F5751">
        <v>235</v>
      </c>
    </row>
    <row r="5752" spans="1:6">
      <c r="A5752" t="s">
        <v>5744</v>
      </c>
      <c r="B5752" t="str">
        <f t="shared" ref="B5752:B5780" si="248">"0.00066%"</f>
        <v>0.00066%</v>
      </c>
      <c r="C5752" t="s">
        <v>10</v>
      </c>
      <c r="D5752" t="s">
        <v>10</v>
      </c>
      <c r="E5752" t="str">
        <f>"$ 5,127"</f>
        <v>$ 5,127</v>
      </c>
      <c r="F5752" s="1">
        <v>3847</v>
      </c>
    </row>
    <row r="5753" spans="1:6">
      <c r="A5753" t="s">
        <v>5745</v>
      </c>
      <c r="B5753" t="str">
        <f t="shared" si="248"/>
        <v>0.00066%</v>
      </c>
      <c r="C5753" t="s">
        <v>10</v>
      </c>
      <c r="D5753" t="s">
        <v>10</v>
      </c>
      <c r="E5753" t="str">
        <f>"$ 5,133"</f>
        <v>$ 5,133</v>
      </c>
      <c r="F5753">
        <v>525</v>
      </c>
    </row>
    <row r="5754" spans="1:6">
      <c r="A5754" t="s">
        <v>5746</v>
      </c>
      <c r="B5754" t="str">
        <f t="shared" si="248"/>
        <v>0.00066%</v>
      </c>
      <c r="C5754" t="s">
        <v>10</v>
      </c>
      <c r="D5754" t="s">
        <v>10</v>
      </c>
      <c r="E5754" t="str">
        <f>"$ 5,082"</f>
        <v>$ 5,082</v>
      </c>
      <c r="F5754" s="1">
        <v>4504</v>
      </c>
    </row>
    <row r="5755" spans="1:6">
      <c r="A5755" t="s">
        <v>5747</v>
      </c>
      <c r="B5755" t="str">
        <f t="shared" si="248"/>
        <v>0.00066%</v>
      </c>
      <c r="C5755" t="s">
        <v>10</v>
      </c>
      <c r="D5755" t="s">
        <v>10</v>
      </c>
      <c r="E5755" t="str">
        <f>"$ 5,095"</f>
        <v>$ 5,095</v>
      </c>
      <c r="F5755" s="1">
        <v>8821</v>
      </c>
    </row>
    <row r="5756" spans="1:6">
      <c r="A5756" t="s">
        <v>5748</v>
      </c>
      <c r="B5756" t="str">
        <f t="shared" si="248"/>
        <v>0.00066%</v>
      </c>
      <c r="C5756" t="s">
        <v>10</v>
      </c>
      <c r="D5756" t="s">
        <v>10</v>
      </c>
      <c r="E5756" t="str">
        <f>"$ 5,064"</f>
        <v>$ 5,064</v>
      </c>
      <c r="F5756">
        <v>256</v>
      </c>
    </row>
    <row r="5757" spans="1:6">
      <c r="A5757" t="s">
        <v>5749</v>
      </c>
      <c r="B5757" t="str">
        <f t="shared" si="248"/>
        <v>0.00066%</v>
      </c>
      <c r="C5757" t="s">
        <v>10</v>
      </c>
      <c r="D5757" t="s">
        <v>10</v>
      </c>
      <c r="E5757" t="str">
        <f>"$ 5,077"</f>
        <v>$ 5,077</v>
      </c>
      <c r="F5757">
        <v>113</v>
      </c>
    </row>
    <row r="5758" spans="1:6">
      <c r="A5758" t="s">
        <v>5750</v>
      </c>
      <c r="B5758" t="str">
        <f t="shared" si="248"/>
        <v>0.00066%</v>
      </c>
      <c r="C5758" t="s">
        <v>10</v>
      </c>
      <c r="D5758" t="s">
        <v>10</v>
      </c>
      <c r="E5758" t="str">
        <f>"$ 5,091"</f>
        <v>$ 5,091</v>
      </c>
      <c r="F5758" s="1">
        <v>1885</v>
      </c>
    </row>
    <row r="5759" spans="1:6">
      <c r="A5759" t="s">
        <v>5751</v>
      </c>
      <c r="B5759" t="str">
        <f t="shared" si="248"/>
        <v>0.00066%</v>
      </c>
      <c r="C5759" t="s">
        <v>10</v>
      </c>
      <c r="D5759" t="s">
        <v>10</v>
      </c>
      <c r="E5759" t="str">
        <f>"$ 5,064"</f>
        <v>$ 5,064</v>
      </c>
      <c r="F5759" s="1">
        <v>1182</v>
      </c>
    </row>
    <row r="5760" spans="1:6">
      <c r="A5760" t="s">
        <v>5752</v>
      </c>
      <c r="B5760" t="str">
        <f t="shared" si="248"/>
        <v>0.00066%</v>
      </c>
      <c r="C5760" t="s">
        <v>10</v>
      </c>
      <c r="D5760" t="s">
        <v>10</v>
      </c>
      <c r="E5760" t="str">
        <f>"$ 5,085"</f>
        <v>$ 5,085</v>
      </c>
      <c r="F5760" s="1">
        <v>1322</v>
      </c>
    </row>
    <row r="5761" spans="1:6">
      <c r="A5761" t="s">
        <v>5753</v>
      </c>
      <c r="B5761" t="str">
        <f t="shared" si="248"/>
        <v>0.00066%</v>
      </c>
      <c r="C5761" t="s">
        <v>10</v>
      </c>
      <c r="D5761" t="s">
        <v>10</v>
      </c>
      <c r="E5761" t="str">
        <f>"$ 5,091"</f>
        <v>$ 5,091</v>
      </c>
      <c r="F5761" s="1">
        <v>11176</v>
      </c>
    </row>
    <row r="5762" spans="1:6">
      <c r="A5762" t="s">
        <v>5754</v>
      </c>
      <c r="B5762" t="str">
        <f t="shared" si="248"/>
        <v>0.00066%</v>
      </c>
      <c r="C5762" t="s">
        <v>10</v>
      </c>
      <c r="D5762" t="s">
        <v>10</v>
      </c>
      <c r="E5762" t="str">
        <f>"$ 5,117"</f>
        <v>$ 5,117</v>
      </c>
      <c r="F5762">
        <v>330</v>
      </c>
    </row>
    <row r="5763" spans="1:6">
      <c r="A5763" t="s">
        <v>5755</v>
      </c>
      <c r="B5763" t="str">
        <f t="shared" si="248"/>
        <v>0.00066%</v>
      </c>
      <c r="C5763" t="s">
        <v>10</v>
      </c>
      <c r="D5763" t="s">
        <v>10</v>
      </c>
      <c r="E5763" t="str">
        <f>"$ 5,063"</f>
        <v>$ 5,063</v>
      </c>
      <c r="F5763">
        <v>84</v>
      </c>
    </row>
    <row r="5764" spans="1:6">
      <c r="A5764" t="s">
        <v>5756</v>
      </c>
      <c r="B5764" t="str">
        <f t="shared" si="248"/>
        <v>0.00066%</v>
      </c>
      <c r="C5764" t="s">
        <v>10</v>
      </c>
      <c r="D5764" t="s">
        <v>10</v>
      </c>
      <c r="E5764" t="str">
        <f>"$ 5,077"</f>
        <v>$ 5,077</v>
      </c>
      <c r="F5764">
        <v>379</v>
      </c>
    </row>
    <row r="5765" spans="1:6">
      <c r="A5765" t="s">
        <v>5757</v>
      </c>
      <c r="B5765" t="str">
        <f t="shared" si="248"/>
        <v>0.00066%</v>
      </c>
      <c r="C5765" t="s">
        <v>10</v>
      </c>
      <c r="D5765" t="s">
        <v>10</v>
      </c>
      <c r="E5765" t="str">
        <f>"$ 5,091"</f>
        <v>$ 5,091</v>
      </c>
      <c r="F5765">
        <v>206</v>
      </c>
    </row>
    <row r="5766" spans="1:6">
      <c r="A5766" t="s">
        <v>5758</v>
      </c>
      <c r="B5766" t="str">
        <f t="shared" si="248"/>
        <v>0.00066%</v>
      </c>
      <c r="C5766" t="s">
        <v>10</v>
      </c>
      <c r="D5766" t="s">
        <v>10</v>
      </c>
      <c r="E5766" t="str">
        <f>"$ 5,135"</f>
        <v>$ 5,135</v>
      </c>
      <c r="F5766">
        <v>181</v>
      </c>
    </row>
    <row r="5767" spans="1:6">
      <c r="A5767" t="s">
        <v>5759</v>
      </c>
      <c r="B5767" t="str">
        <f t="shared" si="248"/>
        <v>0.00066%</v>
      </c>
      <c r="C5767" t="s">
        <v>10</v>
      </c>
      <c r="D5767" t="s">
        <v>10</v>
      </c>
      <c r="E5767" t="str">
        <f>"$ 5,119"</f>
        <v>$ 5,119</v>
      </c>
      <c r="F5767" s="1">
        <v>16495</v>
      </c>
    </row>
    <row r="5768" spans="1:6">
      <c r="A5768" t="s">
        <v>5760</v>
      </c>
      <c r="B5768" t="str">
        <f t="shared" si="248"/>
        <v>0.00066%</v>
      </c>
      <c r="C5768" t="s">
        <v>10</v>
      </c>
      <c r="D5768" t="s">
        <v>10</v>
      </c>
      <c r="E5768" t="str">
        <f>"$ 5,080"</f>
        <v>$ 5,080</v>
      </c>
      <c r="F5768" s="1">
        <v>3826</v>
      </c>
    </row>
    <row r="5769" spans="1:6">
      <c r="A5769" t="s">
        <v>5761</v>
      </c>
      <c r="B5769" t="str">
        <f t="shared" si="248"/>
        <v>0.00066%</v>
      </c>
      <c r="C5769" t="s">
        <v>10</v>
      </c>
      <c r="D5769" t="s">
        <v>10</v>
      </c>
      <c r="E5769" t="str">
        <f>"$ 5,084"</f>
        <v>$ 5,084</v>
      </c>
      <c r="F5769">
        <v>90</v>
      </c>
    </row>
    <row r="5770" spans="1:6">
      <c r="A5770" t="s">
        <v>5762</v>
      </c>
      <c r="B5770" t="str">
        <f t="shared" si="248"/>
        <v>0.00066%</v>
      </c>
      <c r="C5770" t="s">
        <v>10</v>
      </c>
      <c r="D5770" t="s">
        <v>10</v>
      </c>
      <c r="E5770" t="str">
        <f>"$ 5,094"</f>
        <v>$ 5,094</v>
      </c>
      <c r="F5770" s="1">
        <v>2526</v>
      </c>
    </row>
    <row r="5771" spans="1:6">
      <c r="A5771" t="s">
        <v>5763</v>
      </c>
      <c r="B5771" t="str">
        <f t="shared" si="248"/>
        <v>0.00066%</v>
      </c>
      <c r="C5771" t="s">
        <v>10</v>
      </c>
      <c r="D5771" t="s">
        <v>10</v>
      </c>
      <c r="E5771" t="str">
        <f>"$ 5,123"</f>
        <v>$ 5,123</v>
      </c>
      <c r="F5771">
        <v>224</v>
      </c>
    </row>
    <row r="5772" spans="1:6">
      <c r="A5772" t="s">
        <v>5764</v>
      </c>
      <c r="B5772" t="str">
        <f t="shared" si="248"/>
        <v>0.00066%</v>
      </c>
      <c r="C5772" t="s">
        <v>10</v>
      </c>
      <c r="D5772" t="s">
        <v>10</v>
      </c>
      <c r="E5772" t="str">
        <f>"$ 5,124"</f>
        <v>$ 5,124</v>
      </c>
      <c r="F5772" s="1">
        <v>9462</v>
      </c>
    </row>
    <row r="5773" spans="1:6">
      <c r="A5773" t="s">
        <v>5765</v>
      </c>
      <c r="B5773" t="str">
        <f t="shared" si="248"/>
        <v>0.00066%</v>
      </c>
      <c r="C5773" t="s">
        <v>10</v>
      </c>
      <c r="D5773" t="s">
        <v>10</v>
      </c>
      <c r="E5773" t="str">
        <f>"$ 5,120"</f>
        <v>$ 5,120</v>
      </c>
      <c r="F5773">
        <v>491</v>
      </c>
    </row>
    <row r="5774" spans="1:6">
      <c r="A5774" t="s">
        <v>5766</v>
      </c>
      <c r="B5774" t="str">
        <f t="shared" si="248"/>
        <v>0.00066%</v>
      </c>
      <c r="C5774" t="s">
        <v>10</v>
      </c>
      <c r="D5774" t="s">
        <v>10</v>
      </c>
      <c r="E5774" t="str">
        <f>"$ 5,075"</f>
        <v>$ 5,075</v>
      </c>
      <c r="F5774" s="1">
        <v>10224</v>
      </c>
    </row>
    <row r="5775" spans="1:6">
      <c r="A5775" t="s">
        <v>5767</v>
      </c>
      <c r="B5775" t="str">
        <f t="shared" si="248"/>
        <v>0.00066%</v>
      </c>
      <c r="C5775" t="s">
        <v>10</v>
      </c>
      <c r="D5775" t="s">
        <v>10</v>
      </c>
      <c r="E5775" t="str">
        <f>"$ 5,087"</f>
        <v>$ 5,087</v>
      </c>
      <c r="F5775" s="1">
        <v>2701</v>
      </c>
    </row>
    <row r="5776" spans="1:6">
      <c r="A5776" t="s">
        <v>5768</v>
      </c>
      <c r="B5776" t="str">
        <f t="shared" si="248"/>
        <v>0.00066%</v>
      </c>
      <c r="C5776" t="s">
        <v>10</v>
      </c>
      <c r="D5776" t="s">
        <v>10</v>
      </c>
      <c r="E5776" t="str">
        <f>"$ 5,094"</f>
        <v>$ 5,094</v>
      </c>
      <c r="F5776" s="1">
        <v>21354</v>
      </c>
    </row>
    <row r="5777" spans="1:6">
      <c r="A5777" t="s">
        <v>5769</v>
      </c>
      <c r="B5777" t="str">
        <f t="shared" si="248"/>
        <v>0.00066%</v>
      </c>
      <c r="C5777" t="s">
        <v>10</v>
      </c>
      <c r="D5777" t="s">
        <v>10</v>
      </c>
      <c r="E5777" t="str">
        <f>"$ 5,092"</f>
        <v>$ 5,092</v>
      </c>
      <c r="F5777">
        <v>99</v>
      </c>
    </row>
    <row r="5778" spans="1:6">
      <c r="A5778" t="s">
        <v>5770</v>
      </c>
      <c r="B5778" t="str">
        <f t="shared" si="248"/>
        <v>0.00066%</v>
      </c>
      <c r="C5778" t="s">
        <v>10</v>
      </c>
      <c r="D5778" t="s">
        <v>10</v>
      </c>
      <c r="E5778" t="str">
        <f>"$ 5,075"</f>
        <v>$ 5,075</v>
      </c>
      <c r="F5778">
        <v>528</v>
      </c>
    </row>
    <row r="5779" spans="1:6">
      <c r="A5779" t="s">
        <v>5771</v>
      </c>
      <c r="B5779" t="str">
        <f t="shared" si="248"/>
        <v>0.00066%</v>
      </c>
      <c r="C5779" t="s">
        <v>10</v>
      </c>
      <c r="D5779" t="s">
        <v>10</v>
      </c>
      <c r="E5779" t="str">
        <f>"$ 5,101"</f>
        <v>$ 5,101</v>
      </c>
      <c r="F5779">
        <v>408</v>
      </c>
    </row>
    <row r="5780" spans="1:6">
      <c r="A5780" t="s">
        <v>5772</v>
      </c>
      <c r="B5780" t="str">
        <f t="shared" si="248"/>
        <v>0.00066%</v>
      </c>
      <c r="C5780" t="s">
        <v>10</v>
      </c>
      <c r="D5780" t="s">
        <v>10</v>
      </c>
      <c r="E5780" t="str">
        <f>"$ 5,119"</f>
        <v>$ 5,119</v>
      </c>
      <c r="F5780">
        <v>231</v>
      </c>
    </row>
    <row r="5781" spans="1:6">
      <c r="A5781" t="s">
        <v>5773</v>
      </c>
      <c r="B5781" t="str">
        <f t="shared" ref="B5781:B5819" si="249">"0.00065%"</f>
        <v>0.00065%</v>
      </c>
      <c r="C5781" t="s">
        <v>10</v>
      </c>
      <c r="D5781" t="s">
        <v>10</v>
      </c>
      <c r="E5781" t="str">
        <f>"$ 5,012"</f>
        <v>$ 5,012</v>
      </c>
      <c r="F5781">
        <v>237</v>
      </c>
    </row>
    <row r="5782" spans="1:6">
      <c r="A5782" t="s">
        <v>5774</v>
      </c>
      <c r="B5782" t="str">
        <f t="shared" si="249"/>
        <v>0.00065%</v>
      </c>
      <c r="C5782" t="s">
        <v>10</v>
      </c>
      <c r="D5782" t="s">
        <v>10</v>
      </c>
      <c r="E5782" t="str">
        <f>"$ 5,056"</f>
        <v>$ 5,056</v>
      </c>
      <c r="F5782" s="1">
        <v>1549</v>
      </c>
    </row>
    <row r="5783" spans="1:6">
      <c r="A5783" t="s">
        <v>5775</v>
      </c>
      <c r="B5783" t="str">
        <f t="shared" si="249"/>
        <v>0.00065%</v>
      </c>
      <c r="C5783" t="s">
        <v>10</v>
      </c>
      <c r="D5783" t="s">
        <v>10</v>
      </c>
      <c r="E5783" t="str">
        <f>"$ 5,035"</f>
        <v>$ 5,035</v>
      </c>
      <c r="F5783">
        <v>271</v>
      </c>
    </row>
    <row r="5784" spans="1:6">
      <c r="A5784" t="s">
        <v>5776</v>
      </c>
      <c r="B5784" t="str">
        <f t="shared" si="249"/>
        <v>0.00065%</v>
      </c>
      <c r="C5784" t="s">
        <v>10</v>
      </c>
      <c r="D5784" t="s">
        <v>10</v>
      </c>
      <c r="E5784" t="str">
        <f>"$ 5,054"</f>
        <v>$ 5,054</v>
      </c>
      <c r="F5784" s="1">
        <v>2423</v>
      </c>
    </row>
    <row r="5785" spans="1:6">
      <c r="A5785" t="s">
        <v>5777</v>
      </c>
      <c r="B5785" t="str">
        <f t="shared" si="249"/>
        <v>0.00065%</v>
      </c>
      <c r="C5785" t="s">
        <v>10</v>
      </c>
      <c r="D5785" t="s">
        <v>10</v>
      </c>
      <c r="E5785" t="str">
        <f>"$ 5,006"</f>
        <v>$ 5,006</v>
      </c>
      <c r="F5785">
        <v>198</v>
      </c>
    </row>
    <row r="5786" spans="1:6">
      <c r="A5786" t="s">
        <v>5778</v>
      </c>
      <c r="B5786" t="str">
        <f t="shared" si="249"/>
        <v>0.00065%</v>
      </c>
      <c r="C5786" t="s">
        <v>10</v>
      </c>
      <c r="D5786" t="s">
        <v>10</v>
      </c>
      <c r="E5786" t="str">
        <f>"$ 5,034"</f>
        <v>$ 5,034</v>
      </c>
      <c r="F5786" s="1">
        <v>27789</v>
      </c>
    </row>
    <row r="5787" spans="1:6">
      <c r="A5787" t="s">
        <v>5779</v>
      </c>
      <c r="B5787" t="str">
        <f t="shared" si="249"/>
        <v>0.00065%</v>
      </c>
      <c r="C5787" t="s">
        <v>10</v>
      </c>
      <c r="D5787" t="s">
        <v>10</v>
      </c>
      <c r="E5787" t="str">
        <f>"$ 5,013"</f>
        <v>$ 5,013</v>
      </c>
      <c r="F5787">
        <v>148</v>
      </c>
    </row>
    <row r="5788" spans="1:6">
      <c r="A5788" t="s">
        <v>5780</v>
      </c>
      <c r="B5788" t="str">
        <f t="shared" si="249"/>
        <v>0.00065%</v>
      </c>
      <c r="C5788" t="s">
        <v>10</v>
      </c>
      <c r="D5788" t="s">
        <v>10</v>
      </c>
      <c r="E5788" t="str">
        <f>"$ 5,034"</f>
        <v>$ 5,034</v>
      </c>
      <c r="F5788">
        <v>422</v>
      </c>
    </row>
    <row r="5789" spans="1:6">
      <c r="A5789" t="s">
        <v>5781</v>
      </c>
      <c r="B5789" t="str">
        <f t="shared" si="249"/>
        <v>0.00065%</v>
      </c>
      <c r="C5789" t="s">
        <v>10</v>
      </c>
      <c r="D5789" t="s">
        <v>10</v>
      </c>
      <c r="E5789" t="str">
        <f>"$ 5,053"</f>
        <v>$ 5,053</v>
      </c>
      <c r="F5789">
        <v>287</v>
      </c>
    </row>
    <row r="5790" spans="1:6">
      <c r="A5790" t="s">
        <v>5782</v>
      </c>
      <c r="B5790" t="str">
        <f t="shared" si="249"/>
        <v>0.00065%</v>
      </c>
      <c r="C5790" t="s">
        <v>10</v>
      </c>
      <c r="D5790" t="s">
        <v>10</v>
      </c>
      <c r="E5790" t="str">
        <f>"$ 5,006"</f>
        <v>$ 5,006</v>
      </c>
      <c r="F5790">
        <v>390</v>
      </c>
    </row>
    <row r="5791" spans="1:6">
      <c r="A5791" t="s">
        <v>5783</v>
      </c>
      <c r="B5791" t="str">
        <f t="shared" si="249"/>
        <v>0.00065%</v>
      </c>
      <c r="C5791" t="s">
        <v>10</v>
      </c>
      <c r="D5791" t="s">
        <v>10</v>
      </c>
      <c r="E5791" t="str">
        <f>"$ 5,043"</f>
        <v>$ 5,043</v>
      </c>
      <c r="F5791">
        <v>239</v>
      </c>
    </row>
    <row r="5792" spans="1:6">
      <c r="A5792" t="s">
        <v>5784</v>
      </c>
      <c r="B5792" t="str">
        <f t="shared" si="249"/>
        <v>0.00065%</v>
      </c>
      <c r="C5792" t="s">
        <v>10</v>
      </c>
      <c r="D5792" t="s">
        <v>10</v>
      </c>
      <c r="E5792" t="str">
        <f>"$ 4,984"</f>
        <v>$ 4,984</v>
      </c>
      <c r="F5792">
        <v>101</v>
      </c>
    </row>
    <row r="5793" spans="1:6">
      <c r="A5793" t="s">
        <v>5785</v>
      </c>
      <c r="B5793" t="str">
        <f t="shared" si="249"/>
        <v>0.00065%</v>
      </c>
      <c r="C5793" t="s">
        <v>10</v>
      </c>
      <c r="D5793" t="s">
        <v>10</v>
      </c>
      <c r="E5793" t="str">
        <f>"$ 5,018"</f>
        <v>$ 5,018</v>
      </c>
      <c r="F5793">
        <v>674</v>
      </c>
    </row>
    <row r="5794" spans="1:6">
      <c r="A5794" t="s">
        <v>5786</v>
      </c>
      <c r="B5794" t="str">
        <f t="shared" si="249"/>
        <v>0.00065%</v>
      </c>
      <c r="C5794" t="s">
        <v>10</v>
      </c>
      <c r="D5794" t="s">
        <v>10</v>
      </c>
      <c r="E5794" t="str">
        <f>"$ 5,020"</f>
        <v>$ 5,020</v>
      </c>
      <c r="F5794">
        <v>686</v>
      </c>
    </row>
    <row r="5795" spans="1:6">
      <c r="A5795" t="s">
        <v>5787</v>
      </c>
      <c r="B5795" t="str">
        <f t="shared" si="249"/>
        <v>0.00065%</v>
      </c>
      <c r="C5795" t="s">
        <v>10</v>
      </c>
      <c r="D5795" t="s">
        <v>10</v>
      </c>
      <c r="E5795" t="str">
        <f>"$ 5,050"</f>
        <v>$ 5,050</v>
      </c>
      <c r="F5795">
        <v>76</v>
      </c>
    </row>
    <row r="5796" spans="1:6">
      <c r="A5796" t="s">
        <v>5788</v>
      </c>
      <c r="B5796" t="str">
        <f t="shared" si="249"/>
        <v>0.00065%</v>
      </c>
      <c r="C5796" t="s">
        <v>10</v>
      </c>
      <c r="D5796" t="s">
        <v>10</v>
      </c>
      <c r="E5796" t="str">
        <f>"$ 5,046"</f>
        <v>$ 5,046</v>
      </c>
      <c r="F5796">
        <v>286</v>
      </c>
    </row>
    <row r="5797" spans="1:6">
      <c r="A5797" t="s">
        <v>5789</v>
      </c>
      <c r="B5797" t="str">
        <f t="shared" si="249"/>
        <v>0.00065%</v>
      </c>
      <c r="C5797" t="s">
        <v>10</v>
      </c>
      <c r="D5797" t="s">
        <v>10</v>
      </c>
      <c r="E5797" t="str">
        <f>"$ 5,028"</f>
        <v>$ 5,028</v>
      </c>
      <c r="F5797">
        <v>811</v>
      </c>
    </row>
    <row r="5798" spans="1:6">
      <c r="A5798" t="s">
        <v>5790</v>
      </c>
      <c r="B5798" t="str">
        <f t="shared" si="249"/>
        <v>0.00065%</v>
      </c>
      <c r="C5798" t="s">
        <v>10</v>
      </c>
      <c r="D5798" t="s">
        <v>10</v>
      </c>
      <c r="E5798" t="str">
        <f>"$ 5,004"</f>
        <v>$ 5,004</v>
      </c>
      <c r="F5798">
        <v>175</v>
      </c>
    </row>
    <row r="5799" spans="1:6">
      <c r="A5799" t="s">
        <v>5791</v>
      </c>
      <c r="B5799" t="str">
        <f t="shared" si="249"/>
        <v>0.00065%</v>
      </c>
      <c r="C5799" t="s">
        <v>10</v>
      </c>
      <c r="D5799" t="s">
        <v>10</v>
      </c>
      <c r="E5799" t="str">
        <f>"$ 5,041"</f>
        <v>$ 5,041</v>
      </c>
      <c r="F5799">
        <v>257</v>
      </c>
    </row>
    <row r="5800" spans="1:6">
      <c r="A5800" t="s">
        <v>5792</v>
      </c>
      <c r="B5800" t="str">
        <f t="shared" si="249"/>
        <v>0.00065%</v>
      </c>
      <c r="C5800" t="s">
        <v>10</v>
      </c>
      <c r="D5800" t="s">
        <v>10</v>
      </c>
      <c r="E5800" t="str">
        <f>"$ 5,004"</f>
        <v>$ 5,004</v>
      </c>
      <c r="F5800" s="1">
        <v>6334</v>
      </c>
    </row>
    <row r="5801" spans="1:6">
      <c r="A5801" t="s">
        <v>5793</v>
      </c>
      <c r="B5801" t="str">
        <f t="shared" si="249"/>
        <v>0.00065%</v>
      </c>
      <c r="C5801" t="s">
        <v>10</v>
      </c>
      <c r="D5801" t="s">
        <v>10</v>
      </c>
      <c r="E5801" t="str">
        <f>"$ 5,031"</f>
        <v>$ 5,031</v>
      </c>
      <c r="F5801" s="1">
        <v>3288</v>
      </c>
    </row>
    <row r="5802" spans="1:6">
      <c r="A5802" t="s">
        <v>5794</v>
      </c>
      <c r="B5802" t="str">
        <f t="shared" si="249"/>
        <v>0.00065%</v>
      </c>
      <c r="C5802" t="s">
        <v>10</v>
      </c>
      <c r="D5802" t="s">
        <v>10</v>
      </c>
      <c r="E5802" t="str">
        <f>"$ 5,036"</f>
        <v>$ 5,036</v>
      </c>
      <c r="F5802" s="1">
        <v>1229</v>
      </c>
    </row>
    <row r="5803" spans="1:6">
      <c r="A5803" t="s">
        <v>5795</v>
      </c>
      <c r="B5803" t="str">
        <f t="shared" si="249"/>
        <v>0.00065%</v>
      </c>
      <c r="C5803" t="s">
        <v>10</v>
      </c>
      <c r="D5803" t="s">
        <v>10</v>
      </c>
      <c r="E5803" t="str">
        <f>"$ 5,023"</f>
        <v>$ 5,023</v>
      </c>
      <c r="F5803">
        <v>709</v>
      </c>
    </row>
    <row r="5804" spans="1:6">
      <c r="A5804" t="s">
        <v>5796</v>
      </c>
      <c r="B5804" t="str">
        <f t="shared" si="249"/>
        <v>0.00065%</v>
      </c>
      <c r="C5804" t="s">
        <v>10</v>
      </c>
      <c r="D5804" t="s">
        <v>10</v>
      </c>
      <c r="E5804" t="str">
        <f>"$ 4,985"</f>
        <v>$ 4,985</v>
      </c>
      <c r="F5804">
        <v>261</v>
      </c>
    </row>
    <row r="5805" spans="1:6">
      <c r="A5805" t="s">
        <v>5797</v>
      </c>
      <c r="B5805" t="str">
        <f t="shared" si="249"/>
        <v>0.00065%</v>
      </c>
      <c r="C5805" t="s">
        <v>10</v>
      </c>
      <c r="D5805" t="s">
        <v>10</v>
      </c>
      <c r="E5805" t="str">
        <f>"$ 4,997"</f>
        <v>$ 4,997</v>
      </c>
      <c r="F5805">
        <v>297</v>
      </c>
    </row>
    <row r="5806" spans="1:6">
      <c r="A5806" t="s">
        <v>5798</v>
      </c>
      <c r="B5806" t="str">
        <f t="shared" si="249"/>
        <v>0.00065%</v>
      </c>
      <c r="C5806" t="s">
        <v>10</v>
      </c>
      <c r="D5806" t="s">
        <v>10</v>
      </c>
      <c r="E5806" t="str">
        <f>"$ 4,986"</f>
        <v>$ 4,986</v>
      </c>
      <c r="F5806" s="1">
        <v>2035</v>
      </c>
    </row>
    <row r="5807" spans="1:6">
      <c r="A5807" t="s">
        <v>5799</v>
      </c>
      <c r="B5807" t="str">
        <f t="shared" si="249"/>
        <v>0.00065%</v>
      </c>
      <c r="C5807" t="s">
        <v>10</v>
      </c>
      <c r="D5807" t="s">
        <v>10</v>
      </c>
      <c r="E5807" t="str">
        <f>"$ 5,026"</f>
        <v>$ 5,026</v>
      </c>
      <c r="F5807" s="1">
        <v>5895</v>
      </c>
    </row>
    <row r="5808" spans="1:6">
      <c r="A5808" t="s">
        <v>5800</v>
      </c>
      <c r="B5808" t="str">
        <f t="shared" si="249"/>
        <v>0.00065%</v>
      </c>
      <c r="C5808" t="s">
        <v>10</v>
      </c>
      <c r="D5808" t="s">
        <v>10</v>
      </c>
      <c r="E5808" t="str">
        <f>"$ 5,034"</f>
        <v>$ 5,034</v>
      </c>
      <c r="F5808">
        <v>102</v>
      </c>
    </row>
    <row r="5809" spans="1:6">
      <c r="A5809" t="s">
        <v>5801</v>
      </c>
      <c r="B5809" t="str">
        <f t="shared" si="249"/>
        <v>0.00065%</v>
      </c>
      <c r="C5809" t="s">
        <v>10</v>
      </c>
      <c r="D5809" t="s">
        <v>10</v>
      </c>
      <c r="E5809" t="str">
        <f>"$ 5,005"</f>
        <v>$ 5,005</v>
      </c>
      <c r="F5809">
        <v>64</v>
      </c>
    </row>
    <row r="5810" spans="1:6">
      <c r="A5810" t="s">
        <v>5802</v>
      </c>
      <c r="B5810" t="str">
        <f t="shared" si="249"/>
        <v>0.00065%</v>
      </c>
      <c r="C5810" t="s">
        <v>10</v>
      </c>
      <c r="D5810" t="s">
        <v>10</v>
      </c>
      <c r="E5810" t="str">
        <f>"$ 5,029"</f>
        <v>$ 5,029</v>
      </c>
      <c r="F5810">
        <v>112</v>
      </c>
    </row>
    <row r="5811" spans="1:6">
      <c r="A5811" t="s">
        <v>5803</v>
      </c>
      <c r="B5811" t="str">
        <f t="shared" si="249"/>
        <v>0.00065%</v>
      </c>
      <c r="C5811" t="s">
        <v>10</v>
      </c>
      <c r="D5811" t="s">
        <v>10</v>
      </c>
      <c r="E5811" t="str">
        <f>"$ 5,018"</f>
        <v>$ 5,018</v>
      </c>
      <c r="F5811" s="1">
        <v>3487</v>
      </c>
    </row>
    <row r="5812" spans="1:6">
      <c r="A5812" t="s">
        <v>5804</v>
      </c>
      <c r="B5812" t="str">
        <f t="shared" si="249"/>
        <v>0.00065%</v>
      </c>
      <c r="C5812" t="s">
        <v>10</v>
      </c>
      <c r="D5812" t="s">
        <v>10</v>
      </c>
      <c r="E5812" t="str">
        <f>"$ 5,057"</f>
        <v>$ 5,057</v>
      </c>
      <c r="F5812">
        <v>151</v>
      </c>
    </row>
    <row r="5813" spans="1:6">
      <c r="A5813" t="s">
        <v>5805</v>
      </c>
      <c r="B5813" t="str">
        <f t="shared" si="249"/>
        <v>0.00065%</v>
      </c>
      <c r="C5813" t="s">
        <v>10</v>
      </c>
      <c r="D5813" t="s">
        <v>10</v>
      </c>
      <c r="E5813" t="str">
        <f>"$ 5,045"</f>
        <v>$ 5,045</v>
      </c>
      <c r="F5813">
        <v>626</v>
      </c>
    </row>
    <row r="5814" spans="1:6">
      <c r="A5814" t="s">
        <v>5806</v>
      </c>
      <c r="B5814" t="str">
        <f t="shared" si="249"/>
        <v>0.00065%</v>
      </c>
      <c r="C5814" t="s">
        <v>10</v>
      </c>
      <c r="D5814" t="s">
        <v>10</v>
      </c>
      <c r="E5814" t="str">
        <f>"$ 4,993"</f>
        <v>$ 4,993</v>
      </c>
      <c r="F5814">
        <v>397</v>
      </c>
    </row>
    <row r="5815" spans="1:6">
      <c r="A5815" t="s">
        <v>5807</v>
      </c>
      <c r="B5815" t="str">
        <f t="shared" si="249"/>
        <v>0.00065%</v>
      </c>
      <c r="C5815" t="s">
        <v>10</v>
      </c>
      <c r="D5815" t="s">
        <v>10</v>
      </c>
      <c r="E5815" t="str">
        <f>"$ 4,983"</f>
        <v>$ 4,983</v>
      </c>
      <c r="F5815">
        <v>92</v>
      </c>
    </row>
    <row r="5816" spans="1:6">
      <c r="A5816" t="s">
        <v>5808</v>
      </c>
      <c r="B5816" t="str">
        <f t="shared" si="249"/>
        <v>0.00065%</v>
      </c>
      <c r="C5816" t="s">
        <v>10</v>
      </c>
      <c r="D5816" t="s">
        <v>10</v>
      </c>
      <c r="E5816" t="str">
        <f>"$ 5,000"</f>
        <v>$ 5,000</v>
      </c>
      <c r="F5816">
        <v>353</v>
      </c>
    </row>
    <row r="5817" spans="1:6">
      <c r="A5817" t="s">
        <v>5809</v>
      </c>
      <c r="B5817" t="str">
        <f t="shared" si="249"/>
        <v>0.00065%</v>
      </c>
      <c r="C5817" t="s">
        <v>10</v>
      </c>
      <c r="D5817" t="s">
        <v>10</v>
      </c>
      <c r="E5817" t="str">
        <f>"$ 5,001"</f>
        <v>$ 5,001</v>
      </c>
      <c r="F5817" s="1">
        <v>2393</v>
      </c>
    </row>
    <row r="5818" spans="1:6">
      <c r="A5818" t="s">
        <v>5810</v>
      </c>
      <c r="B5818" t="str">
        <f t="shared" si="249"/>
        <v>0.00065%</v>
      </c>
      <c r="C5818" t="s">
        <v>10</v>
      </c>
      <c r="D5818" t="s">
        <v>10</v>
      </c>
      <c r="E5818" t="str">
        <f>"$ 5,027"</f>
        <v>$ 5,027</v>
      </c>
      <c r="F5818">
        <v>152</v>
      </c>
    </row>
    <row r="5819" spans="1:6">
      <c r="A5819" t="s">
        <v>5811</v>
      </c>
      <c r="B5819" t="str">
        <f t="shared" si="249"/>
        <v>0.00065%</v>
      </c>
      <c r="C5819" t="s">
        <v>10</v>
      </c>
      <c r="D5819" t="s">
        <v>10</v>
      </c>
      <c r="E5819" t="str">
        <f>"$ 5,049"</f>
        <v>$ 5,049</v>
      </c>
      <c r="F5819">
        <v>231</v>
      </c>
    </row>
    <row r="5820" spans="1:6">
      <c r="A5820" t="s">
        <v>5812</v>
      </c>
      <c r="B5820" t="str">
        <f t="shared" ref="B5820:B5852" si="250">"0.00064%"</f>
        <v>0.00064%</v>
      </c>
      <c r="C5820" t="s">
        <v>10</v>
      </c>
      <c r="D5820" t="s">
        <v>10</v>
      </c>
      <c r="E5820" t="str">
        <f>"$ 4,911"</f>
        <v>$ 4,911</v>
      </c>
      <c r="F5820">
        <v>347</v>
      </c>
    </row>
    <row r="5821" spans="1:6">
      <c r="A5821" t="s">
        <v>5813</v>
      </c>
      <c r="B5821" t="str">
        <f t="shared" si="250"/>
        <v>0.00064%</v>
      </c>
      <c r="C5821" t="s">
        <v>10</v>
      </c>
      <c r="D5821" t="s">
        <v>10</v>
      </c>
      <c r="E5821" t="str">
        <f>"$ 4,917"</f>
        <v>$ 4,917</v>
      </c>
      <c r="F5821">
        <v>124</v>
      </c>
    </row>
    <row r="5822" spans="1:6">
      <c r="A5822" t="s">
        <v>5814</v>
      </c>
      <c r="B5822" t="str">
        <f t="shared" si="250"/>
        <v>0.00064%</v>
      </c>
      <c r="C5822" t="s">
        <v>10</v>
      </c>
      <c r="D5822" t="s">
        <v>10</v>
      </c>
      <c r="E5822" t="str">
        <f>"$ 4,971"</f>
        <v>$ 4,971</v>
      </c>
      <c r="F5822" s="1">
        <v>4274</v>
      </c>
    </row>
    <row r="5823" spans="1:6">
      <c r="A5823" t="s">
        <v>5815</v>
      </c>
      <c r="B5823" t="str">
        <f t="shared" si="250"/>
        <v>0.00064%</v>
      </c>
      <c r="C5823" t="s">
        <v>10</v>
      </c>
      <c r="D5823" t="s">
        <v>10</v>
      </c>
      <c r="E5823" t="str">
        <f>"$ 4,915"</f>
        <v>$ 4,915</v>
      </c>
      <c r="F5823">
        <v>271</v>
      </c>
    </row>
    <row r="5824" spans="1:6">
      <c r="A5824" t="s">
        <v>5816</v>
      </c>
      <c r="B5824" t="str">
        <f t="shared" si="250"/>
        <v>0.00064%</v>
      </c>
      <c r="C5824" t="s">
        <v>10</v>
      </c>
      <c r="D5824" t="s">
        <v>10</v>
      </c>
      <c r="E5824" t="str">
        <f>"$ 4,942"</f>
        <v>$ 4,942</v>
      </c>
      <c r="F5824" s="1">
        <v>3462</v>
      </c>
    </row>
    <row r="5825" spans="1:6">
      <c r="A5825" t="s">
        <v>5817</v>
      </c>
      <c r="B5825" t="str">
        <f t="shared" si="250"/>
        <v>0.00064%</v>
      </c>
      <c r="C5825" t="s">
        <v>10</v>
      </c>
      <c r="D5825" t="s">
        <v>10</v>
      </c>
      <c r="E5825" t="str">
        <f>"$ 4,951"</f>
        <v>$ 4,951</v>
      </c>
      <c r="F5825" s="1">
        <v>4376</v>
      </c>
    </row>
    <row r="5826" spans="1:6">
      <c r="A5826" t="s">
        <v>5818</v>
      </c>
      <c r="B5826" t="str">
        <f t="shared" si="250"/>
        <v>0.00064%</v>
      </c>
      <c r="C5826" t="s">
        <v>10</v>
      </c>
      <c r="D5826" t="s">
        <v>10</v>
      </c>
      <c r="E5826" t="str">
        <f>"$ 4,916"</f>
        <v>$ 4,916</v>
      </c>
      <c r="F5826">
        <v>47</v>
      </c>
    </row>
    <row r="5827" spans="1:6">
      <c r="A5827" t="s">
        <v>5819</v>
      </c>
      <c r="B5827" t="str">
        <f t="shared" si="250"/>
        <v>0.00064%</v>
      </c>
      <c r="C5827" t="s">
        <v>10</v>
      </c>
      <c r="D5827" t="s">
        <v>10</v>
      </c>
      <c r="E5827" t="str">
        <f>"$ 4,954"</f>
        <v>$ 4,954</v>
      </c>
      <c r="F5827">
        <v>544</v>
      </c>
    </row>
    <row r="5828" spans="1:6">
      <c r="A5828" t="s">
        <v>5820</v>
      </c>
      <c r="B5828" t="str">
        <f t="shared" si="250"/>
        <v>0.00064%</v>
      </c>
      <c r="C5828" t="s">
        <v>10</v>
      </c>
      <c r="D5828" t="s">
        <v>10</v>
      </c>
      <c r="E5828" t="str">
        <f>"$ 4,908"</f>
        <v>$ 4,908</v>
      </c>
      <c r="F5828" s="1">
        <v>2905</v>
      </c>
    </row>
    <row r="5829" spans="1:6">
      <c r="A5829" t="s">
        <v>5821</v>
      </c>
      <c r="B5829" t="str">
        <f t="shared" si="250"/>
        <v>0.00064%</v>
      </c>
      <c r="C5829" t="s">
        <v>10</v>
      </c>
      <c r="D5829" t="s">
        <v>10</v>
      </c>
      <c r="E5829" t="str">
        <f>"$ 4,966"</f>
        <v>$ 4,966</v>
      </c>
      <c r="F5829">
        <v>433</v>
      </c>
    </row>
    <row r="5830" spans="1:6">
      <c r="A5830" t="s">
        <v>5822</v>
      </c>
      <c r="B5830" t="str">
        <f t="shared" si="250"/>
        <v>0.00064%</v>
      </c>
      <c r="C5830" t="s">
        <v>10</v>
      </c>
      <c r="D5830" t="s">
        <v>10</v>
      </c>
      <c r="E5830" t="str">
        <f>"$ 4,948"</f>
        <v>$ 4,948</v>
      </c>
      <c r="F5830" s="1">
        <v>3933</v>
      </c>
    </row>
    <row r="5831" spans="1:6">
      <c r="A5831" t="s">
        <v>5823</v>
      </c>
      <c r="B5831" t="str">
        <f t="shared" si="250"/>
        <v>0.00064%</v>
      </c>
      <c r="C5831" t="s">
        <v>10</v>
      </c>
      <c r="D5831" t="s">
        <v>10</v>
      </c>
      <c r="E5831" t="str">
        <f>"$ 4,916"</f>
        <v>$ 4,916</v>
      </c>
      <c r="F5831">
        <v>51</v>
      </c>
    </row>
    <row r="5832" spans="1:6">
      <c r="A5832" t="s">
        <v>5824</v>
      </c>
      <c r="B5832" t="str">
        <f t="shared" si="250"/>
        <v>0.00064%</v>
      </c>
      <c r="C5832" t="s">
        <v>10</v>
      </c>
      <c r="D5832" t="s">
        <v>10</v>
      </c>
      <c r="E5832" t="str">
        <f>"$ 4,970"</f>
        <v>$ 4,970</v>
      </c>
      <c r="F5832">
        <v>52</v>
      </c>
    </row>
    <row r="5833" spans="1:6">
      <c r="A5833" t="s">
        <v>5825</v>
      </c>
      <c r="B5833" t="str">
        <f t="shared" si="250"/>
        <v>0.00064%</v>
      </c>
      <c r="C5833" t="s">
        <v>10</v>
      </c>
      <c r="D5833" t="s">
        <v>10</v>
      </c>
      <c r="E5833" t="str">
        <f>"$ 4,967"</f>
        <v>$ 4,967</v>
      </c>
      <c r="F5833">
        <v>167</v>
      </c>
    </row>
    <row r="5834" spans="1:6">
      <c r="A5834" t="s">
        <v>5826</v>
      </c>
      <c r="B5834" t="str">
        <f t="shared" si="250"/>
        <v>0.00064%</v>
      </c>
      <c r="C5834" t="s">
        <v>10</v>
      </c>
      <c r="D5834" t="s">
        <v>10</v>
      </c>
      <c r="E5834" t="str">
        <f>"$ 4,910"</f>
        <v>$ 4,910</v>
      </c>
      <c r="F5834" s="1">
        <v>4559</v>
      </c>
    </row>
    <row r="5835" spans="1:6">
      <c r="A5835" t="s">
        <v>5827</v>
      </c>
      <c r="B5835" t="str">
        <f t="shared" si="250"/>
        <v>0.00064%</v>
      </c>
      <c r="C5835" t="s">
        <v>10</v>
      </c>
      <c r="D5835" t="s">
        <v>10</v>
      </c>
      <c r="E5835" t="str">
        <f>"$ 4,969"</f>
        <v>$ 4,969</v>
      </c>
      <c r="F5835" s="1">
        <v>12955</v>
      </c>
    </row>
    <row r="5836" spans="1:6">
      <c r="A5836" t="s">
        <v>5828</v>
      </c>
      <c r="B5836" t="str">
        <f t="shared" si="250"/>
        <v>0.00064%</v>
      </c>
      <c r="C5836" t="s">
        <v>10</v>
      </c>
      <c r="D5836" t="s">
        <v>10</v>
      </c>
      <c r="E5836" t="str">
        <f>"$ 4,925"</f>
        <v>$ 4,925</v>
      </c>
      <c r="F5836">
        <v>595</v>
      </c>
    </row>
    <row r="5837" spans="1:6">
      <c r="A5837" t="s">
        <v>5829</v>
      </c>
      <c r="B5837" t="str">
        <f t="shared" si="250"/>
        <v>0.00064%</v>
      </c>
      <c r="C5837" t="s">
        <v>10</v>
      </c>
      <c r="D5837" t="s">
        <v>10</v>
      </c>
      <c r="E5837" t="str">
        <f>"$ 4,937"</f>
        <v>$ 4,937</v>
      </c>
      <c r="F5837" s="1">
        <v>1404</v>
      </c>
    </row>
    <row r="5838" spans="1:6">
      <c r="A5838" t="s">
        <v>5830</v>
      </c>
      <c r="B5838" t="str">
        <f t="shared" si="250"/>
        <v>0.00064%</v>
      </c>
      <c r="C5838" t="s">
        <v>10</v>
      </c>
      <c r="D5838" t="s">
        <v>10</v>
      </c>
      <c r="E5838" t="str">
        <f>"$ 4,908"</f>
        <v>$ 4,908</v>
      </c>
      <c r="F5838">
        <v>158</v>
      </c>
    </row>
    <row r="5839" spans="1:6">
      <c r="A5839" t="s">
        <v>5831</v>
      </c>
      <c r="B5839" t="str">
        <f t="shared" si="250"/>
        <v>0.00064%</v>
      </c>
      <c r="C5839" t="s">
        <v>10</v>
      </c>
      <c r="D5839" t="s">
        <v>10</v>
      </c>
      <c r="E5839" t="str">
        <f>"$ 4,912"</f>
        <v>$ 4,912</v>
      </c>
      <c r="F5839">
        <v>244</v>
      </c>
    </row>
    <row r="5840" spans="1:6">
      <c r="A5840" t="s">
        <v>5832</v>
      </c>
      <c r="B5840" t="str">
        <f t="shared" si="250"/>
        <v>0.00064%</v>
      </c>
      <c r="C5840" t="s">
        <v>10</v>
      </c>
      <c r="D5840" t="s">
        <v>10</v>
      </c>
      <c r="E5840" t="str">
        <f>"$ 4,916"</f>
        <v>$ 4,916</v>
      </c>
      <c r="F5840">
        <v>162</v>
      </c>
    </row>
    <row r="5841" spans="1:6">
      <c r="A5841" t="s">
        <v>5833</v>
      </c>
      <c r="B5841" t="str">
        <f t="shared" si="250"/>
        <v>0.00064%</v>
      </c>
      <c r="C5841" t="s">
        <v>10</v>
      </c>
      <c r="D5841" t="s">
        <v>10</v>
      </c>
      <c r="E5841" t="str">
        <f>"$ 4,951"</f>
        <v>$ 4,951</v>
      </c>
      <c r="F5841">
        <v>25</v>
      </c>
    </row>
    <row r="5842" spans="1:6">
      <c r="A5842" t="s">
        <v>5834</v>
      </c>
      <c r="B5842" t="str">
        <f t="shared" si="250"/>
        <v>0.00064%</v>
      </c>
      <c r="C5842" t="s">
        <v>10</v>
      </c>
      <c r="D5842" t="s">
        <v>10</v>
      </c>
      <c r="E5842" t="str">
        <f>"$ 4,969"</f>
        <v>$ 4,969</v>
      </c>
      <c r="F5842" s="1">
        <v>75400</v>
      </c>
    </row>
    <row r="5843" spans="1:6">
      <c r="A5843" t="s">
        <v>5835</v>
      </c>
      <c r="B5843" t="str">
        <f t="shared" si="250"/>
        <v>0.00064%</v>
      </c>
      <c r="C5843" t="s">
        <v>10</v>
      </c>
      <c r="D5843" t="s">
        <v>10</v>
      </c>
      <c r="E5843" t="str">
        <f>"$ 4,938"</f>
        <v>$ 4,938</v>
      </c>
      <c r="F5843">
        <v>190</v>
      </c>
    </row>
    <row r="5844" spans="1:6">
      <c r="A5844" t="s">
        <v>5836</v>
      </c>
      <c r="B5844" t="str">
        <f t="shared" si="250"/>
        <v>0.00064%</v>
      </c>
      <c r="C5844" t="s">
        <v>10</v>
      </c>
      <c r="D5844" t="s">
        <v>10</v>
      </c>
      <c r="E5844" t="str">
        <f>"$ 4,928"</f>
        <v>$ 4,928</v>
      </c>
      <c r="F5844" s="1">
        <v>3880</v>
      </c>
    </row>
    <row r="5845" spans="1:6">
      <c r="A5845" t="s">
        <v>5837</v>
      </c>
      <c r="B5845" t="str">
        <f t="shared" si="250"/>
        <v>0.00064%</v>
      </c>
      <c r="C5845" t="s">
        <v>10</v>
      </c>
      <c r="D5845" t="s">
        <v>10</v>
      </c>
      <c r="E5845" t="str">
        <f>"$ 4,967"</f>
        <v>$ 4,967</v>
      </c>
      <c r="F5845" s="1">
        <v>6755</v>
      </c>
    </row>
    <row r="5846" spans="1:6">
      <c r="A5846" t="s">
        <v>5838</v>
      </c>
      <c r="B5846" t="str">
        <f t="shared" si="250"/>
        <v>0.00064%</v>
      </c>
      <c r="C5846" t="s">
        <v>10</v>
      </c>
      <c r="D5846" t="s">
        <v>10</v>
      </c>
      <c r="E5846" t="str">
        <f>"$ 4,975"</f>
        <v>$ 4,975</v>
      </c>
      <c r="F5846" s="1">
        <v>1320</v>
      </c>
    </row>
    <row r="5847" spans="1:6">
      <c r="A5847" t="s">
        <v>5839</v>
      </c>
      <c r="B5847" t="str">
        <f t="shared" si="250"/>
        <v>0.00064%</v>
      </c>
      <c r="C5847" t="s">
        <v>10</v>
      </c>
      <c r="D5847" t="s">
        <v>10</v>
      </c>
      <c r="E5847" t="str">
        <f>"$ 4,955"</f>
        <v>$ 4,955</v>
      </c>
      <c r="F5847" s="1">
        <v>4285</v>
      </c>
    </row>
    <row r="5848" spans="1:6">
      <c r="A5848" t="s">
        <v>5840</v>
      </c>
      <c r="B5848" t="str">
        <f t="shared" si="250"/>
        <v>0.00064%</v>
      </c>
      <c r="C5848" t="s">
        <v>10</v>
      </c>
      <c r="D5848" t="s">
        <v>10</v>
      </c>
      <c r="E5848" t="str">
        <f>"$ 4,950"</f>
        <v>$ 4,950</v>
      </c>
      <c r="F5848">
        <v>179</v>
      </c>
    </row>
    <row r="5849" spans="1:6">
      <c r="A5849" t="s">
        <v>5841</v>
      </c>
      <c r="B5849" t="str">
        <f t="shared" si="250"/>
        <v>0.00064%</v>
      </c>
      <c r="C5849" t="s">
        <v>10</v>
      </c>
      <c r="D5849" t="s">
        <v>10</v>
      </c>
      <c r="E5849" t="str">
        <f>"$ 4,949"</f>
        <v>$ 4,949</v>
      </c>
      <c r="F5849">
        <v>470</v>
      </c>
    </row>
    <row r="5850" spans="1:6">
      <c r="A5850" t="s">
        <v>5842</v>
      </c>
      <c r="B5850" t="str">
        <f t="shared" si="250"/>
        <v>0.00064%</v>
      </c>
      <c r="C5850" t="s">
        <v>10</v>
      </c>
      <c r="D5850" t="s">
        <v>10</v>
      </c>
      <c r="E5850" t="str">
        <f>"$ 4,970"</f>
        <v>$ 4,970</v>
      </c>
      <c r="F5850">
        <v>200</v>
      </c>
    </row>
    <row r="5851" spans="1:6">
      <c r="A5851" t="s">
        <v>5843</v>
      </c>
      <c r="B5851" t="str">
        <f t="shared" si="250"/>
        <v>0.00064%</v>
      </c>
      <c r="C5851" t="s">
        <v>10</v>
      </c>
      <c r="D5851" t="s">
        <v>10</v>
      </c>
      <c r="E5851" t="str">
        <f>"$ 4,918"</f>
        <v>$ 4,918</v>
      </c>
      <c r="F5851">
        <v>91</v>
      </c>
    </row>
    <row r="5852" spans="1:6">
      <c r="A5852" t="s">
        <v>5844</v>
      </c>
      <c r="B5852" t="str">
        <f t="shared" si="250"/>
        <v>0.00064%</v>
      </c>
      <c r="C5852" t="s">
        <v>10</v>
      </c>
      <c r="D5852" t="s">
        <v>10</v>
      </c>
      <c r="E5852" t="str">
        <f>"$ 4,929"</f>
        <v>$ 4,929</v>
      </c>
      <c r="F5852">
        <v>248</v>
      </c>
    </row>
    <row r="5853" spans="1:6">
      <c r="A5853" t="s">
        <v>5845</v>
      </c>
      <c r="B5853" t="str">
        <f t="shared" ref="B5853:B5892" si="251">"0.00063%"</f>
        <v>0.00063%</v>
      </c>
      <c r="C5853" t="s">
        <v>10</v>
      </c>
      <c r="D5853" t="s">
        <v>10</v>
      </c>
      <c r="E5853" t="str">
        <f>"$ 4,839"</f>
        <v>$ 4,839</v>
      </c>
      <c r="F5853" s="1">
        <v>3708</v>
      </c>
    </row>
    <row r="5854" spans="1:6">
      <c r="A5854" t="s">
        <v>5846</v>
      </c>
      <c r="B5854" t="str">
        <f t="shared" si="251"/>
        <v>0.00063%</v>
      </c>
      <c r="C5854" t="s">
        <v>10</v>
      </c>
      <c r="D5854" t="s">
        <v>10</v>
      </c>
      <c r="E5854" t="str">
        <f>"$ 4,838"</f>
        <v>$ 4,838</v>
      </c>
      <c r="F5854" s="1">
        <v>1000</v>
      </c>
    </row>
    <row r="5855" spans="1:6">
      <c r="A5855" t="s">
        <v>5847</v>
      </c>
      <c r="B5855" t="str">
        <f t="shared" si="251"/>
        <v>0.00063%</v>
      </c>
      <c r="C5855" t="s">
        <v>10</v>
      </c>
      <c r="D5855" t="s">
        <v>10</v>
      </c>
      <c r="E5855" t="str">
        <f>"$ 4,876"</f>
        <v>$ 4,876</v>
      </c>
      <c r="F5855">
        <v>327</v>
      </c>
    </row>
    <row r="5856" spans="1:6">
      <c r="A5856" t="s">
        <v>5848</v>
      </c>
      <c r="B5856" t="str">
        <f t="shared" si="251"/>
        <v>0.00063%</v>
      </c>
      <c r="C5856" t="s">
        <v>10</v>
      </c>
      <c r="D5856" t="s">
        <v>10</v>
      </c>
      <c r="E5856" t="str">
        <f>"$ 4,871"</f>
        <v>$ 4,871</v>
      </c>
      <c r="F5856">
        <v>355</v>
      </c>
    </row>
    <row r="5857" spans="1:6">
      <c r="A5857" t="s">
        <v>5849</v>
      </c>
      <c r="B5857" t="str">
        <f t="shared" si="251"/>
        <v>0.00063%</v>
      </c>
      <c r="C5857" t="s">
        <v>10</v>
      </c>
      <c r="D5857" t="s">
        <v>10</v>
      </c>
      <c r="E5857" t="str">
        <f>"$ 4,832"</f>
        <v>$ 4,832</v>
      </c>
      <c r="F5857" s="1">
        <v>1391</v>
      </c>
    </row>
    <row r="5858" spans="1:6">
      <c r="A5858" t="s">
        <v>5850</v>
      </c>
      <c r="B5858" t="str">
        <f t="shared" si="251"/>
        <v>0.00063%</v>
      </c>
      <c r="C5858" t="s">
        <v>10</v>
      </c>
      <c r="D5858" t="s">
        <v>10</v>
      </c>
      <c r="E5858" t="str">
        <f>"$ 4,858"</f>
        <v>$ 4,858</v>
      </c>
      <c r="F5858">
        <v>169</v>
      </c>
    </row>
    <row r="5859" spans="1:6">
      <c r="A5859" t="s">
        <v>5851</v>
      </c>
      <c r="B5859" t="str">
        <f t="shared" si="251"/>
        <v>0.00063%</v>
      </c>
      <c r="C5859" t="s">
        <v>10</v>
      </c>
      <c r="D5859" t="s">
        <v>10</v>
      </c>
      <c r="E5859" t="str">
        <f>"$ 4,884"</f>
        <v>$ 4,884</v>
      </c>
      <c r="F5859" s="1">
        <v>24449</v>
      </c>
    </row>
    <row r="5860" spans="1:6">
      <c r="A5860" t="s">
        <v>5852</v>
      </c>
      <c r="B5860" t="str">
        <f t="shared" si="251"/>
        <v>0.00063%</v>
      </c>
      <c r="C5860" t="s">
        <v>10</v>
      </c>
      <c r="D5860" t="s">
        <v>10</v>
      </c>
      <c r="E5860" t="str">
        <f>"$ 4,868"</f>
        <v>$ 4,868</v>
      </c>
      <c r="F5860">
        <v>113</v>
      </c>
    </row>
    <row r="5861" spans="1:6">
      <c r="A5861" t="s">
        <v>5853</v>
      </c>
      <c r="B5861" t="str">
        <f t="shared" si="251"/>
        <v>0.00063%</v>
      </c>
      <c r="C5861" t="s">
        <v>10</v>
      </c>
      <c r="D5861" t="s">
        <v>10</v>
      </c>
      <c r="E5861" t="str">
        <f>"$ 4,901"</f>
        <v>$ 4,901</v>
      </c>
      <c r="F5861">
        <v>110</v>
      </c>
    </row>
    <row r="5862" spans="1:6">
      <c r="A5862" t="s">
        <v>5854</v>
      </c>
      <c r="B5862" t="str">
        <f t="shared" si="251"/>
        <v>0.00063%</v>
      </c>
      <c r="C5862" t="s">
        <v>10</v>
      </c>
      <c r="D5862" t="s">
        <v>10</v>
      </c>
      <c r="E5862" t="str">
        <f>"$ 4,902"</f>
        <v>$ 4,902</v>
      </c>
      <c r="F5862" s="1">
        <v>1874</v>
      </c>
    </row>
    <row r="5863" spans="1:6">
      <c r="A5863" t="s">
        <v>5855</v>
      </c>
      <c r="B5863" t="str">
        <f t="shared" si="251"/>
        <v>0.00063%</v>
      </c>
      <c r="C5863" t="s">
        <v>10</v>
      </c>
      <c r="D5863" t="s">
        <v>10</v>
      </c>
      <c r="E5863" t="str">
        <f>"$ 4,867"</f>
        <v>$ 4,867</v>
      </c>
      <c r="F5863" s="1">
        <v>1430</v>
      </c>
    </row>
    <row r="5864" spans="1:6">
      <c r="A5864" t="s">
        <v>5856</v>
      </c>
      <c r="B5864" t="str">
        <f t="shared" si="251"/>
        <v>0.00063%</v>
      </c>
      <c r="C5864" t="s">
        <v>10</v>
      </c>
      <c r="D5864" t="s">
        <v>10</v>
      </c>
      <c r="E5864" t="str">
        <f>"$ 4,850"</f>
        <v>$ 4,850</v>
      </c>
      <c r="F5864" s="1">
        <v>4031</v>
      </c>
    </row>
    <row r="5865" spans="1:6">
      <c r="A5865" t="s">
        <v>5857</v>
      </c>
      <c r="B5865" t="str">
        <f t="shared" si="251"/>
        <v>0.00063%</v>
      </c>
      <c r="C5865" t="s">
        <v>10</v>
      </c>
      <c r="D5865" t="s">
        <v>10</v>
      </c>
      <c r="E5865" t="str">
        <f>"$ 4,893"</f>
        <v>$ 4,893</v>
      </c>
      <c r="F5865">
        <v>676</v>
      </c>
    </row>
    <row r="5866" spans="1:6">
      <c r="A5866" t="s">
        <v>5858</v>
      </c>
      <c r="B5866" t="str">
        <f t="shared" si="251"/>
        <v>0.00063%</v>
      </c>
      <c r="C5866" t="s">
        <v>10</v>
      </c>
      <c r="D5866" t="s">
        <v>10</v>
      </c>
      <c r="E5866" t="str">
        <f>"$ 4,896"</f>
        <v>$ 4,896</v>
      </c>
      <c r="F5866">
        <v>363</v>
      </c>
    </row>
    <row r="5867" spans="1:6">
      <c r="A5867" t="s">
        <v>5859</v>
      </c>
      <c r="B5867" t="str">
        <f t="shared" si="251"/>
        <v>0.00063%</v>
      </c>
      <c r="C5867" t="s">
        <v>10</v>
      </c>
      <c r="D5867" t="s">
        <v>10</v>
      </c>
      <c r="E5867" t="str">
        <f>"$ 4,828"</f>
        <v>$ 4,828</v>
      </c>
      <c r="F5867">
        <v>984</v>
      </c>
    </row>
    <row r="5868" spans="1:6">
      <c r="A5868" t="s">
        <v>5860</v>
      </c>
      <c r="B5868" t="str">
        <f t="shared" si="251"/>
        <v>0.00063%</v>
      </c>
      <c r="C5868" t="s">
        <v>10</v>
      </c>
      <c r="D5868" t="s">
        <v>10</v>
      </c>
      <c r="E5868" t="str">
        <f>"$ 4,836"</f>
        <v>$ 4,836</v>
      </c>
      <c r="F5868">
        <v>230</v>
      </c>
    </row>
    <row r="5869" spans="1:6">
      <c r="A5869" t="s">
        <v>5861</v>
      </c>
      <c r="B5869" t="str">
        <f t="shared" si="251"/>
        <v>0.00063%</v>
      </c>
      <c r="C5869" t="s">
        <v>10</v>
      </c>
      <c r="D5869" t="s">
        <v>10</v>
      </c>
      <c r="E5869" t="str">
        <f>"$ 4,859"</f>
        <v>$ 4,859</v>
      </c>
      <c r="F5869">
        <v>368</v>
      </c>
    </row>
    <row r="5870" spans="1:6">
      <c r="A5870" t="s">
        <v>5862</v>
      </c>
      <c r="B5870" t="str">
        <f t="shared" si="251"/>
        <v>0.00063%</v>
      </c>
      <c r="C5870" t="s">
        <v>10</v>
      </c>
      <c r="D5870" t="s">
        <v>10</v>
      </c>
      <c r="E5870" t="str">
        <f>"$ 4,876"</f>
        <v>$ 4,876</v>
      </c>
      <c r="F5870">
        <v>385</v>
      </c>
    </row>
    <row r="5871" spans="1:6">
      <c r="A5871" t="s">
        <v>5863</v>
      </c>
      <c r="B5871" t="str">
        <f t="shared" si="251"/>
        <v>0.00063%</v>
      </c>
      <c r="C5871" t="s">
        <v>10</v>
      </c>
      <c r="D5871" t="s">
        <v>10</v>
      </c>
      <c r="E5871" t="str">
        <f>"$ 4,838"</f>
        <v>$ 4,838</v>
      </c>
      <c r="F5871">
        <v>279</v>
      </c>
    </row>
    <row r="5872" spans="1:6">
      <c r="A5872" t="s">
        <v>5864</v>
      </c>
      <c r="B5872" t="str">
        <f t="shared" si="251"/>
        <v>0.00063%</v>
      </c>
      <c r="C5872" t="s">
        <v>10</v>
      </c>
      <c r="D5872" t="s">
        <v>10</v>
      </c>
      <c r="E5872" t="str">
        <f>"$ 4,878"</f>
        <v>$ 4,878</v>
      </c>
      <c r="F5872">
        <v>35</v>
      </c>
    </row>
    <row r="5873" spans="1:6">
      <c r="A5873" t="s">
        <v>5865</v>
      </c>
      <c r="B5873" t="str">
        <f t="shared" si="251"/>
        <v>0.00063%</v>
      </c>
      <c r="C5873" t="s">
        <v>10</v>
      </c>
      <c r="D5873" t="s">
        <v>10</v>
      </c>
      <c r="E5873" t="str">
        <f>"$ 4,842"</f>
        <v>$ 4,842</v>
      </c>
      <c r="F5873">
        <v>241</v>
      </c>
    </row>
    <row r="5874" spans="1:6">
      <c r="A5874" t="s">
        <v>5866</v>
      </c>
      <c r="B5874" t="str">
        <f t="shared" si="251"/>
        <v>0.00063%</v>
      </c>
      <c r="C5874" t="s">
        <v>10</v>
      </c>
      <c r="D5874" t="s">
        <v>10</v>
      </c>
      <c r="E5874" t="str">
        <f>"$ 4,827"</f>
        <v>$ 4,827</v>
      </c>
      <c r="F5874">
        <v>628</v>
      </c>
    </row>
    <row r="5875" spans="1:6">
      <c r="A5875" t="s">
        <v>5867</v>
      </c>
      <c r="B5875" t="str">
        <f t="shared" si="251"/>
        <v>0.00063%</v>
      </c>
      <c r="C5875" t="s">
        <v>10</v>
      </c>
      <c r="D5875" t="s">
        <v>10</v>
      </c>
      <c r="E5875" t="str">
        <f>"$ 4,863"</f>
        <v>$ 4,863</v>
      </c>
      <c r="F5875">
        <v>99</v>
      </c>
    </row>
    <row r="5876" spans="1:6">
      <c r="A5876" t="s">
        <v>5868</v>
      </c>
      <c r="B5876" t="str">
        <f t="shared" si="251"/>
        <v>0.00063%</v>
      </c>
      <c r="C5876" t="s">
        <v>10</v>
      </c>
      <c r="D5876" t="s">
        <v>10</v>
      </c>
      <c r="E5876" t="str">
        <f>"$ 4,832"</f>
        <v>$ 4,832</v>
      </c>
      <c r="F5876" s="1">
        <v>1923</v>
      </c>
    </row>
    <row r="5877" spans="1:6">
      <c r="A5877" t="s">
        <v>5869</v>
      </c>
      <c r="B5877" t="str">
        <f t="shared" si="251"/>
        <v>0.00063%</v>
      </c>
      <c r="C5877" t="s">
        <v>10</v>
      </c>
      <c r="D5877" t="s">
        <v>10</v>
      </c>
      <c r="E5877" t="str">
        <f>"$ 4,860"</f>
        <v>$ 4,860</v>
      </c>
      <c r="F5877">
        <v>143</v>
      </c>
    </row>
    <row r="5878" spans="1:6">
      <c r="A5878" t="s">
        <v>5870</v>
      </c>
      <c r="B5878" t="str">
        <f t="shared" si="251"/>
        <v>0.00063%</v>
      </c>
      <c r="C5878" t="s">
        <v>10</v>
      </c>
      <c r="D5878" t="s">
        <v>10</v>
      </c>
      <c r="E5878" t="str">
        <f>"$ 4,879"</f>
        <v>$ 4,879</v>
      </c>
      <c r="F5878" s="1">
        <v>2062</v>
      </c>
    </row>
    <row r="5879" spans="1:6">
      <c r="A5879" t="s">
        <v>5871</v>
      </c>
      <c r="B5879" t="str">
        <f t="shared" si="251"/>
        <v>0.00063%</v>
      </c>
      <c r="C5879" t="s">
        <v>10</v>
      </c>
      <c r="D5879" t="s">
        <v>10</v>
      </c>
      <c r="E5879" t="str">
        <f>"$ 4,835"</f>
        <v>$ 4,835</v>
      </c>
      <c r="F5879">
        <v>255</v>
      </c>
    </row>
    <row r="5880" spans="1:6">
      <c r="A5880" t="s">
        <v>5872</v>
      </c>
      <c r="B5880" t="str">
        <f t="shared" si="251"/>
        <v>0.00063%</v>
      </c>
      <c r="C5880" t="s">
        <v>10</v>
      </c>
      <c r="D5880" t="s">
        <v>10</v>
      </c>
      <c r="E5880" t="str">
        <f>"$ 4,880"</f>
        <v>$ 4,880</v>
      </c>
      <c r="F5880">
        <v>521</v>
      </c>
    </row>
    <row r="5881" spans="1:6">
      <c r="A5881" t="s">
        <v>5873</v>
      </c>
      <c r="B5881" t="str">
        <f t="shared" si="251"/>
        <v>0.00063%</v>
      </c>
      <c r="C5881" t="s">
        <v>10</v>
      </c>
      <c r="D5881" t="s">
        <v>10</v>
      </c>
      <c r="E5881" t="str">
        <f>"$ 4,893"</f>
        <v>$ 4,893</v>
      </c>
      <c r="F5881" s="1">
        <v>2318</v>
      </c>
    </row>
    <row r="5882" spans="1:6">
      <c r="A5882" t="s">
        <v>5874</v>
      </c>
      <c r="B5882" t="str">
        <f t="shared" si="251"/>
        <v>0.00063%</v>
      </c>
      <c r="C5882" t="s">
        <v>10</v>
      </c>
      <c r="D5882" t="s">
        <v>10</v>
      </c>
      <c r="E5882" t="str">
        <f>"$ 4,895"</f>
        <v>$ 4,895</v>
      </c>
      <c r="F5882" s="1">
        <v>3718</v>
      </c>
    </row>
    <row r="5883" spans="1:6">
      <c r="A5883" t="s">
        <v>5875</v>
      </c>
      <c r="B5883" t="str">
        <f t="shared" si="251"/>
        <v>0.00063%</v>
      </c>
      <c r="C5883" t="s">
        <v>10</v>
      </c>
      <c r="D5883" t="s">
        <v>10</v>
      </c>
      <c r="E5883" t="str">
        <f>"$ 4,900"</f>
        <v>$ 4,900</v>
      </c>
      <c r="F5883" s="1">
        <v>2656</v>
      </c>
    </row>
    <row r="5884" spans="1:6">
      <c r="A5884" t="s">
        <v>5876</v>
      </c>
      <c r="B5884" t="str">
        <f t="shared" si="251"/>
        <v>0.00063%</v>
      </c>
      <c r="C5884" t="s">
        <v>10</v>
      </c>
      <c r="D5884" t="s">
        <v>10</v>
      </c>
      <c r="E5884" t="str">
        <f>"$ 4,849"</f>
        <v>$ 4,849</v>
      </c>
      <c r="F5884">
        <v>461</v>
      </c>
    </row>
    <row r="5885" spans="1:6">
      <c r="A5885" t="s">
        <v>5877</v>
      </c>
      <c r="B5885" t="str">
        <f t="shared" si="251"/>
        <v>0.00063%</v>
      </c>
      <c r="C5885" t="s">
        <v>10</v>
      </c>
      <c r="D5885" t="s">
        <v>10</v>
      </c>
      <c r="E5885" t="str">
        <f>"$ 4,881"</f>
        <v>$ 4,881</v>
      </c>
      <c r="F5885">
        <v>819</v>
      </c>
    </row>
    <row r="5886" spans="1:6">
      <c r="A5886" t="s">
        <v>5878</v>
      </c>
      <c r="B5886" t="str">
        <f t="shared" si="251"/>
        <v>0.00063%</v>
      </c>
      <c r="C5886" t="s">
        <v>10</v>
      </c>
      <c r="D5886" t="s">
        <v>10</v>
      </c>
      <c r="E5886" t="str">
        <f>"$ 4,888"</f>
        <v>$ 4,888</v>
      </c>
      <c r="F5886" s="1">
        <v>1119</v>
      </c>
    </row>
    <row r="5887" spans="1:6">
      <c r="A5887" t="s">
        <v>5879</v>
      </c>
      <c r="B5887" t="str">
        <f t="shared" si="251"/>
        <v>0.00063%</v>
      </c>
      <c r="C5887" t="s">
        <v>10</v>
      </c>
      <c r="D5887" t="s">
        <v>10</v>
      </c>
      <c r="E5887" t="str">
        <f>"$ 4,884"</f>
        <v>$ 4,884</v>
      </c>
      <c r="F5887" s="1">
        <v>5070</v>
      </c>
    </row>
    <row r="5888" spans="1:6">
      <c r="A5888" t="s">
        <v>5880</v>
      </c>
      <c r="B5888" t="str">
        <f t="shared" si="251"/>
        <v>0.00063%</v>
      </c>
      <c r="C5888" t="s">
        <v>10</v>
      </c>
      <c r="D5888" t="s">
        <v>10</v>
      </c>
      <c r="E5888" t="str">
        <f>"$ 4,857"</f>
        <v>$ 4,857</v>
      </c>
      <c r="F5888">
        <v>236</v>
      </c>
    </row>
    <row r="5889" spans="1:6">
      <c r="A5889" t="s">
        <v>5881</v>
      </c>
      <c r="B5889" t="str">
        <f t="shared" si="251"/>
        <v>0.00063%</v>
      </c>
      <c r="C5889" t="s">
        <v>10</v>
      </c>
      <c r="D5889" t="s">
        <v>10</v>
      </c>
      <c r="E5889" t="str">
        <f>"$ 4,901"</f>
        <v>$ 4,901</v>
      </c>
      <c r="F5889" s="1">
        <v>1875</v>
      </c>
    </row>
    <row r="5890" spans="1:6">
      <c r="A5890" t="s">
        <v>5882</v>
      </c>
      <c r="B5890" t="str">
        <f t="shared" si="251"/>
        <v>0.00063%</v>
      </c>
      <c r="C5890" t="s">
        <v>10</v>
      </c>
      <c r="D5890" t="s">
        <v>10</v>
      </c>
      <c r="E5890" t="str">
        <f>"$ 4,869"</f>
        <v>$ 4,869</v>
      </c>
      <c r="F5890">
        <v>320</v>
      </c>
    </row>
    <row r="5891" spans="1:6">
      <c r="A5891" t="s">
        <v>5883</v>
      </c>
      <c r="B5891" t="str">
        <f t="shared" si="251"/>
        <v>0.00063%</v>
      </c>
      <c r="C5891" t="s">
        <v>10</v>
      </c>
      <c r="D5891" t="s">
        <v>10</v>
      </c>
      <c r="E5891" t="str">
        <f>"$ 4,864"</f>
        <v>$ 4,864</v>
      </c>
      <c r="F5891" s="1">
        <v>1571</v>
      </c>
    </row>
    <row r="5892" spans="1:6">
      <c r="A5892" t="s">
        <v>5884</v>
      </c>
      <c r="B5892" t="str">
        <f t="shared" si="251"/>
        <v>0.00063%</v>
      </c>
      <c r="C5892" t="s">
        <v>10</v>
      </c>
      <c r="D5892" t="s">
        <v>10</v>
      </c>
      <c r="E5892" t="str">
        <f>"$ 4,882"</f>
        <v>$ 4,882</v>
      </c>
      <c r="F5892">
        <v>60</v>
      </c>
    </row>
    <row r="5893" spans="1:6">
      <c r="A5893" t="s">
        <v>5885</v>
      </c>
      <c r="B5893" t="str">
        <f t="shared" ref="B5893:B5920" si="252">"0.00062%"</f>
        <v>0.00062%</v>
      </c>
      <c r="C5893" t="s">
        <v>10</v>
      </c>
      <c r="D5893" t="s">
        <v>10</v>
      </c>
      <c r="E5893" t="str">
        <f>"$ 4,774"</f>
        <v>$ 4,774</v>
      </c>
      <c r="F5893">
        <v>474</v>
      </c>
    </row>
    <row r="5894" spans="1:6">
      <c r="A5894" t="s">
        <v>5886</v>
      </c>
      <c r="B5894" t="str">
        <f t="shared" si="252"/>
        <v>0.00062%</v>
      </c>
      <c r="C5894" t="s">
        <v>10</v>
      </c>
      <c r="D5894" t="s">
        <v>10</v>
      </c>
      <c r="E5894" t="str">
        <f>"$ 4,755"</f>
        <v>$ 4,755</v>
      </c>
      <c r="F5894" s="1">
        <v>45285</v>
      </c>
    </row>
    <row r="5895" spans="1:6">
      <c r="A5895" t="s">
        <v>5887</v>
      </c>
      <c r="B5895" t="str">
        <f t="shared" si="252"/>
        <v>0.00062%</v>
      </c>
      <c r="C5895" t="s">
        <v>10</v>
      </c>
      <c r="D5895" t="s">
        <v>10</v>
      </c>
      <c r="E5895" t="str">
        <f>"$ 4,822"</f>
        <v>$ 4,822</v>
      </c>
      <c r="F5895">
        <v>62</v>
      </c>
    </row>
    <row r="5896" spans="1:6">
      <c r="A5896" t="s">
        <v>5888</v>
      </c>
      <c r="B5896" t="str">
        <f t="shared" si="252"/>
        <v>0.00062%</v>
      </c>
      <c r="C5896" t="s">
        <v>10</v>
      </c>
      <c r="D5896" t="s">
        <v>10</v>
      </c>
      <c r="E5896" t="str">
        <f>"$ 4,754"</f>
        <v>$ 4,754</v>
      </c>
      <c r="F5896">
        <v>212</v>
      </c>
    </row>
    <row r="5897" spans="1:6">
      <c r="A5897" t="s">
        <v>5889</v>
      </c>
      <c r="B5897" t="str">
        <f t="shared" si="252"/>
        <v>0.00062%</v>
      </c>
      <c r="C5897" t="s">
        <v>10</v>
      </c>
      <c r="D5897" t="s">
        <v>10</v>
      </c>
      <c r="E5897" t="str">
        <f>"$ 4,778"</f>
        <v>$ 4,778</v>
      </c>
      <c r="F5897">
        <v>987</v>
      </c>
    </row>
    <row r="5898" spans="1:6">
      <c r="A5898" t="s">
        <v>5890</v>
      </c>
      <c r="B5898" t="str">
        <f t="shared" si="252"/>
        <v>0.00062%</v>
      </c>
      <c r="C5898" t="s">
        <v>10</v>
      </c>
      <c r="D5898" t="s">
        <v>10</v>
      </c>
      <c r="E5898" t="str">
        <f>"$ 4,771"</f>
        <v>$ 4,771</v>
      </c>
      <c r="F5898">
        <v>215</v>
      </c>
    </row>
    <row r="5899" spans="1:6">
      <c r="A5899" t="s">
        <v>5891</v>
      </c>
      <c r="B5899" t="str">
        <f t="shared" si="252"/>
        <v>0.00062%</v>
      </c>
      <c r="C5899" t="s">
        <v>10</v>
      </c>
      <c r="D5899" t="s">
        <v>10</v>
      </c>
      <c r="E5899" t="str">
        <f>"$ 4,779"</f>
        <v>$ 4,779</v>
      </c>
      <c r="F5899" s="1">
        <v>3499</v>
      </c>
    </row>
    <row r="5900" spans="1:6">
      <c r="A5900" t="s">
        <v>5892</v>
      </c>
      <c r="B5900" t="str">
        <f t="shared" si="252"/>
        <v>0.00062%</v>
      </c>
      <c r="C5900" t="s">
        <v>10</v>
      </c>
      <c r="D5900" t="s">
        <v>10</v>
      </c>
      <c r="E5900" t="str">
        <f>"$ 4,780"</f>
        <v>$ 4,780</v>
      </c>
      <c r="F5900" s="1">
        <v>9936</v>
      </c>
    </row>
    <row r="5901" spans="1:6">
      <c r="A5901" t="s">
        <v>5893</v>
      </c>
      <c r="B5901" t="str">
        <f t="shared" si="252"/>
        <v>0.00062%</v>
      </c>
      <c r="C5901" t="s">
        <v>10</v>
      </c>
      <c r="D5901" t="s">
        <v>10</v>
      </c>
      <c r="E5901" t="str">
        <f>"$ 4,773"</f>
        <v>$ 4,773</v>
      </c>
      <c r="F5901">
        <v>292</v>
      </c>
    </row>
    <row r="5902" spans="1:6">
      <c r="A5902" t="s">
        <v>5894</v>
      </c>
      <c r="B5902" t="str">
        <f t="shared" si="252"/>
        <v>0.00062%</v>
      </c>
      <c r="C5902" t="s">
        <v>10</v>
      </c>
      <c r="D5902" t="s">
        <v>10</v>
      </c>
      <c r="E5902" t="str">
        <f>"$ 4,771"</f>
        <v>$ 4,771</v>
      </c>
      <c r="F5902" s="1">
        <v>2903</v>
      </c>
    </row>
    <row r="5903" spans="1:6">
      <c r="A5903" t="s">
        <v>5895</v>
      </c>
      <c r="B5903" t="str">
        <f t="shared" si="252"/>
        <v>0.00062%</v>
      </c>
      <c r="C5903" t="s">
        <v>10</v>
      </c>
      <c r="D5903" t="s">
        <v>10</v>
      </c>
      <c r="E5903" t="str">
        <f>"$ 4,784"</f>
        <v>$ 4,784</v>
      </c>
      <c r="F5903">
        <v>596</v>
      </c>
    </row>
    <row r="5904" spans="1:6">
      <c r="A5904" t="s">
        <v>5896</v>
      </c>
      <c r="B5904" t="str">
        <f t="shared" si="252"/>
        <v>0.00062%</v>
      </c>
      <c r="C5904" t="s">
        <v>10</v>
      </c>
      <c r="D5904" t="s">
        <v>10</v>
      </c>
      <c r="E5904" t="str">
        <f>"$ 4,822"</f>
        <v>$ 4,822</v>
      </c>
      <c r="F5904">
        <v>228</v>
      </c>
    </row>
    <row r="5905" spans="1:6">
      <c r="A5905" t="s">
        <v>5897</v>
      </c>
      <c r="B5905" t="str">
        <f t="shared" si="252"/>
        <v>0.00062%</v>
      </c>
      <c r="C5905" t="s">
        <v>10</v>
      </c>
      <c r="D5905" t="s">
        <v>10</v>
      </c>
      <c r="E5905" t="str">
        <f>"$ 4,770"</f>
        <v>$ 4,770</v>
      </c>
      <c r="F5905">
        <v>274</v>
      </c>
    </row>
    <row r="5906" spans="1:6">
      <c r="A5906" t="s">
        <v>5898</v>
      </c>
      <c r="B5906" t="str">
        <f t="shared" si="252"/>
        <v>0.00062%</v>
      </c>
      <c r="C5906" t="s">
        <v>10</v>
      </c>
      <c r="D5906" t="s">
        <v>10</v>
      </c>
      <c r="E5906" t="str">
        <f>"$ 4,783"</f>
        <v>$ 4,783</v>
      </c>
      <c r="F5906" s="1">
        <v>6260</v>
      </c>
    </row>
    <row r="5907" spans="1:6">
      <c r="A5907" t="s">
        <v>5899</v>
      </c>
      <c r="B5907" t="str">
        <f t="shared" si="252"/>
        <v>0.00062%</v>
      </c>
      <c r="C5907" t="s">
        <v>10</v>
      </c>
      <c r="D5907" t="s">
        <v>10</v>
      </c>
      <c r="E5907" t="str">
        <f>"$ 4,782"</f>
        <v>$ 4,782</v>
      </c>
      <c r="F5907">
        <v>198</v>
      </c>
    </row>
    <row r="5908" spans="1:6">
      <c r="A5908" t="s">
        <v>5900</v>
      </c>
      <c r="B5908" t="str">
        <f t="shared" si="252"/>
        <v>0.00062%</v>
      </c>
      <c r="C5908" t="s">
        <v>10</v>
      </c>
      <c r="D5908" t="s">
        <v>10</v>
      </c>
      <c r="E5908" t="str">
        <f>"$ 4,763"</f>
        <v>$ 4,763</v>
      </c>
      <c r="F5908">
        <v>195</v>
      </c>
    </row>
    <row r="5909" spans="1:6">
      <c r="A5909" t="s">
        <v>5901</v>
      </c>
      <c r="B5909" t="str">
        <f t="shared" si="252"/>
        <v>0.00062%</v>
      </c>
      <c r="C5909" t="s">
        <v>10</v>
      </c>
      <c r="D5909" t="s">
        <v>10</v>
      </c>
      <c r="E5909" t="str">
        <f>"$ 4,818"</f>
        <v>$ 4,818</v>
      </c>
      <c r="F5909" s="1">
        <v>1354</v>
      </c>
    </row>
    <row r="5910" spans="1:6">
      <c r="A5910" t="s">
        <v>5902</v>
      </c>
      <c r="B5910" t="str">
        <f t="shared" si="252"/>
        <v>0.00062%</v>
      </c>
      <c r="C5910" t="s">
        <v>10</v>
      </c>
      <c r="D5910" t="s">
        <v>10</v>
      </c>
      <c r="E5910" t="str">
        <f>"$ 4,795"</f>
        <v>$ 4,795</v>
      </c>
      <c r="F5910">
        <v>404</v>
      </c>
    </row>
    <row r="5911" spans="1:6">
      <c r="A5911" t="s">
        <v>5903</v>
      </c>
      <c r="B5911" t="str">
        <f t="shared" si="252"/>
        <v>0.00062%</v>
      </c>
      <c r="C5911" t="s">
        <v>10</v>
      </c>
      <c r="D5911" t="s">
        <v>10</v>
      </c>
      <c r="E5911" t="str">
        <f>"$ 4,788"</f>
        <v>$ 4,788</v>
      </c>
      <c r="F5911" s="1">
        <v>5769</v>
      </c>
    </row>
    <row r="5912" spans="1:6">
      <c r="A5912" t="s">
        <v>5904</v>
      </c>
      <c r="B5912" t="str">
        <f t="shared" si="252"/>
        <v>0.00062%</v>
      </c>
      <c r="C5912" t="s">
        <v>10</v>
      </c>
      <c r="D5912" t="s">
        <v>10</v>
      </c>
      <c r="E5912" t="str">
        <f>"$ 4,756"</f>
        <v>$ 4,756</v>
      </c>
      <c r="F5912">
        <v>218</v>
      </c>
    </row>
    <row r="5913" spans="1:6">
      <c r="A5913" t="s">
        <v>5905</v>
      </c>
      <c r="B5913" t="str">
        <f t="shared" si="252"/>
        <v>0.00062%</v>
      </c>
      <c r="C5913" t="s">
        <v>10</v>
      </c>
      <c r="D5913" t="s">
        <v>10</v>
      </c>
      <c r="E5913" t="str">
        <f>"$ 4,816"</f>
        <v>$ 4,816</v>
      </c>
      <c r="F5913" s="1">
        <v>2363</v>
      </c>
    </row>
    <row r="5914" spans="1:6">
      <c r="A5914" t="s">
        <v>5906</v>
      </c>
      <c r="B5914" t="str">
        <f t="shared" si="252"/>
        <v>0.00062%</v>
      </c>
      <c r="C5914" t="s">
        <v>10</v>
      </c>
      <c r="D5914" t="s">
        <v>10</v>
      </c>
      <c r="E5914" t="str">
        <f>"$ 4,783"</f>
        <v>$ 4,783</v>
      </c>
      <c r="F5914">
        <v>57</v>
      </c>
    </row>
    <row r="5915" spans="1:6">
      <c r="A5915" t="s">
        <v>5907</v>
      </c>
      <c r="B5915" t="str">
        <f t="shared" si="252"/>
        <v>0.00062%</v>
      </c>
      <c r="C5915" t="s">
        <v>10</v>
      </c>
      <c r="D5915" t="s">
        <v>10</v>
      </c>
      <c r="E5915" t="str">
        <f>"$ 4,783"</f>
        <v>$ 4,783</v>
      </c>
      <c r="F5915" s="1">
        <v>10769</v>
      </c>
    </row>
    <row r="5916" spans="1:6">
      <c r="A5916" t="s">
        <v>5908</v>
      </c>
      <c r="B5916" t="str">
        <f t="shared" si="252"/>
        <v>0.00062%</v>
      </c>
      <c r="C5916" t="s">
        <v>10</v>
      </c>
      <c r="D5916" t="s">
        <v>10</v>
      </c>
      <c r="E5916" t="str">
        <f>"$ 4,818"</f>
        <v>$ 4,818</v>
      </c>
      <c r="F5916">
        <v>140</v>
      </c>
    </row>
    <row r="5917" spans="1:6">
      <c r="A5917" t="s">
        <v>5909</v>
      </c>
      <c r="B5917" t="str">
        <f t="shared" si="252"/>
        <v>0.00062%</v>
      </c>
      <c r="C5917" t="s">
        <v>10</v>
      </c>
      <c r="D5917" t="s">
        <v>10</v>
      </c>
      <c r="E5917" t="str">
        <f>"$ 4,815"</f>
        <v>$ 4,815</v>
      </c>
      <c r="F5917">
        <v>359</v>
      </c>
    </row>
    <row r="5918" spans="1:6">
      <c r="A5918" t="s">
        <v>5910</v>
      </c>
      <c r="B5918" t="str">
        <f t="shared" si="252"/>
        <v>0.00062%</v>
      </c>
      <c r="C5918" t="s">
        <v>10</v>
      </c>
      <c r="D5918" t="s">
        <v>10</v>
      </c>
      <c r="E5918" t="str">
        <f>"$ 4,770"</f>
        <v>$ 4,770</v>
      </c>
      <c r="F5918">
        <v>70</v>
      </c>
    </row>
    <row r="5919" spans="1:6">
      <c r="A5919" t="s">
        <v>5911</v>
      </c>
      <c r="B5919" t="str">
        <f t="shared" si="252"/>
        <v>0.00062%</v>
      </c>
      <c r="C5919" t="s">
        <v>10</v>
      </c>
      <c r="D5919" t="s">
        <v>10</v>
      </c>
      <c r="E5919" t="str">
        <f>"$ 4,762"</f>
        <v>$ 4,762</v>
      </c>
      <c r="F5919">
        <v>132</v>
      </c>
    </row>
    <row r="5920" spans="1:6">
      <c r="A5920" t="s">
        <v>5912</v>
      </c>
      <c r="B5920" t="str">
        <f t="shared" si="252"/>
        <v>0.00062%</v>
      </c>
      <c r="C5920" t="s">
        <v>10</v>
      </c>
      <c r="D5920" t="s">
        <v>10</v>
      </c>
      <c r="E5920" t="str">
        <f>"$ 4,798"</f>
        <v>$ 4,798</v>
      </c>
      <c r="F5920">
        <v>43</v>
      </c>
    </row>
    <row r="5921" spans="1:6">
      <c r="A5921" t="s">
        <v>5913</v>
      </c>
      <c r="B5921" t="str">
        <f t="shared" ref="B5921:B5946" si="253">"0.00061%"</f>
        <v>0.00061%</v>
      </c>
      <c r="C5921" t="s">
        <v>10</v>
      </c>
      <c r="D5921" t="s">
        <v>10</v>
      </c>
      <c r="E5921" t="str">
        <f>"$ 4,697"</f>
        <v>$ 4,697</v>
      </c>
      <c r="F5921">
        <v>107</v>
      </c>
    </row>
    <row r="5922" spans="1:6">
      <c r="A5922" t="s">
        <v>5914</v>
      </c>
      <c r="B5922" t="str">
        <f t="shared" si="253"/>
        <v>0.00061%</v>
      </c>
      <c r="C5922" t="s">
        <v>10</v>
      </c>
      <c r="D5922" t="s">
        <v>10</v>
      </c>
      <c r="E5922" t="str">
        <f>"$ 4,714"</f>
        <v>$ 4,714</v>
      </c>
      <c r="F5922">
        <v>393</v>
      </c>
    </row>
    <row r="5923" spans="1:6">
      <c r="A5923" t="s">
        <v>5915</v>
      </c>
      <c r="B5923" t="str">
        <f t="shared" si="253"/>
        <v>0.00061%</v>
      </c>
      <c r="C5923" t="s">
        <v>10</v>
      </c>
      <c r="D5923" t="s">
        <v>10</v>
      </c>
      <c r="E5923" t="str">
        <f>"$ 4,728"</f>
        <v>$ 4,728</v>
      </c>
      <c r="F5923">
        <v>79</v>
      </c>
    </row>
    <row r="5924" spans="1:6">
      <c r="A5924" t="s">
        <v>5916</v>
      </c>
      <c r="B5924" t="str">
        <f t="shared" si="253"/>
        <v>0.00061%</v>
      </c>
      <c r="C5924" t="s">
        <v>10</v>
      </c>
      <c r="D5924" t="s">
        <v>10</v>
      </c>
      <c r="E5924" t="str">
        <f>"$ 4,702"</f>
        <v>$ 4,702</v>
      </c>
      <c r="F5924">
        <v>806</v>
      </c>
    </row>
    <row r="5925" spans="1:6">
      <c r="A5925" t="s">
        <v>5917</v>
      </c>
      <c r="B5925" t="str">
        <f t="shared" si="253"/>
        <v>0.00061%</v>
      </c>
      <c r="C5925" t="s">
        <v>10</v>
      </c>
      <c r="D5925" t="s">
        <v>10</v>
      </c>
      <c r="E5925" t="str">
        <f>"$ 4,743"</f>
        <v>$ 4,743</v>
      </c>
      <c r="F5925">
        <v>395</v>
      </c>
    </row>
    <row r="5926" spans="1:6">
      <c r="A5926" t="s">
        <v>5918</v>
      </c>
      <c r="B5926" t="str">
        <f t="shared" si="253"/>
        <v>0.00061%</v>
      </c>
      <c r="C5926" t="s">
        <v>10</v>
      </c>
      <c r="D5926" t="s">
        <v>10</v>
      </c>
      <c r="E5926" t="str">
        <f>"$ 4,743"</f>
        <v>$ 4,743</v>
      </c>
      <c r="F5926" s="1">
        <v>6763</v>
      </c>
    </row>
    <row r="5927" spans="1:6">
      <c r="A5927" t="s">
        <v>5919</v>
      </c>
      <c r="B5927" t="str">
        <f t="shared" si="253"/>
        <v>0.00061%</v>
      </c>
      <c r="C5927" t="s">
        <v>10</v>
      </c>
      <c r="D5927" t="s">
        <v>10</v>
      </c>
      <c r="E5927" t="str">
        <f>"$ 4,731"</f>
        <v>$ 4,731</v>
      </c>
      <c r="F5927">
        <v>659</v>
      </c>
    </row>
    <row r="5928" spans="1:6">
      <c r="A5928" t="s">
        <v>5920</v>
      </c>
      <c r="B5928" t="str">
        <f t="shared" si="253"/>
        <v>0.00061%</v>
      </c>
      <c r="C5928" t="s">
        <v>10</v>
      </c>
      <c r="D5928" t="s">
        <v>10</v>
      </c>
      <c r="E5928" t="str">
        <f>"$ 4,723"</f>
        <v>$ 4,723</v>
      </c>
      <c r="F5928">
        <v>418</v>
      </c>
    </row>
    <row r="5929" spans="1:6">
      <c r="A5929" t="s">
        <v>5921</v>
      </c>
      <c r="B5929" t="str">
        <f t="shared" si="253"/>
        <v>0.00061%</v>
      </c>
      <c r="C5929" t="s">
        <v>10</v>
      </c>
      <c r="D5929" t="s">
        <v>10</v>
      </c>
      <c r="E5929" t="str">
        <f>"$ 4,682"</f>
        <v>$ 4,682</v>
      </c>
      <c r="F5929" s="1">
        <v>1041</v>
      </c>
    </row>
    <row r="5930" spans="1:6">
      <c r="A5930" t="s">
        <v>5922</v>
      </c>
      <c r="B5930" t="str">
        <f t="shared" si="253"/>
        <v>0.00061%</v>
      </c>
      <c r="C5930" t="s">
        <v>10</v>
      </c>
      <c r="D5930" t="s">
        <v>10</v>
      </c>
      <c r="E5930" t="str">
        <f>"$ 4,696"</f>
        <v>$ 4,696</v>
      </c>
      <c r="F5930">
        <v>175</v>
      </c>
    </row>
    <row r="5931" spans="1:6">
      <c r="A5931" t="s">
        <v>5923</v>
      </c>
      <c r="B5931" t="str">
        <f t="shared" si="253"/>
        <v>0.00061%</v>
      </c>
      <c r="C5931" t="s">
        <v>10</v>
      </c>
      <c r="D5931" t="s">
        <v>10</v>
      </c>
      <c r="E5931" t="str">
        <f>"$ 4,710"</f>
        <v>$ 4,710</v>
      </c>
      <c r="F5931">
        <v>181</v>
      </c>
    </row>
    <row r="5932" spans="1:6">
      <c r="A5932" t="s">
        <v>5924</v>
      </c>
      <c r="B5932" t="str">
        <f t="shared" si="253"/>
        <v>0.00061%</v>
      </c>
      <c r="C5932" t="s">
        <v>10</v>
      </c>
      <c r="D5932" t="s">
        <v>10</v>
      </c>
      <c r="E5932" t="str">
        <f>"$ 4,710"</f>
        <v>$ 4,710</v>
      </c>
      <c r="F5932">
        <v>229</v>
      </c>
    </row>
    <row r="5933" spans="1:6">
      <c r="A5933" t="s">
        <v>5925</v>
      </c>
      <c r="B5933" t="str">
        <f t="shared" si="253"/>
        <v>0.00061%</v>
      </c>
      <c r="C5933" t="s">
        <v>10</v>
      </c>
      <c r="D5933" t="s">
        <v>10</v>
      </c>
      <c r="E5933" t="str">
        <f>"$ 4,691"</f>
        <v>$ 4,691</v>
      </c>
      <c r="F5933">
        <v>695</v>
      </c>
    </row>
    <row r="5934" spans="1:6">
      <c r="A5934" t="s">
        <v>5926</v>
      </c>
      <c r="B5934" t="str">
        <f t="shared" si="253"/>
        <v>0.00061%</v>
      </c>
      <c r="C5934" t="s">
        <v>10</v>
      </c>
      <c r="D5934" t="s">
        <v>10</v>
      </c>
      <c r="E5934" t="str">
        <f>"$ 4,689"</f>
        <v>$ 4,689</v>
      </c>
      <c r="F5934">
        <v>98</v>
      </c>
    </row>
    <row r="5935" spans="1:6">
      <c r="A5935" t="s">
        <v>5927</v>
      </c>
      <c r="B5935" t="str">
        <f t="shared" si="253"/>
        <v>0.00061%</v>
      </c>
      <c r="C5935" t="s">
        <v>10</v>
      </c>
      <c r="D5935" t="s">
        <v>10</v>
      </c>
      <c r="E5935" t="str">
        <f>"$ 4,723"</f>
        <v>$ 4,723</v>
      </c>
      <c r="F5935" s="1">
        <v>3874</v>
      </c>
    </row>
    <row r="5936" spans="1:6">
      <c r="A5936" t="s">
        <v>5928</v>
      </c>
      <c r="B5936" t="str">
        <f t="shared" si="253"/>
        <v>0.00061%</v>
      </c>
      <c r="C5936" t="s">
        <v>10</v>
      </c>
      <c r="D5936" t="s">
        <v>10</v>
      </c>
      <c r="E5936" t="str">
        <f>"$ 4,676"</f>
        <v>$ 4,676</v>
      </c>
      <c r="F5936" s="1">
        <v>3908</v>
      </c>
    </row>
    <row r="5937" spans="1:6">
      <c r="A5937" t="s">
        <v>5929</v>
      </c>
      <c r="B5937" t="str">
        <f t="shared" si="253"/>
        <v>0.00061%</v>
      </c>
      <c r="C5937" t="s">
        <v>10</v>
      </c>
      <c r="D5937" t="s">
        <v>10</v>
      </c>
      <c r="E5937" t="str">
        <f>"$ 4,674"</f>
        <v>$ 4,674</v>
      </c>
      <c r="F5937">
        <v>293</v>
      </c>
    </row>
    <row r="5938" spans="1:6">
      <c r="A5938" t="s">
        <v>5930</v>
      </c>
      <c r="B5938" t="str">
        <f t="shared" si="253"/>
        <v>0.00061%</v>
      </c>
      <c r="C5938" t="s">
        <v>10</v>
      </c>
      <c r="D5938" t="s">
        <v>10</v>
      </c>
      <c r="E5938" t="str">
        <f>"$ 4,702"</f>
        <v>$ 4,702</v>
      </c>
      <c r="F5938" s="1">
        <v>19144</v>
      </c>
    </row>
    <row r="5939" spans="1:6">
      <c r="A5939" t="s">
        <v>5931</v>
      </c>
      <c r="B5939" t="str">
        <f t="shared" si="253"/>
        <v>0.00061%</v>
      </c>
      <c r="C5939" t="s">
        <v>10</v>
      </c>
      <c r="D5939" t="s">
        <v>10</v>
      </c>
      <c r="E5939" t="str">
        <f>"$ 4,712"</f>
        <v>$ 4,712</v>
      </c>
      <c r="F5939">
        <v>96</v>
      </c>
    </row>
    <row r="5940" spans="1:6">
      <c r="A5940" t="s">
        <v>5932</v>
      </c>
      <c r="B5940" t="str">
        <f t="shared" si="253"/>
        <v>0.00061%</v>
      </c>
      <c r="C5940" t="s">
        <v>10</v>
      </c>
      <c r="D5940" t="s">
        <v>10</v>
      </c>
      <c r="E5940" t="str">
        <f>"$ 4,679"</f>
        <v>$ 4,679</v>
      </c>
      <c r="F5940">
        <v>204</v>
      </c>
    </row>
    <row r="5941" spans="1:6">
      <c r="A5941" t="s">
        <v>5933</v>
      </c>
      <c r="B5941" t="str">
        <f t="shared" si="253"/>
        <v>0.00061%</v>
      </c>
      <c r="C5941" t="s">
        <v>10</v>
      </c>
      <c r="D5941" t="s">
        <v>10</v>
      </c>
      <c r="E5941" t="str">
        <f>"$ 4,683"</f>
        <v>$ 4,683</v>
      </c>
      <c r="F5941">
        <v>841</v>
      </c>
    </row>
    <row r="5942" spans="1:6">
      <c r="A5942" t="s">
        <v>5934</v>
      </c>
      <c r="B5942" t="str">
        <f t="shared" si="253"/>
        <v>0.00061%</v>
      </c>
      <c r="C5942" t="s">
        <v>10</v>
      </c>
      <c r="D5942" t="s">
        <v>10</v>
      </c>
      <c r="E5942" t="str">
        <f>"$ 4,672"</f>
        <v>$ 4,672</v>
      </c>
      <c r="F5942">
        <v>817</v>
      </c>
    </row>
    <row r="5943" spans="1:6">
      <c r="A5943" t="s">
        <v>5935</v>
      </c>
      <c r="B5943" t="str">
        <f t="shared" si="253"/>
        <v>0.00061%</v>
      </c>
      <c r="C5943" t="s">
        <v>10</v>
      </c>
      <c r="D5943" t="s">
        <v>10</v>
      </c>
      <c r="E5943" t="str">
        <f>"$ 4,689"</f>
        <v>$ 4,689</v>
      </c>
      <c r="F5943">
        <v>86</v>
      </c>
    </row>
    <row r="5944" spans="1:6">
      <c r="A5944" t="s">
        <v>5936</v>
      </c>
      <c r="B5944" t="str">
        <f t="shared" si="253"/>
        <v>0.00061%</v>
      </c>
      <c r="C5944" t="s">
        <v>10</v>
      </c>
      <c r="D5944" t="s">
        <v>10</v>
      </c>
      <c r="E5944" t="str">
        <f>"$ 4,745"</f>
        <v>$ 4,745</v>
      </c>
      <c r="F5944" s="1">
        <v>13677</v>
      </c>
    </row>
    <row r="5945" spans="1:6">
      <c r="A5945" t="s">
        <v>5937</v>
      </c>
      <c r="B5945" t="str">
        <f t="shared" si="253"/>
        <v>0.00061%</v>
      </c>
      <c r="C5945" t="s">
        <v>10</v>
      </c>
      <c r="D5945" t="s">
        <v>10</v>
      </c>
      <c r="E5945" t="str">
        <f>"$ 4,706"</f>
        <v>$ 4,706</v>
      </c>
      <c r="F5945" s="1">
        <v>2768</v>
      </c>
    </row>
    <row r="5946" spans="1:6">
      <c r="A5946" t="s">
        <v>5938</v>
      </c>
      <c r="B5946" t="str">
        <f t="shared" si="253"/>
        <v>0.00061%</v>
      </c>
      <c r="C5946" t="s">
        <v>10</v>
      </c>
      <c r="D5946" t="s">
        <v>10</v>
      </c>
      <c r="E5946" t="str">
        <f>"$ 4,680"</f>
        <v>$ 4,680</v>
      </c>
      <c r="F5946">
        <v>139</v>
      </c>
    </row>
    <row r="5947" spans="1:6">
      <c r="A5947" t="s">
        <v>5939</v>
      </c>
      <c r="B5947" t="str">
        <f t="shared" ref="B5947:B5980" si="254">"0.00060%"</f>
        <v>0.00060%</v>
      </c>
      <c r="C5947" t="s">
        <v>10</v>
      </c>
      <c r="D5947" t="s">
        <v>10</v>
      </c>
      <c r="E5947" t="str">
        <f>"$ 4,604"</f>
        <v>$ 4,604</v>
      </c>
      <c r="F5947" s="1">
        <v>4580</v>
      </c>
    </row>
    <row r="5948" spans="1:6">
      <c r="A5948" t="s">
        <v>5940</v>
      </c>
      <c r="B5948" t="str">
        <f t="shared" si="254"/>
        <v>0.00060%</v>
      </c>
      <c r="C5948" t="s">
        <v>10</v>
      </c>
      <c r="D5948" t="s">
        <v>10</v>
      </c>
      <c r="E5948" t="str">
        <f>"$ 4,634"</f>
        <v>$ 4,634</v>
      </c>
      <c r="F5948" s="1">
        <v>5016</v>
      </c>
    </row>
    <row r="5949" spans="1:6">
      <c r="A5949" t="s">
        <v>5941</v>
      </c>
      <c r="B5949" t="str">
        <f t="shared" si="254"/>
        <v>0.00060%</v>
      </c>
      <c r="C5949" t="s">
        <v>10</v>
      </c>
      <c r="D5949" t="s">
        <v>10</v>
      </c>
      <c r="E5949" t="str">
        <f>"$ 4,642"</f>
        <v>$ 4,642</v>
      </c>
      <c r="F5949" s="1">
        <v>5418</v>
      </c>
    </row>
    <row r="5950" spans="1:6">
      <c r="A5950" t="s">
        <v>5942</v>
      </c>
      <c r="B5950" t="str">
        <f t="shared" si="254"/>
        <v>0.00060%</v>
      </c>
      <c r="C5950" t="s">
        <v>10</v>
      </c>
      <c r="D5950" t="s">
        <v>10</v>
      </c>
      <c r="E5950" t="str">
        <f>"$ 4,659"</f>
        <v>$ 4,659</v>
      </c>
      <c r="F5950" s="1">
        <v>9025</v>
      </c>
    </row>
    <row r="5951" spans="1:6">
      <c r="A5951" t="s">
        <v>5943</v>
      </c>
      <c r="B5951" t="str">
        <f t="shared" si="254"/>
        <v>0.00060%</v>
      </c>
      <c r="C5951" t="s">
        <v>10</v>
      </c>
      <c r="D5951" t="s">
        <v>10</v>
      </c>
      <c r="E5951" t="str">
        <f>"$ 4,630"</f>
        <v>$ 4,630</v>
      </c>
      <c r="F5951">
        <v>404</v>
      </c>
    </row>
    <row r="5952" spans="1:6">
      <c r="A5952" t="s">
        <v>5944</v>
      </c>
      <c r="B5952" t="str">
        <f t="shared" si="254"/>
        <v>0.00060%</v>
      </c>
      <c r="C5952" t="s">
        <v>10</v>
      </c>
      <c r="D5952" t="s">
        <v>10</v>
      </c>
      <c r="E5952" t="str">
        <f>"$ 4,603"</f>
        <v>$ 4,603</v>
      </c>
      <c r="F5952" s="1">
        <v>2887</v>
      </c>
    </row>
    <row r="5953" spans="1:6">
      <c r="A5953" t="s">
        <v>5945</v>
      </c>
      <c r="B5953" t="str">
        <f t="shared" si="254"/>
        <v>0.00060%</v>
      </c>
      <c r="C5953" t="s">
        <v>10</v>
      </c>
      <c r="D5953" t="s">
        <v>10</v>
      </c>
      <c r="E5953" t="str">
        <f>"$ 4,665"</f>
        <v>$ 4,665</v>
      </c>
      <c r="F5953">
        <v>214</v>
      </c>
    </row>
    <row r="5954" spans="1:6">
      <c r="A5954" t="s">
        <v>5946</v>
      </c>
      <c r="B5954" t="str">
        <f t="shared" si="254"/>
        <v>0.00060%</v>
      </c>
      <c r="C5954" t="s">
        <v>10</v>
      </c>
      <c r="D5954" t="s">
        <v>10</v>
      </c>
      <c r="E5954" t="str">
        <f>"$ 4,596"</f>
        <v>$ 4,596</v>
      </c>
      <c r="F5954">
        <v>192</v>
      </c>
    </row>
    <row r="5955" spans="1:6">
      <c r="A5955" t="s">
        <v>5947</v>
      </c>
      <c r="B5955" t="str">
        <f t="shared" si="254"/>
        <v>0.00060%</v>
      </c>
      <c r="C5955" t="s">
        <v>10</v>
      </c>
      <c r="D5955" t="s">
        <v>10</v>
      </c>
      <c r="E5955" t="str">
        <f>"$ 4,605"</f>
        <v>$ 4,605</v>
      </c>
      <c r="F5955">
        <v>47</v>
      </c>
    </row>
    <row r="5956" spans="1:6">
      <c r="A5956" t="s">
        <v>5948</v>
      </c>
      <c r="B5956" t="str">
        <f t="shared" si="254"/>
        <v>0.00060%</v>
      </c>
      <c r="C5956" t="s">
        <v>10</v>
      </c>
      <c r="D5956" t="s">
        <v>10</v>
      </c>
      <c r="E5956" t="str">
        <f>"$ 4,646"</f>
        <v>$ 4,646</v>
      </c>
      <c r="F5956">
        <v>684</v>
      </c>
    </row>
    <row r="5957" spans="1:6">
      <c r="A5957" t="s">
        <v>5949</v>
      </c>
      <c r="B5957" t="str">
        <f t="shared" si="254"/>
        <v>0.00060%</v>
      </c>
      <c r="C5957" t="s">
        <v>10</v>
      </c>
      <c r="D5957" t="s">
        <v>10</v>
      </c>
      <c r="E5957" t="str">
        <f>"$ 4,634"</f>
        <v>$ 4,634</v>
      </c>
      <c r="F5957">
        <v>299</v>
      </c>
    </row>
    <row r="5958" spans="1:6">
      <c r="A5958" t="s">
        <v>5950</v>
      </c>
      <c r="B5958" t="str">
        <f t="shared" si="254"/>
        <v>0.00060%</v>
      </c>
      <c r="C5958" t="s">
        <v>10</v>
      </c>
      <c r="D5958" t="s">
        <v>10</v>
      </c>
      <c r="E5958" t="str">
        <f>"$ 4,639"</f>
        <v>$ 4,639</v>
      </c>
      <c r="F5958" s="1">
        <v>1038</v>
      </c>
    </row>
    <row r="5959" spans="1:6">
      <c r="A5959" t="s">
        <v>5951</v>
      </c>
      <c r="B5959" t="str">
        <f t="shared" si="254"/>
        <v>0.00060%</v>
      </c>
      <c r="C5959" t="s">
        <v>10</v>
      </c>
      <c r="D5959" t="s">
        <v>10</v>
      </c>
      <c r="E5959" t="str">
        <f>"$ 4,597"</f>
        <v>$ 4,597</v>
      </c>
      <c r="F5959">
        <v>138</v>
      </c>
    </row>
    <row r="5960" spans="1:6">
      <c r="A5960" t="s">
        <v>5952</v>
      </c>
      <c r="B5960" t="str">
        <f t="shared" si="254"/>
        <v>0.00060%</v>
      </c>
      <c r="C5960" t="s">
        <v>10</v>
      </c>
      <c r="D5960" t="s">
        <v>10</v>
      </c>
      <c r="E5960" t="str">
        <f>"$ 4,666"</f>
        <v>$ 4,666</v>
      </c>
      <c r="F5960" s="1">
        <v>1987</v>
      </c>
    </row>
    <row r="5961" spans="1:6">
      <c r="A5961" t="s">
        <v>5953</v>
      </c>
      <c r="B5961" t="str">
        <f t="shared" si="254"/>
        <v>0.00060%</v>
      </c>
      <c r="C5961" t="s">
        <v>10</v>
      </c>
      <c r="D5961" t="s">
        <v>10</v>
      </c>
      <c r="E5961" t="str">
        <f>"$ 4,669"</f>
        <v>$ 4,669</v>
      </c>
      <c r="F5961">
        <v>501</v>
      </c>
    </row>
    <row r="5962" spans="1:6">
      <c r="A5962" t="s">
        <v>5954</v>
      </c>
      <c r="B5962" t="str">
        <f t="shared" si="254"/>
        <v>0.00060%</v>
      </c>
      <c r="C5962" t="s">
        <v>10</v>
      </c>
      <c r="D5962" t="s">
        <v>10</v>
      </c>
      <c r="E5962" t="str">
        <f>"$ 4,655"</f>
        <v>$ 4,655</v>
      </c>
      <c r="F5962">
        <v>187</v>
      </c>
    </row>
    <row r="5963" spans="1:6">
      <c r="A5963" t="s">
        <v>5955</v>
      </c>
      <c r="B5963" t="str">
        <f t="shared" si="254"/>
        <v>0.00060%</v>
      </c>
      <c r="C5963" t="s">
        <v>10</v>
      </c>
      <c r="D5963" t="s">
        <v>10</v>
      </c>
      <c r="E5963" t="str">
        <f>"$ 4,604"</f>
        <v>$ 4,604</v>
      </c>
      <c r="F5963" s="1">
        <v>1349</v>
      </c>
    </row>
    <row r="5964" spans="1:6">
      <c r="A5964" t="s">
        <v>5956</v>
      </c>
      <c r="B5964" t="str">
        <f t="shared" si="254"/>
        <v>0.00060%</v>
      </c>
      <c r="C5964" t="s">
        <v>10</v>
      </c>
      <c r="D5964" t="s">
        <v>10</v>
      </c>
      <c r="E5964" t="str">
        <f>"$ 4,617"</f>
        <v>$ 4,617</v>
      </c>
      <c r="F5964">
        <v>95</v>
      </c>
    </row>
    <row r="5965" spans="1:6">
      <c r="A5965" t="s">
        <v>5957</v>
      </c>
      <c r="B5965" t="str">
        <f t="shared" si="254"/>
        <v>0.00060%</v>
      </c>
      <c r="C5965" t="s">
        <v>10</v>
      </c>
      <c r="D5965" t="s">
        <v>10</v>
      </c>
      <c r="E5965" t="str">
        <f>"$ 4,625"</f>
        <v>$ 4,625</v>
      </c>
      <c r="F5965">
        <v>41</v>
      </c>
    </row>
    <row r="5966" spans="1:6">
      <c r="A5966" t="s">
        <v>5958</v>
      </c>
      <c r="B5966" t="str">
        <f t="shared" si="254"/>
        <v>0.00060%</v>
      </c>
      <c r="C5966" t="s">
        <v>10</v>
      </c>
      <c r="D5966" t="s">
        <v>10</v>
      </c>
      <c r="E5966" t="str">
        <f>"$ 4,604"</f>
        <v>$ 4,604</v>
      </c>
      <c r="F5966">
        <v>329</v>
      </c>
    </row>
    <row r="5967" spans="1:6">
      <c r="A5967" t="s">
        <v>5959</v>
      </c>
      <c r="B5967" t="str">
        <f t="shared" si="254"/>
        <v>0.00060%</v>
      </c>
      <c r="C5967" t="s">
        <v>10</v>
      </c>
      <c r="D5967" t="s">
        <v>10</v>
      </c>
      <c r="E5967" t="str">
        <f>"$ 4,619"</f>
        <v>$ 4,619</v>
      </c>
      <c r="F5967" s="1">
        <v>1593</v>
      </c>
    </row>
    <row r="5968" spans="1:6">
      <c r="A5968" t="s">
        <v>5960</v>
      </c>
      <c r="B5968" t="str">
        <f t="shared" si="254"/>
        <v>0.00060%</v>
      </c>
      <c r="C5968" t="s">
        <v>10</v>
      </c>
      <c r="D5968" t="s">
        <v>10</v>
      </c>
      <c r="E5968" t="str">
        <f>"$ 4,596"</f>
        <v>$ 4,596</v>
      </c>
      <c r="F5968" s="1">
        <v>2176</v>
      </c>
    </row>
    <row r="5969" spans="1:6">
      <c r="A5969" t="s">
        <v>5961</v>
      </c>
      <c r="B5969" t="str">
        <f t="shared" si="254"/>
        <v>0.00060%</v>
      </c>
      <c r="C5969" t="s">
        <v>10</v>
      </c>
      <c r="D5969" t="s">
        <v>10</v>
      </c>
      <c r="E5969" t="str">
        <f>"$ 4,641"</f>
        <v>$ 4,641</v>
      </c>
      <c r="F5969" s="1">
        <v>7625</v>
      </c>
    </row>
    <row r="5970" spans="1:6">
      <c r="A5970" t="s">
        <v>5962</v>
      </c>
      <c r="B5970" t="str">
        <f t="shared" si="254"/>
        <v>0.00060%</v>
      </c>
      <c r="C5970" t="s">
        <v>10</v>
      </c>
      <c r="D5970" t="s">
        <v>10</v>
      </c>
      <c r="E5970" t="str">
        <f>"$ 4,667"</f>
        <v>$ 4,667</v>
      </c>
      <c r="F5970">
        <v>429</v>
      </c>
    </row>
    <row r="5971" spans="1:6">
      <c r="A5971" t="s">
        <v>5963</v>
      </c>
      <c r="B5971" t="str">
        <f t="shared" si="254"/>
        <v>0.00060%</v>
      </c>
      <c r="C5971" t="s">
        <v>10</v>
      </c>
      <c r="D5971" t="s">
        <v>10</v>
      </c>
      <c r="E5971" t="str">
        <f>"$ 4,662"</f>
        <v>$ 4,662</v>
      </c>
      <c r="F5971">
        <v>165</v>
      </c>
    </row>
    <row r="5972" spans="1:6">
      <c r="A5972" t="s">
        <v>5964</v>
      </c>
      <c r="B5972" t="str">
        <f t="shared" si="254"/>
        <v>0.00060%</v>
      </c>
      <c r="C5972" t="s">
        <v>10</v>
      </c>
      <c r="D5972" t="s">
        <v>10</v>
      </c>
      <c r="E5972" t="str">
        <f>"$ 4,654"</f>
        <v>$ 4,654</v>
      </c>
      <c r="F5972" s="1">
        <v>8952</v>
      </c>
    </row>
    <row r="5973" spans="1:6">
      <c r="A5973" t="s">
        <v>5965</v>
      </c>
      <c r="B5973" t="str">
        <f t="shared" si="254"/>
        <v>0.00060%</v>
      </c>
      <c r="C5973" t="s">
        <v>10</v>
      </c>
      <c r="D5973" t="s">
        <v>10</v>
      </c>
      <c r="E5973" t="str">
        <f>"$ 4,613"</f>
        <v>$ 4,613</v>
      </c>
      <c r="F5973">
        <v>115</v>
      </c>
    </row>
    <row r="5974" spans="1:6">
      <c r="A5974" t="s">
        <v>5966</v>
      </c>
      <c r="B5974" t="str">
        <f t="shared" si="254"/>
        <v>0.00060%</v>
      </c>
      <c r="C5974" t="s">
        <v>10</v>
      </c>
      <c r="D5974" t="s">
        <v>10</v>
      </c>
      <c r="E5974" t="str">
        <f>"$ 4,628"</f>
        <v>$ 4,628</v>
      </c>
      <c r="F5974">
        <v>642</v>
      </c>
    </row>
    <row r="5975" spans="1:6">
      <c r="A5975" t="s">
        <v>5967</v>
      </c>
      <c r="B5975" t="str">
        <f t="shared" si="254"/>
        <v>0.00060%</v>
      </c>
      <c r="C5975" t="s">
        <v>10</v>
      </c>
      <c r="D5975" t="s">
        <v>10</v>
      </c>
      <c r="E5975" t="str">
        <f>"$ 4,604"</f>
        <v>$ 4,604</v>
      </c>
      <c r="F5975">
        <v>27</v>
      </c>
    </row>
    <row r="5976" spans="1:6">
      <c r="A5976" t="s">
        <v>5968</v>
      </c>
      <c r="B5976" t="str">
        <f t="shared" si="254"/>
        <v>0.00060%</v>
      </c>
      <c r="C5976" t="s">
        <v>10</v>
      </c>
      <c r="D5976" t="s">
        <v>10</v>
      </c>
      <c r="E5976" t="str">
        <f>"$ 4,634"</f>
        <v>$ 4,634</v>
      </c>
      <c r="F5976" s="1">
        <v>10268</v>
      </c>
    </row>
    <row r="5977" spans="1:6">
      <c r="A5977" t="s">
        <v>5969</v>
      </c>
      <c r="B5977" t="str">
        <f t="shared" si="254"/>
        <v>0.00060%</v>
      </c>
      <c r="C5977" t="s">
        <v>10</v>
      </c>
      <c r="D5977" t="s">
        <v>10</v>
      </c>
      <c r="E5977" t="str">
        <f>"$ 4,622"</f>
        <v>$ 4,622</v>
      </c>
      <c r="F5977">
        <v>45</v>
      </c>
    </row>
    <row r="5978" spans="1:6">
      <c r="A5978" t="s">
        <v>5970</v>
      </c>
      <c r="B5978" t="str">
        <f t="shared" si="254"/>
        <v>0.00060%</v>
      </c>
      <c r="C5978" t="s">
        <v>10</v>
      </c>
      <c r="D5978" t="s">
        <v>10</v>
      </c>
      <c r="E5978" t="str">
        <f>"$ 4,629"</f>
        <v>$ 4,629</v>
      </c>
      <c r="F5978">
        <v>70</v>
      </c>
    </row>
    <row r="5979" spans="1:6">
      <c r="A5979" t="s">
        <v>5971</v>
      </c>
      <c r="B5979" t="str">
        <f t="shared" si="254"/>
        <v>0.00060%</v>
      </c>
      <c r="C5979" t="s">
        <v>10</v>
      </c>
      <c r="D5979" t="s">
        <v>10</v>
      </c>
      <c r="E5979" t="str">
        <f>"$ 4,622"</f>
        <v>$ 4,622</v>
      </c>
      <c r="F5979" s="1">
        <v>2611</v>
      </c>
    </row>
    <row r="5980" spans="1:6">
      <c r="A5980" t="s">
        <v>5972</v>
      </c>
      <c r="B5980" t="str">
        <f t="shared" si="254"/>
        <v>0.00060%</v>
      </c>
      <c r="C5980" t="s">
        <v>10</v>
      </c>
      <c r="D5980" t="s">
        <v>10</v>
      </c>
      <c r="E5980" t="str">
        <f>"$ 4,652"</f>
        <v>$ 4,652</v>
      </c>
      <c r="F5980">
        <v>138</v>
      </c>
    </row>
    <row r="5981" spans="1:6">
      <c r="A5981" t="s">
        <v>5973</v>
      </c>
      <c r="B5981" t="str">
        <f t="shared" ref="B5981:B6022" si="255">"0.00059%"</f>
        <v>0.00059%</v>
      </c>
      <c r="C5981" t="s">
        <v>10</v>
      </c>
      <c r="D5981" t="s">
        <v>10</v>
      </c>
      <c r="E5981" t="str">
        <f>"$ 4,531"</f>
        <v>$ 4,531</v>
      </c>
      <c r="F5981">
        <v>227</v>
      </c>
    </row>
    <row r="5982" spans="1:6">
      <c r="A5982" t="s">
        <v>5974</v>
      </c>
      <c r="B5982" t="str">
        <f t="shared" si="255"/>
        <v>0.00059%</v>
      </c>
      <c r="C5982" t="s">
        <v>10</v>
      </c>
      <c r="D5982" t="s">
        <v>10</v>
      </c>
      <c r="E5982" t="str">
        <f>"$ 4,572"</f>
        <v>$ 4,572</v>
      </c>
      <c r="F5982" s="1">
        <v>10016</v>
      </c>
    </row>
    <row r="5983" spans="1:6">
      <c r="A5983" t="s">
        <v>5975</v>
      </c>
      <c r="B5983" t="str">
        <f t="shared" si="255"/>
        <v>0.00059%</v>
      </c>
      <c r="C5983" t="s">
        <v>10</v>
      </c>
      <c r="D5983" t="s">
        <v>10</v>
      </c>
      <c r="E5983" t="str">
        <f>"$ 4,582"</f>
        <v>$ 4,582</v>
      </c>
      <c r="F5983">
        <v>66</v>
      </c>
    </row>
    <row r="5984" spans="1:6">
      <c r="A5984" t="s">
        <v>5976</v>
      </c>
      <c r="B5984" t="str">
        <f t="shared" si="255"/>
        <v>0.00059%</v>
      </c>
      <c r="C5984" t="s">
        <v>10</v>
      </c>
      <c r="D5984" t="s">
        <v>10</v>
      </c>
      <c r="E5984" t="str">
        <f>"$ 4,527"</f>
        <v>$ 4,527</v>
      </c>
      <c r="F5984">
        <v>402</v>
      </c>
    </row>
    <row r="5985" spans="1:6">
      <c r="A5985" t="s">
        <v>5977</v>
      </c>
      <c r="B5985" t="str">
        <f t="shared" si="255"/>
        <v>0.00059%</v>
      </c>
      <c r="C5985" t="s">
        <v>10</v>
      </c>
      <c r="D5985" t="s">
        <v>10</v>
      </c>
      <c r="E5985" t="str">
        <f>"$ 4,518"</f>
        <v>$ 4,518</v>
      </c>
      <c r="F5985" s="1">
        <v>5103</v>
      </c>
    </row>
    <row r="5986" spans="1:6">
      <c r="A5986" t="s">
        <v>5978</v>
      </c>
      <c r="B5986" t="str">
        <f t="shared" si="255"/>
        <v>0.00059%</v>
      </c>
      <c r="C5986" t="s">
        <v>10</v>
      </c>
      <c r="D5986" t="s">
        <v>10</v>
      </c>
      <c r="E5986" t="str">
        <f>"$ 4,583"</f>
        <v>$ 4,583</v>
      </c>
      <c r="F5986">
        <v>576</v>
      </c>
    </row>
    <row r="5987" spans="1:6">
      <c r="A5987" t="s">
        <v>5979</v>
      </c>
      <c r="B5987" t="str">
        <f t="shared" si="255"/>
        <v>0.00059%</v>
      </c>
      <c r="C5987" t="s">
        <v>10</v>
      </c>
      <c r="D5987" t="s">
        <v>10</v>
      </c>
      <c r="E5987" t="str">
        <f>"$ 4,579"</f>
        <v>$ 4,579</v>
      </c>
      <c r="F5987">
        <v>81</v>
      </c>
    </row>
    <row r="5988" spans="1:6">
      <c r="A5988" t="s">
        <v>5980</v>
      </c>
      <c r="B5988" t="str">
        <f t="shared" si="255"/>
        <v>0.00059%</v>
      </c>
      <c r="C5988" t="s">
        <v>10</v>
      </c>
      <c r="D5988" t="s">
        <v>10</v>
      </c>
      <c r="E5988" t="str">
        <f>"$ 4,543"</f>
        <v>$ 4,543</v>
      </c>
      <c r="F5988" s="1">
        <v>2377</v>
      </c>
    </row>
    <row r="5989" spans="1:6">
      <c r="A5989" t="s">
        <v>5981</v>
      </c>
      <c r="B5989" t="str">
        <f t="shared" si="255"/>
        <v>0.00059%</v>
      </c>
      <c r="C5989" t="s">
        <v>10</v>
      </c>
      <c r="D5989" t="s">
        <v>10</v>
      </c>
      <c r="E5989" t="str">
        <f>"$ 4,572"</f>
        <v>$ 4,572</v>
      </c>
      <c r="F5989">
        <v>94</v>
      </c>
    </row>
    <row r="5990" spans="1:6">
      <c r="A5990" t="s">
        <v>5982</v>
      </c>
      <c r="B5990" t="str">
        <f t="shared" si="255"/>
        <v>0.00059%</v>
      </c>
      <c r="C5990" t="s">
        <v>10</v>
      </c>
      <c r="D5990" t="s">
        <v>10</v>
      </c>
      <c r="E5990" t="str">
        <f>"$ 4,529"</f>
        <v>$ 4,529</v>
      </c>
      <c r="F5990">
        <v>183</v>
      </c>
    </row>
    <row r="5991" spans="1:6">
      <c r="A5991" t="s">
        <v>5983</v>
      </c>
      <c r="B5991" t="str">
        <f t="shared" si="255"/>
        <v>0.00059%</v>
      </c>
      <c r="C5991" t="s">
        <v>10</v>
      </c>
      <c r="D5991" t="s">
        <v>10</v>
      </c>
      <c r="E5991" t="str">
        <f>"$ 4,523"</f>
        <v>$ 4,523</v>
      </c>
      <c r="F5991" s="1">
        <v>1802</v>
      </c>
    </row>
    <row r="5992" spans="1:6">
      <c r="A5992" t="s">
        <v>5984</v>
      </c>
      <c r="B5992" t="str">
        <f t="shared" si="255"/>
        <v>0.00059%</v>
      </c>
      <c r="C5992" t="s">
        <v>10</v>
      </c>
      <c r="D5992" t="s">
        <v>10</v>
      </c>
      <c r="E5992" t="str">
        <f>"$ 4,542"</f>
        <v>$ 4,542</v>
      </c>
      <c r="F5992">
        <v>49</v>
      </c>
    </row>
    <row r="5993" spans="1:6">
      <c r="A5993" t="s">
        <v>5985</v>
      </c>
      <c r="B5993" t="str">
        <f t="shared" si="255"/>
        <v>0.00059%</v>
      </c>
      <c r="C5993" t="s">
        <v>10</v>
      </c>
      <c r="D5993" t="s">
        <v>10</v>
      </c>
      <c r="E5993" t="str">
        <f>"$ 4,549"</f>
        <v>$ 4,549</v>
      </c>
      <c r="F5993" s="1">
        <v>4166</v>
      </c>
    </row>
    <row r="5994" spans="1:6">
      <c r="A5994" t="s">
        <v>5986</v>
      </c>
      <c r="B5994" t="str">
        <f t="shared" si="255"/>
        <v>0.00059%</v>
      </c>
      <c r="C5994" t="s">
        <v>10</v>
      </c>
      <c r="D5994" t="s">
        <v>10</v>
      </c>
      <c r="E5994" t="str">
        <f>"$ 4,576"</f>
        <v>$ 4,576</v>
      </c>
      <c r="F5994">
        <v>674</v>
      </c>
    </row>
    <row r="5995" spans="1:6">
      <c r="A5995" t="s">
        <v>5987</v>
      </c>
      <c r="B5995" t="str">
        <f t="shared" si="255"/>
        <v>0.00059%</v>
      </c>
      <c r="C5995" t="s">
        <v>10</v>
      </c>
      <c r="D5995" t="s">
        <v>10</v>
      </c>
      <c r="E5995" t="str">
        <f>"$ 4,552"</f>
        <v>$ 4,552</v>
      </c>
      <c r="F5995" s="1">
        <v>1129</v>
      </c>
    </row>
    <row r="5996" spans="1:6">
      <c r="A5996" t="s">
        <v>5988</v>
      </c>
      <c r="B5996" t="str">
        <f t="shared" si="255"/>
        <v>0.00059%</v>
      </c>
      <c r="C5996" t="s">
        <v>10</v>
      </c>
      <c r="D5996" t="s">
        <v>10</v>
      </c>
      <c r="E5996" t="str">
        <f>"$ 4,577"</f>
        <v>$ 4,577</v>
      </c>
      <c r="F5996">
        <v>462</v>
      </c>
    </row>
    <row r="5997" spans="1:6">
      <c r="A5997" t="s">
        <v>5989</v>
      </c>
      <c r="B5997" t="str">
        <f t="shared" si="255"/>
        <v>0.00059%</v>
      </c>
      <c r="C5997" t="s">
        <v>10</v>
      </c>
      <c r="D5997" t="s">
        <v>10</v>
      </c>
      <c r="E5997" t="str">
        <f>"$ 4,591"</f>
        <v>$ 4,591</v>
      </c>
      <c r="F5997">
        <v>32</v>
      </c>
    </row>
    <row r="5998" spans="1:6">
      <c r="A5998" t="s">
        <v>5990</v>
      </c>
      <c r="B5998" t="str">
        <f t="shared" si="255"/>
        <v>0.00059%</v>
      </c>
      <c r="C5998" t="s">
        <v>10</v>
      </c>
      <c r="D5998" t="s">
        <v>10</v>
      </c>
      <c r="E5998" t="str">
        <f>"$ 4,578"</f>
        <v>$ 4,578</v>
      </c>
      <c r="F5998">
        <v>155</v>
      </c>
    </row>
    <row r="5999" spans="1:6">
      <c r="A5999" t="s">
        <v>5991</v>
      </c>
      <c r="B5999" t="str">
        <f t="shared" si="255"/>
        <v>0.00059%</v>
      </c>
      <c r="C5999" t="s">
        <v>10</v>
      </c>
      <c r="D5999" t="s">
        <v>10</v>
      </c>
      <c r="E5999" t="str">
        <f>"$ 4,581"</f>
        <v>$ 4,581</v>
      </c>
      <c r="F5999" s="1">
        <v>119337</v>
      </c>
    </row>
    <row r="6000" spans="1:6">
      <c r="A6000" t="s">
        <v>5992</v>
      </c>
      <c r="B6000" t="str">
        <f t="shared" si="255"/>
        <v>0.00059%</v>
      </c>
      <c r="C6000" t="s">
        <v>10</v>
      </c>
      <c r="D6000" t="s">
        <v>10</v>
      </c>
      <c r="E6000" t="str">
        <f>"$ 4,578"</f>
        <v>$ 4,578</v>
      </c>
      <c r="F6000">
        <v>506</v>
      </c>
    </row>
    <row r="6001" spans="1:6">
      <c r="A6001" t="s">
        <v>5993</v>
      </c>
      <c r="B6001" t="str">
        <f t="shared" si="255"/>
        <v>0.00059%</v>
      </c>
      <c r="C6001" t="s">
        <v>10</v>
      </c>
      <c r="D6001" t="s">
        <v>10</v>
      </c>
      <c r="E6001" t="str">
        <f>"$ 4,577"</f>
        <v>$ 4,577</v>
      </c>
      <c r="F6001">
        <v>217</v>
      </c>
    </row>
    <row r="6002" spans="1:6">
      <c r="A6002" t="s">
        <v>5994</v>
      </c>
      <c r="B6002" t="str">
        <f t="shared" si="255"/>
        <v>0.00059%</v>
      </c>
      <c r="C6002" t="s">
        <v>10</v>
      </c>
      <c r="D6002" t="s">
        <v>10</v>
      </c>
      <c r="E6002" t="str">
        <f>"$ 4,541"</f>
        <v>$ 4,541</v>
      </c>
      <c r="F6002" s="1">
        <v>22902</v>
      </c>
    </row>
    <row r="6003" spans="1:6">
      <c r="A6003" t="s">
        <v>5995</v>
      </c>
      <c r="B6003" t="str">
        <f t="shared" si="255"/>
        <v>0.00059%</v>
      </c>
      <c r="C6003" t="s">
        <v>10</v>
      </c>
      <c r="D6003" t="s">
        <v>10</v>
      </c>
      <c r="E6003" t="str">
        <f>"$ 4,564"</f>
        <v>$ 4,564</v>
      </c>
      <c r="F6003">
        <v>198</v>
      </c>
    </row>
    <row r="6004" spans="1:6">
      <c r="A6004" t="s">
        <v>5996</v>
      </c>
      <c r="B6004" t="str">
        <f t="shared" si="255"/>
        <v>0.00059%</v>
      </c>
      <c r="C6004" t="s">
        <v>10</v>
      </c>
      <c r="D6004" t="s">
        <v>10</v>
      </c>
      <c r="E6004" t="str">
        <f>"$ 4,520"</f>
        <v>$ 4,520</v>
      </c>
      <c r="F6004" s="1">
        <v>1034</v>
      </c>
    </row>
    <row r="6005" spans="1:6">
      <c r="A6005" t="s">
        <v>5997</v>
      </c>
      <c r="B6005" t="str">
        <f t="shared" si="255"/>
        <v>0.00059%</v>
      </c>
      <c r="C6005" t="s">
        <v>10</v>
      </c>
      <c r="D6005" t="s">
        <v>10</v>
      </c>
      <c r="E6005" t="str">
        <f>"$ 4,548"</f>
        <v>$ 4,548</v>
      </c>
      <c r="F6005">
        <v>131</v>
      </c>
    </row>
    <row r="6006" spans="1:6">
      <c r="A6006" t="s">
        <v>5998</v>
      </c>
      <c r="B6006" t="str">
        <f t="shared" si="255"/>
        <v>0.00059%</v>
      </c>
      <c r="C6006" t="s">
        <v>10</v>
      </c>
      <c r="D6006" t="s">
        <v>10</v>
      </c>
      <c r="E6006" t="str">
        <f>"$ 4,590"</f>
        <v>$ 4,590</v>
      </c>
      <c r="F6006">
        <v>481</v>
      </c>
    </row>
    <row r="6007" spans="1:6">
      <c r="A6007" t="s">
        <v>5999</v>
      </c>
      <c r="B6007" t="str">
        <f t="shared" si="255"/>
        <v>0.00059%</v>
      </c>
      <c r="C6007" t="s">
        <v>10</v>
      </c>
      <c r="D6007" t="s">
        <v>10</v>
      </c>
      <c r="E6007" t="str">
        <f>"$ 4,582"</f>
        <v>$ 4,582</v>
      </c>
      <c r="F6007">
        <v>893</v>
      </c>
    </row>
    <row r="6008" spans="1:6">
      <c r="A6008" t="s">
        <v>6000</v>
      </c>
      <c r="B6008" t="str">
        <f t="shared" si="255"/>
        <v>0.00059%</v>
      </c>
      <c r="C6008" t="s">
        <v>10</v>
      </c>
      <c r="D6008" t="s">
        <v>10</v>
      </c>
      <c r="E6008" t="str">
        <f>"$ 4,552"</f>
        <v>$ 4,552</v>
      </c>
      <c r="F6008" s="1">
        <v>1794</v>
      </c>
    </row>
    <row r="6009" spans="1:6">
      <c r="A6009" t="s">
        <v>6001</v>
      </c>
      <c r="B6009" t="str">
        <f t="shared" si="255"/>
        <v>0.00059%</v>
      </c>
      <c r="C6009" t="s">
        <v>10</v>
      </c>
      <c r="D6009" t="s">
        <v>10</v>
      </c>
      <c r="E6009" t="str">
        <f>"$ 4,533"</f>
        <v>$ 4,533</v>
      </c>
      <c r="F6009">
        <v>115</v>
      </c>
    </row>
    <row r="6010" spans="1:6">
      <c r="A6010" t="s">
        <v>6002</v>
      </c>
      <c r="B6010" t="str">
        <f t="shared" si="255"/>
        <v>0.00059%</v>
      </c>
      <c r="C6010" t="s">
        <v>10</v>
      </c>
      <c r="D6010" t="s">
        <v>10</v>
      </c>
      <c r="E6010" t="str">
        <f>"$ 4,591"</f>
        <v>$ 4,591</v>
      </c>
      <c r="F6010" s="1">
        <v>3241</v>
      </c>
    </row>
    <row r="6011" spans="1:6">
      <c r="A6011" t="s">
        <v>6003</v>
      </c>
      <c r="B6011" t="str">
        <f t="shared" si="255"/>
        <v>0.00059%</v>
      </c>
      <c r="C6011" t="s">
        <v>10</v>
      </c>
      <c r="D6011" t="s">
        <v>10</v>
      </c>
      <c r="E6011" t="str">
        <f>"$ 4,529"</f>
        <v>$ 4,529</v>
      </c>
      <c r="F6011">
        <v>69</v>
      </c>
    </row>
    <row r="6012" spans="1:6">
      <c r="A6012" t="s">
        <v>6004</v>
      </c>
      <c r="B6012" t="str">
        <f t="shared" si="255"/>
        <v>0.00059%</v>
      </c>
      <c r="C6012" t="s">
        <v>10</v>
      </c>
      <c r="D6012" t="s">
        <v>10</v>
      </c>
      <c r="E6012" t="str">
        <f>"$ 4,544"</f>
        <v>$ 4,544</v>
      </c>
      <c r="F6012">
        <v>354</v>
      </c>
    </row>
    <row r="6013" spans="1:6">
      <c r="A6013" t="s">
        <v>6005</v>
      </c>
      <c r="B6013" t="str">
        <f t="shared" si="255"/>
        <v>0.00059%</v>
      </c>
      <c r="C6013" t="s">
        <v>10</v>
      </c>
      <c r="D6013" t="s">
        <v>10</v>
      </c>
      <c r="E6013" t="str">
        <f>"$ 4,522"</f>
        <v>$ 4,522</v>
      </c>
      <c r="F6013" s="1">
        <v>3217</v>
      </c>
    </row>
    <row r="6014" spans="1:6">
      <c r="A6014" t="s">
        <v>6006</v>
      </c>
      <c r="B6014" t="str">
        <f t="shared" si="255"/>
        <v>0.00059%</v>
      </c>
      <c r="C6014" t="s">
        <v>10</v>
      </c>
      <c r="D6014" t="s">
        <v>10</v>
      </c>
      <c r="E6014" t="str">
        <f>"$ 4,558"</f>
        <v>$ 4,558</v>
      </c>
      <c r="F6014" s="1">
        <v>13767</v>
      </c>
    </row>
    <row r="6015" spans="1:6">
      <c r="A6015" t="s">
        <v>6007</v>
      </c>
      <c r="B6015" t="str">
        <f t="shared" si="255"/>
        <v>0.00059%</v>
      </c>
      <c r="C6015" t="s">
        <v>10</v>
      </c>
      <c r="D6015" t="s">
        <v>10</v>
      </c>
      <c r="E6015" t="str">
        <f>"$ 4,563"</f>
        <v>$ 4,563</v>
      </c>
      <c r="F6015" s="1">
        <v>7205</v>
      </c>
    </row>
    <row r="6016" spans="1:6">
      <c r="A6016" t="s">
        <v>6008</v>
      </c>
      <c r="B6016" t="str">
        <f t="shared" si="255"/>
        <v>0.00059%</v>
      </c>
      <c r="C6016" t="s">
        <v>10</v>
      </c>
      <c r="D6016" t="s">
        <v>10</v>
      </c>
      <c r="E6016" t="str">
        <f>"$ 4,530"</f>
        <v>$ 4,530</v>
      </c>
      <c r="F6016">
        <v>430</v>
      </c>
    </row>
    <row r="6017" spans="1:6">
      <c r="A6017" t="s">
        <v>6009</v>
      </c>
      <c r="B6017" t="str">
        <f t="shared" si="255"/>
        <v>0.00059%</v>
      </c>
      <c r="C6017" t="s">
        <v>10</v>
      </c>
      <c r="D6017" t="s">
        <v>10</v>
      </c>
      <c r="E6017" t="str">
        <f>"$ 4,584"</f>
        <v>$ 4,584</v>
      </c>
      <c r="F6017" s="1">
        <v>4292</v>
      </c>
    </row>
    <row r="6018" spans="1:6">
      <c r="A6018" t="s">
        <v>6010</v>
      </c>
      <c r="B6018" t="str">
        <f t="shared" si="255"/>
        <v>0.00059%</v>
      </c>
      <c r="C6018" t="s">
        <v>10</v>
      </c>
      <c r="D6018" t="s">
        <v>10</v>
      </c>
      <c r="E6018" t="str">
        <f>"$ 4,554"</f>
        <v>$ 4,554</v>
      </c>
      <c r="F6018">
        <v>303</v>
      </c>
    </row>
    <row r="6019" spans="1:6">
      <c r="A6019" t="s">
        <v>6011</v>
      </c>
      <c r="B6019" t="str">
        <f t="shared" si="255"/>
        <v>0.00059%</v>
      </c>
      <c r="C6019" t="s">
        <v>10</v>
      </c>
      <c r="D6019" t="s">
        <v>10</v>
      </c>
      <c r="E6019" t="str">
        <f>"$ 4,522"</f>
        <v>$ 4,522</v>
      </c>
      <c r="F6019">
        <v>810</v>
      </c>
    </row>
    <row r="6020" spans="1:6">
      <c r="A6020" t="s">
        <v>6012</v>
      </c>
      <c r="B6020" t="str">
        <f t="shared" si="255"/>
        <v>0.00059%</v>
      </c>
      <c r="C6020" t="s">
        <v>10</v>
      </c>
      <c r="D6020" t="s">
        <v>10</v>
      </c>
      <c r="E6020" t="str">
        <f>"$ 4,533"</f>
        <v>$ 4,533</v>
      </c>
      <c r="F6020">
        <v>165</v>
      </c>
    </row>
    <row r="6021" spans="1:6">
      <c r="A6021" t="s">
        <v>6013</v>
      </c>
      <c r="B6021" t="str">
        <f t="shared" si="255"/>
        <v>0.00059%</v>
      </c>
      <c r="C6021" t="s">
        <v>10</v>
      </c>
      <c r="D6021" t="s">
        <v>10</v>
      </c>
      <c r="E6021" t="str">
        <f>"$ 4,534"</f>
        <v>$ 4,534</v>
      </c>
      <c r="F6021" s="1">
        <v>3553</v>
      </c>
    </row>
    <row r="6022" spans="1:6">
      <c r="A6022" t="s">
        <v>6014</v>
      </c>
      <c r="B6022" t="str">
        <f t="shared" si="255"/>
        <v>0.00059%</v>
      </c>
      <c r="C6022" t="s">
        <v>10</v>
      </c>
      <c r="D6022" t="s">
        <v>10</v>
      </c>
      <c r="E6022" t="str">
        <f>"$ 4,540"</f>
        <v>$ 4,540</v>
      </c>
      <c r="F6022">
        <v>144</v>
      </c>
    </row>
    <row r="6023" spans="1:6">
      <c r="A6023" t="s">
        <v>6015</v>
      </c>
      <c r="B6023" t="str">
        <f t="shared" ref="B6023:B6049" si="256">"0.00058%"</f>
        <v>0.00058%</v>
      </c>
      <c r="C6023" t="s">
        <v>10</v>
      </c>
      <c r="D6023" t="s">
        <v>10</v>
      </c>
      <c r="E6023" t="str">
        <f>"$ 4,495"</f>
        <v>$ 4,495</v>
      </c>
      <c r="F6023">
        <v>362</v>
      </c>
    </row>
    <row r="6024" spans="1:6">
      <c r="A6024" t="s">
        <v>6016</v>
      </c>
      <c r="B6024" t="str">
        <f t="shared" si="256"/>
        <v>0.00058%</v>
      </c>
      <c r="C6024" t="s">
        <v>10</v>
      </c>
      <c r="D6024" t="s">
        <v>10</v>
      </c>
      <c r="E6024" t="str">
        <f>"$ 4,477"</f>
        <v>$ 4,477</v>
      </c>
      <c r="F6024" s="1">
        <v>13401</v>
      </c>
    </row>
    <row r="6025" spans="1:6">
      <c r="A6025" t="s">
        <v>6017</v>
      </c>
      <c r="B6025" t="str">
        <f t="shared" si="256"/>
        <v>0.00058%</v>
      </c>
      <c r="C6025" t="s">
        <v>10</v>
      </c>
      <c r="D6025" t="s">
        <v>10</v>
      </c>
      <c r="E6025" t="str">
        <f>"$ 4,511"</f>
        <v>$ 4,511</v>
      </c>
      <c r="F6025" s="1">
        <v>4335</v>
      </c>
    </row>
    <row r="6026" spans="1:6">
      <c r="A6026" t="s">
        <v>6018</v>
      </c>
      <c r="B6026" t="str">
        <f t="shared" si="256"/>
        <v>0.00058%</v>
      </c>
      <c r="C6026" t="s">
        <v>10</v>
      </c>
      <c r="D6026" t="s">
        <v>10</v>
      </c>
      <c r="E6026" t="str">
        <f>"$ 4,450"</f>
        <v>$ 4,450</v>
      </c>
      <c r="F6026" s="1">
        <v>1792</v>
      </c>
    </row>
    <row r="6027" spans="1:6">
      <c r="A6027" t="s">
        <v>6019</v>
      </c>
      <c r="B6027" t="str">
        <f t="shared" si="256"/>
        <v>0.00058%</v>
      </c>
      <c r="C6027" t="s">
        <v>10</v>
      </c>
      <c r="D6027" t="s">
        <v>10</v>
      </c>
      <c r="E6027" t="str">
        <f>"$ 4,485"</f>
        <v>$ 4,485</v>
      </c>
      <c r="F6027">
        <v>198</v>
      </c>
    </row>
    <row r="6028" spans="1:6">
      <c r="A6028" t="s">
        <v>6020</v>
      </c>
      <c r="B6028" t="str">
        <f t="shared" si="256"/>
        <v>0.00058%</v>
      </c>
      <c r="C6028" t="s">
        <v>10</v>
      </c>
      <c r="D6028" t="s">
        <v>10</v>
      </c>
      <c r="E6028" t="str">
        <f>"$ 4,507"</f>
        <v>$ 4,507</v>
      </c>
      <c r="F6028" s="1">
        <v>3959</v>
      </c>
    </row>
    <row r="6029" spans="1:6">
      <c r="A6029" t="s">
        <v>6021</v>
      </c>
      <c r="B6029" t="str">
        <f t="shared" si="256"/>
        <v>0.00058%</v>
      </c>
      <c r="C6029" t="s">
        <v>10</v>
      </c>
      <c r="D6029" t="s">
        <v>10</v>
      </c>
      <c r="E6029" t="str">
        <f>"$ 4,509"</f>
        <v>$ 4,509</v>
      </c>
      <c r="F6029">
        <v>94</v>
      </c>
    </row>
    <row r="6030" spans="1:6">
      <c r="A6030" t="s">
        <v>6022</v>
      </c>
      <c r="B6030" t="str">
        <f t="shared" si="256"/>
        <v>0.00058%</v>
      </c>
      <c r="C6030" t="s">
        <v>10</v>
      </c>
      <c r="D6030" t="s">
        <v>10</v>
      </c>
      <c r="E6030" t="str">
        <f>"$ 4,508"</f>
        <v>$ 4,508</v>
      </c>
      <c r="F6030">
        <v>77</v>
      </c>
    </row>
    <row r="6031" spans="1:6">
      <c r="A6031" t="s">
        <v>6023</v>
      </c>
      <c r="B6031" t="str">
        <f t="shared" si="256"/>
        <v>0.00058%</v>
      </c>
      <c r="C6031" t="s">
        <v>10</v>
      </c>
      <c r="D6031" t="s">
        <v>10</v>
      </c>
      <c r="E6031" t="str">
        <f>"$ 4,480"</f>
        <v>$ 4,480</v>
      </c>
      <c r="F6031">
        <v>344</v>
      </c>
    </row>
    <row r="6032" spans="1:6">
      <c r="A6032" t="s">
        <v>6024</v>
      </c>
      <c r="B6032" t="str">
        <f t="shared" si="256"/>
        <v>0.00058%</v>
      </c>
      <c r="C6032" t="s">
        <v>10</v>
      </c>
      <c r="D6032" t="s">
        <v>10</v>
      </c>
      <c r="E6032" t="str">
        <f>"$ 4,512"</f>
        <v>$ 4,512</v>
      </c>
      <c r="F6032">
        <v>173</v>
      </c>
    </row>
    <row r="6033" spans="1:6">
      <c r="A6033" t="s">
        <v>6025</v>
      </c>
      <c r="B6033" t="str">
        <f t="shared" si="256"/>
        <v>0.00058%</v>
      </c>
      <c r="C6033" t="s">
        <v>10</v>
      </c>
      <c r="D6033" t="s">
        <v>10</v>
      </c>
      <c r="E6033" t="str">
        <f>"$ 4,490"</f>
        <v>$ 4,490</v>
      </c>
      <c r="F6033">
        <v>43</v>
      </c>
    </row>
    <row r="6034" spans="1:6">
      <c r="A6034" t="s">
        <v>6026</v>
      </c>
      <c r="B6034" t="str">
        <f t="shared" si="256"/>
        <v>0.00058%</v>
      </c>
      <c r="C6034" t="s">
        <v>10</v>
      </c>
      <c r="D6034" t="s">
        <v>10</v>
      </c>
      <c r="E6034" t="str">
        <f>"$ 4,441"</f>
        <v>$ 4,441</v>
      </c>
      <c r="F6034">
        <v>244</v>
      </c>
    </row>
    <row r="6035" spans="1:6">
      <c r="A6035" t="s">
        <v>6027</v>
      </c>
      <c r="B6035" t="str">
        <f t="shared" si="256"/>
        <v>0.00058%</v>
      </c>
      <c r="C6035" t="s">
        <v>10</v>
      </c>
      <c r="D6035" t="s">
        <v>10</v>
      </c>
      <c r="E6035" t="str">
        <f>"$ 4,483"</f>
        <v>$ 4,483</v>
      </c>
      <c r="F6035">
        <v>365</v>
      </c>
    </row>
    <row r="6036" spans="1:6">
      <c r="A6036" t="s">
        <v>6028</v>
      </c>
      <c r="B6036" t="str">
        <f t="shared" si="256"/>
        <v>0.00058%</v>
      </c>
      <c r="C6036" t="s">
        <v>10</v>
      </c>
      <c r="D6036" t="s">
        <v>10</v>
      </c>
      <c r="E6036" t="str">
        <f>"$ 4,503"</f>
        <v>$ 4,503</v>
      </c>
      <c r="F6036">
        <v>180</v>
      </c>
    </row>
    <row r="6037" spans="1:6">
      <c r="A6037" t="s">
        <v>6029</v>
      </c>
      <c r="B6037" t="str">
        <f t="shared" si="256"/>
        <v>0.00058%</v>
      </c>
      <c r="C6037" t="s">
        <v>10</v>
      </c>
      <c r="D6037" t="s">
        <v>10</v>
      </c>
      <c r="E6037" t="str">
        <f>"$ 4,482"</f>
        <v>$ 4,482</v>
      </c>
      <c r="F6037" s="1">
        <v>12875</v>
      </c>
    </row>
    <row r="6038" spans="1:6">
      <c r="A6038" t="s">
        <v>6030</v>
      </c>
      <c r="B6038" t="str">
        <f t="shared" si="256"/>
        <v>0.00058%</v>
      </c>
      <c r="C6038" t="s">
        <v>10</v>
      </c>
      <c r="D6038" t="s">
        <v>10</v>
      </c>
      <c r="E6038" t="str">
        <f>"$ 4,497"</f>
        <v>$ 4,497</v>
      </c>
      <c r="F6038" s="1">
        <v>5191</v>
      </c>
    </row>
    <row r="6039" spans="1:6">
      <c r="A6039" t="s">
        <v>6031</v>
      </c>
      <c r="B6039" t="str">
        <f t="shared" si="256"/>
        <v>0.00058%</v>
      </c>
      <c r="C6039" t="s">
        <v>10</v>
      </c>
      <c r="D6039" t="s">
        <v>10</v>
      </c>
      <c r="E6039" t="str">
        <f>"$ 4,515"</f>
        <v>$ 4,515</v>
      </c>
      <c r="F6039" s="1">
        <v>15650</v>
      </c>
    </row>
    <row r="6040" spans="1:6">
      <c r="A6040" t="s">
        <v>6032</v>
      </c>
      <c r="B6040" t="str">
        <f t="shared" si="256"/>
        <v>0.00058%</v>
      </c>
      <c r="C6040" t="s">
        <v>10</v>
      </c>
      <c r="D6040" t="s">
        <v>10</v>
      </c>
      <c r="E6040" t="str">
        <f>"$ 4,495"</f>
        <v>$ 4,495</v>
      </c>
      <c r="F6040">
        <v>907</v>
      </c>
    </row>
    <row r="6041" spans="1:6">
      <c r="A6041" t="s">
        <v>6033</v>
      </c>
      <c r="B6041" t="str">
        <f t="shared" si="256"/>
        <v>0.00058%</v>
      </c>
      <c r="C6041" t="s">
        <v>10</v>
      </c>
      <c r="D6041" t="s">
        <v>10</v>
      </c>
      <c r="E6041" t="str">
        <f>"$ 4,472"</f>
        <v>$ 4,472</v>
      </c>
      <c r="F6041">
        <v>197</v>
      </c>
    </row>
    <row r="6042" spans="1:6">
      <c r="A6042" t="s">
        <v>6034</v>
      </c>
      <c r="B6042" t="str">
        <f t="shared" si="256"/>
        <v>0.00058%</v>
      </c>
      <c r="C6042" t="s">
        <v>10</v>
      </c>
      <c r="D6042" t="s">
        <v>10</v>
      </c>
      <c r="E6042" t="str">
        <f>"$ 4,513"</f>
        <v>$ 4,513</v>
      </c>
      <c r="F6042" s="1">
        <v>1652</v>
      </c>
    </row>
    <row r="6043" spans="1:6">
      <c r="A6043" t="s">
        <v>6035</v>
      </c>
      <c r="B6043" t="str">
        <f t="shared" si="256"/>
        <v>0.00058%</v>
      </c>
      <c r="C6043" t="s">
        <v>10</v>
      </c>
      <c r="D6043" t="s">
        <v>10</v>
      </c>
      <c r="E6043" t="str">
        <f>"$ 4,502"</f>
        <v>$ 4,502</v>
      </c>
      <c r="F6043">
        <v>13</v>
      </c>
    </row>
    <row r="6044" spans="1:6">
      <c r="A6044" t="s">
        <v>6036</v>
      </c>
      <c r="B6044" t="str">
        <f t="shared" si="256"/>
        <v>0.00058%</v>
      </c>
      <c r="C6044" t="s">
        <v>10</v>
      </c>
      <c r="D6044" t="s">
        <v>10</v>
      </c>
      <c r="E6044" t="str">
        <f>"$ 4,447"</f>
        <v>$ 4,447</v>
      </c>
      <c r="F6044">
        <v>256</v>
      </c>
    </row>
    <row r="6045" spans="1:6">
      <c r="A6045" t="s">
        <v>6037</v>
      </c>
      <c r="B6045" t="str">
        <f t="shared" si="256"/>
        <v>0.00058%</v>
      </c>
      <c r="C6045" t="s">
        <v>10</v>
      </c>
      <c r="D6045" t="s">
        <v>10</v>
      </c>
      <c r="E6045" t="str">
        <f>"$ 4,462"</f>
        <v>$ 4,462</v>
      </c>
      <c r="F6045">
        <v>99</v>
      </c>
    </row>
    <row r="6046" spans="1:6">
      <c r="A6046" t="s">
        <v>6038</v>
      </c>
      <c r="B6046" t="str">
        <f t="shared" si="256"/>
        <v>0.00058%</v>
      </c>
      <c r="C6046" t="s">
        <v>10</v>
      </c>
      <c r="D6046" t="s">
        <v>10</v>
      </c>
      <c r="E6046" t="str">
        <f>"$ 4,483"</f>
        <v>$ 4,483</v>
      </c>
      <c r="F6046">
        <v>643</v>
      </c>
    </row>
    <row r="6047" spans="1:6">
      <c r="A6047" t="s">
        <v>6039</v>
      </c>
      <c r="B6047" t="str">
        <f t="shared" si="256"/>
        <v>0.00058%</v>
      </c>
      <c r="C6047" t="s">
        <v>10</v>
      </c>
      <c r="D6047" t="s">
        <v>10</v>
      </c>
      <c r="E6047" t="str">
        <f>"$ 4,469"</f>
        <v>$ 4,469</v>
      </c>
      <c r="F6047">
        <v>165</v>
      </c>
    </row>
    <row r="6048" spans="1:6">
      <c r="A6048" t="s">
        <v>6040</v>
      </c>
      <c r="B6048" t="str">
        <f t="shared" si="256"/>
        <v>0.00058%</v>
      </c>
      <c r="C6048" t="s">
        <v>10</v>
      </c>
      <c r="D6048" t="s">
        <v>10</v>
      </c>
      <c r="E6048" t="str">
        <f>"$ 4,453"</f>
        <v>$ 4,453</v>
      </c>
      <c r="F6048">
        <v>825</v>
      </c>
    </row>
    <row r="6049" spans="1:6">
      <c r="A6049" t="s">
        <v>6041</v>
      </c>
      <c r="B6049" t="str">
        <f t="shared" si="256"/>
        <v>0.00058%</v>
      </c>
      <c r="C6049" t="s">
        <v>10</v>
      </c>
      <c r="D6049" t="s">
        <v>10</v>
      </c>
      <c r="E6049" t="str">
        <f>"$ 4,481"</f>
        <v>$ 4,481</v>
      </c>
      <c r="F6049" s="1">
        <v>7012</v>
      </c>
    </row>
    <row r="6050" spans="1:6">
      <c r="A6050" t="s">
        <v>6042</v>
      </c>
      <c r="B6050" t="str">
        <f t="shared" ref="B6050:B6094" si="257">"0.00057%"</f>
        <v>0.00057%</v>
      </c>
      <c r="C6050" t="s">
        <v>10</v>
      </c>
      <c r="D6050" t="s">
        <v>10</v>
      </c>
      <c r="E6050" t="str">
        <f>"$ 4,403"</f>
        <v>$ 4,403</v>
      </c>
      <c r="F6050" s="1">
        <v>4428</v>
      </c>
    </row>
    <row r="6051" spans="1:6">
      <c r="A6051" t="s">
        <v>6043</v>
      </c>
      <c r="B6051" t="str">
        <f t="shared" si="257"/>
        <v>0.00057%</v>
      </c>
      <c r="C6051" t="s">
        <v>10</v>
      </c>
      <c r="D6051" t="s">
        <v>10</v>
      </c>
      <c r="E6051" t="str">
        <f>"$ 4,406"</f>
        <v>$ 4,406</v>
      </c>
      <c r="F6051">
        <v>117</v>
      </c>
    </row>
    <row r="6052" spans="1:6">
      <c r="A6052" t="s">
        <v>6044</v>
      </c>
      <c r="B6052" t="str">
        <f t="shared" si="257"/>
        <v>0.00057%</v>
      </c>
      <c r="C6052" t="s">
        <v>10</v>
      </c>
      <c r="D6052" t="s">
        <v>10</v>
      </c>
      <c r="E6052" t="str">
        <f>"$ 4,424"</f>
        <v>$ 4,424</v>
      </c>
      <c r="F6052">
        <v>457</v>
      </c>
    </row>
    <row r="6053" spans="1:6">
      <c r="A6053" t="s">
        <v>6045</v>
      </c>
      <c r="B6053" t="str">
        <f t="shared" si="257"/>
        <v>0.00057%</v>
      </c>
      <c r="C6053" t="s">
        <v>10</v>
      </c>
      <c r="D6053" t="s">
        <v>10</v>
      </c>
      <c r="E6053" t="str">
        <f>"$ 4,372"</f>
        <v>$ 4,372</v>
      </c>
      <c r="F6053">
        <v>181</v>
      </c>
    </row>
    <row r="6054" spans="1:6">
      <c r="A6054" t="s">
        <v>6046</v>
      </c>
      <c r="B6054" t="str">
        <f t="shared" si="257"/>
        <v>0.00057%</v>
      </c>
      <c r="C6054" t="s">
        <v>10</v>
      </c>
      <c r="D6054" t="s">
        <v>10</v>
      </c>
      <c r="E6054" t="str">
        <f>"$ 4,398"</f>
        <v>$ 4,398</v>
      </c>
      <c r="F6054" s="1">
        <v>7173</v>
      </c>
    </row>
    <row r="6055" spans="1:6">
      <c r="A6055" t="s">
        <v>6047</v>
      </c>
      <c r="B6055" t="str">
        <f t="shared" si="257"/>
        <v>0.00057%</v>
      </c>
      <c r="C6055" t="s">
        <v>10</v>
      </c>
      <c r="D6055" t="s">
        <v>10</v>
      </c>
      <c r="E6055" t="str">
        <f>"$ 4,407"</f>
        <v>$ 4,407</v>
      </c>
      <c r="F6055">
        <v>104</v>
      </c>
    </row>
    <row r="6056" spans="1:6">
      <c r="A6056" t="s">
        <v>6048</v>
      </c>
      <c r="B6056" t="str">
        <f t="shared" si="257"/>
        <v>0.00057%</v>
      </c>
      <c r="C6056" t="s">
        <v>10</v>
      </c>
      <c r="D6056" t="s">
        <v>10</v>
      </c>
      <c r="E6056" t="str">
        <f>"$ 4,404"</f>
        <v>$ 4,404</v>
      </c>
      <c r="F6056">
        <v>64</v>
      </c>
    </row>
    <row r="6057" spans="1:6">
      <c r="A6057" t="s">
        <v>6049</v>
      </c>
      <c r="B6057" t="str">
        <f t="shared" si="257"/>
        <v>0.00057%</v>
      </c>
      <c r="C6057" t="s">
        <v>10</v>
      </c>
      <c r="D6057" t="s">
        <v>10</v>
      </c>
      <c r="E6057" t="str">
        <f>"$ 4,392"</f>
        <v>$ 4,392</v>
      </c>
      <c r="F6057">
        <v>90</v>
      </c>
    </row>
    <row r="6058" spans="1:6">
      <c r="A6058" t="s">
        <v>6050</v>
      </c>
      <c r="B6058" t="str">
        <f t="shared" si="257"/>
        <v>0.00057%</v>
      </c>
      <c r="C6058" t="s">
        <v>10</v>
      </c>
      <c r="D6058" t="s">
        <v>10</v>
      </c>
      <c r="E6058" t="str">
        <f>"$ 4,436"</f>
        <v>$ 4,436</v>
      </c>
      <c r="F6058">
        <v>375</v>
      </c>
    </row>
    <row r="6059" spans="1:6">
      <c r="A6059" t="s">
        <v>6051</v>
      </c>
      <c r="B6059" t="str">
        <f t="shared" si="257"/>
        <v>0.00057%</v>
      </c>
      <c r="C6059" t="s">
        <v>10</v>
      </c>
      <c r="D6059" t="s">
        <v>10</v>
      </c>
      <c r="E6059" t="str">
        <f>"$ 4,419"</f>
        <v>$ 4,419</v>
      </c>
      <c r="F6059">
        <v>196</v>
      </c>
    </row>
    <row r="6060" spans="1:6">
      <c r="A6060" t="s">
        <v>6052</v>
      </c>
      <c r="B6060" t="str">
        <f t="shared" si="257"/>
        <v>0.00057%</v>
      </c>
      <c r="C6060" t="s">
        <v>10</v>
      </c>
      <c r="D6060" t="s">
        <v>10</v>
      </c>
      <c r="E6060" t="str">
        <f>"$ 4,417"</f>
        <v>$ 4,417</v>
      </c>
      <c r="F6060">
        <v>302</v>
      </c>
    </row>
    <row r="6061" spans="1:6">
      <c r="A6061" t="s">
        <v>6053</v>
      </c>
      <c r="B6061" t="str">
        <f t="shared" si="257"/>
        <v>0.00057%</v>
      </c>
      <c r="C6061" t="s">
        <v>10</v>
      </c>
      <c r="D6061" t="s">
        <v>10</v>
      </c>
      <c r="E6061" t="str">
        <f>"$ 4,396"</f>
        <v>$ 4,396</v>
      </c>
      <c r="F6061" s="1">
        <v>11100</v>
      </c>
    </row>
    <row r="6062" spans="1:6">
      <c r="A6062" t="s">
        <v>6054</v>
      </c>
      <c r="B6062" t="str">
        <f t="shared" si="257"/>
        <v>0.00057%</v>
      </c>
      <c r="C6062" t="s">
        <v>10</v>
      </c>
      <c r="D6062" t="s">
        <v>10</v>
      </c>
      <c r="E6062" t="str">
        <f>"$ 4,399"</f>
        <v>$ 4,399</v>
      </c>
      <c r="F6062">
        <v>258</v>
      </c>
    </row>
    <row r="6063" spans="1:6">
      <c r="A6063" t="s">
        <v>6055</v>
      </c>
      <c r="B6063" t="str">
        <f t="shared" si="257"/>
        <v>0.00057%</v>
      </c>
      <c r="C6063" t="s">
        <v>10</v>
      </c>
      <c r="D6063" t="s">
        <v>10</v>
      </c>
      <c r="E6063" t="str">
        <f>"$ 4,374"</f>
        <v>$ 4,374</v>
      </c>
      <c r="F6063" s="1">
        <v>1333</v>
      </c>
    </row>
    <row r="6064" spans="1:6">
      <c r="A6064" t="s">
        <v>6056</v>
      </c>
      <c r="B6064" t="str">
        <f t="shared" si="257"/>
        <v>0.00057%</v>
      </c>
      <c r="C6064" t="s">
        <v>10</v>
      </c>
      <c r="D6064" t="s">
        <v>10</v>
      </c>
      <c r="E6064" t="str">
        <f>"$ 4,398"</f>
        <v>$ 4,398</v>
      </c>
      <c r="F6064">
        <v>144</v>
      </c>
    </row>
    <row r="6065" spans="1:6">
      <c r="A6065" t="s">
        <v>6057</v>
      </c>
      <c r="B6065" t="str">
        <f t="shared" si="257"/>
        <v>0.00057%</v>
      </c>
      <c r="C6065" t="s">
        <v>10</v>
      </c>
      <c r="D6065" t="s">
        <v>10</v>
      </c>
      <c r="E6065" t="str">
        <f>"$ 4,419"</f>
        <v>$ 4,419</v>
      </c>
      <c r="F6065">
        <v>496</v>
      </c>
    </row>
    <row r="6066" spans="1:6">
      <c r="A6066" t="s">
        <v>6058</v>
      </c>
      <c r="B6066" t="str">
        <f t="shared" si="257"/>
        <v>0.00057%</v>
      </c>
      <c r="C6066" t="s">
        <v>10</v>
      </c>
      <c r="D6066" t="s">
        <v>10</v>
      </c>
      <c r="E6066" t="str">
        <f>"$ 4,377"</f>
        <v>$ 4,377</v>
      </c>
      <c r="F6066">
        <v>155</v>
      </c>
    </row>
    <row r="6067" spans="1:6">
      <c r="A6067" t="s">
        <v>6059</v>
      </c>
      <c r="B6067" t="str">
        <f t="shared" si="257"/>
        <v>0.00057%</v>
      </c>
      <c r="C6067" t="s">
        <v>10</v>
      </c>
      <c r="D6067" t="s">
        <v>10</v>
      </c>
      <c r="E6067" t="str">
        <f>"$ 4,365"</f>
        <v>$ 4,365</v>
      </c>
      <c r="F6067">
        <v>294</v>
      </c>
    </row>
    <row r="6068" spans="1:6">
      <c r="A6068" t="s">
        <v>6060</v>
      </c>
      <c r="B6068" t="str">
        <f t="shared" si="257"/>
        <v>0.00057%</v>
      </c>
      <c r="C6068" t="s">
        <v>10</v>
      </c>
      <c r="D6068" t="s">
        <v>10</v>
      </c>
      <c r="E6068" t="str">
        <f>"$ 4,385"</f>
        <v>$ 4,385</v>
      </c>
      <c r="F6068" s="1">
        <v>2824</v>
      </c>
    </row>
    <row r="6069" spans="1:6">
      <c r="A6069" t="s">
        <v>6061</v>
      </c>
      <c r="B6069" t="str">
        <f t="shared" si="257"/>
        <v>0.00057%</v>
      </c>
      <c r="C6069" t="s">
        <v>10</v>
      </c>
      <c r="D6069" t="s">
        <v>10</v>
      </c>
      <c r="E6069" t="str">
        <f>"$ 4,391"</f>
        <v>$ 4,391</v>
      </c>
      <c r="F6069">
        <v>239</v>
      </c>
    </row>
    <row r="6070" spans="1:6">
      <c r="A6070" t="s">
        <v>6062</v>
      </c>
      <c r="B6070" t="str">
        <f t="shared" si="257"/>
        <v>0.00057%</v>
      </c>
      <c r="C6070" t="s">
        <v>10</v>
      </c>
      <c r="D6070" t="s">
        <v>10</v>
      </c>
      <c r="E6070" t="str">
        <f>"$ 4,398"</f>
        <v>$ 4,398</v>
      </c>
      <c r="F6070">
        <v>82</v>
      </c>
    </row>
    <row r="6071" spans="1:6">
      <c r="A6071" t="s">
        <v>6063</v>
      </c>
      <c r="B6071" t="str">
        <f t="shared" si="257"/>
        <v>0.00057%</v>
      </c>
      <c r="C6071" t="s">
        <v>10</v>
      </c>
      <c r="D6071" t="s">
        <v>10</v>
      </c>
      <c r="E6071" t="str">
        <f>"$ 4,381"</f>
        <v>$ 4,381</v>
      </c>
      <c r="F6071">
        <v>154</v>
      </c>
    </row>
    <row r="6072" spans="1:6">
      <c r="A6072" t="s">
        <v>6064</v>
      </c>
      <c r="B6072" t="str">
        <f t="shared" si="257"/>
        <v>0.00057%</v>
      </c>
      <c r="C6072" t="s">
        <v>10</v>
      </c>
      <c r="D6072" t="s">
        <v>10</v>
      </c>
      <c r="E6072" t="str">
        <f>"$ 4,363"</f>
        <v>$ 4,363</v>
      </c>
      <c r="F6072">
        <v>181</v>
      </c>
    </row>
    <row r="6073" spans="1:6">
      <c r="A6073" t="s">
        <v>6065</v>
      </c>
      <c r="B6073" t="str">
        <f t="shared" si="257"/>
        <v>0.00057%</v>
      </c>
      <c r="C6073" t="s">
        <v>10</v>
      </c>
      <c r="D6073" t="s">
        <v>10</v>
      </c>
      <c r="E6073" t="str">
        <f>"$ 4,427"</f>
        <v>$ 4,427</v>
      </c>
      <c r="F6073">
        <v>657</v>
      </c>
    </row>
    <row r="6074" spans="1:6">
      <c r="A6074" t="s">
        <v>6066</v>
      </c>
      <c r="B6074" t="str">
        <f t="shared" si="257"/>
        <v>0.00057%</v>
      </c>
      <c r="C6074" t="s">
        <v>10</v>
      </c>
      <c r="D6074" t="s">
        <v>10</v>
      </c>
      <c r="E6074" t="str">
        <f>"$ 4,393"</f>
        <v>$ 4,393</v>
      </c>
      <c r="F6074">
        <v>607</v>
      </c>
    </row>
    <row r="6075" spans="1:6">
      <c r="A6075" t="s">
        <v>6067</v>
      </c>
      <c r="B6075" t="str">
        <f t="shared" si="257"/>
        <v>0.00057%</v>
      </c>
      <c r="C6075" t="s">
        <v>10</v>
      </c>
      <c r="D6075" t="s">
        <v>10</v>
      </c>
      <c r="E6075" t="str">
        <f>"$ 4,435"</f>
        <v>$ 4,435</v>
      </c>
      <c r="F6075">
        <v>221</v>
      </c>
    </row>
    <row r="6076" spans="1:6">
      <c r="A6076" t="s">
        <v>6068</v>
      </c>
      <c r="B6076" t="str">
        <f t="shared" si="257"/>
        <v>0.00057%</v>
      </c>
      <c r="C6076" t="s">
        <v>10</v>
      </c>
      <c r="D6076" t="s">
        <v>10</v>
      </c>
      <c r="E6076" t="str">
        <f>"$ 4,378"</f>
        <v>$ 4,378</v>
      </c>
      <c r="F6076">
        <v>103</v>
      </c>
    </row>
    <row r="6077" spans="1:6">
      <c r="A6077" t="s">
        <v>6069</v>
      </c>
      <c r="B6077" t="str">
        <f t="shared" si="257"/>
        <v>0.00057%</v>
      </c>
      <c r="C6077" t="s">
        <v>10</v>
      </c>
      <c r="D6077" t="s">
        <v>10</v>
      </c>
      <c r="E6077" t="str">
        <f>"$ 4,430"</f>
        <v>$ 4,430</v>
      </c>
      <c r="F6077" s="1">
        <v>9512</v>
      </c>
    </row>
    <row r="6078" spans="1:6">
      <c r="A6078" t="s">
        <v>6070</v>
      </c>
      <c r="B6078" t="str">
        <f t="shared" si="257"/>
        <v>0.00057%</v>
      </c>
      <c r="C6078" t="s">
        <v>10</v>
      </c>
      <c r="D6078" t="s">
        <v>10</v>
      </c>
      <c r="E6078" t="str">
        <f>"$ 4,400"</f>
        <v>$ 4,400</v>
      </c>
      <c r="F6078">
        <v>150</v>
      </c>
    </row>
    <row r="6079" spans="1:6">
      <c r="A6079" t="s">
        <v>6071</v>
      </c>
      <c r="B6079" t="str">
        <f t="shared" si="257"/>
        <v>0.00057%</v>
      </c>
      <c r="C6079" t="s">
        <v>10</v>
      </c>
      <c r="D6079" t="s">
        <v>10</v>
      </c>
      <c r="E6079" t="str">
        <f>"$ 4,417"</f>
        <v>$ 4,417</v>
      </c>
      <c r="F6079">
        <v>95</v>
      </c>
    </row>
    <row r="6080" spans="1:6">
      <c r="A6080" t="s">
        <v>6072</v>
      </c>
      <c r="B6080" t="str">
        <f t="shared" si="257"/>
        <v>0.00057%</v>
      </c>
      <c r="C6080" t="s">
        <v>10</v>
      </c>
      <c r="D6080" t="s">
        <v>10</v>
      </c>
      <c r="E6080" t="str">
        <f>"$ 4,411"</f>
        <v>$ 4,411</v>
      </c>
      <c r="F6080">
        <v>232</v>
      </c>
    </row>
    <row r="6081" spans="1:6">
      <c r="A6081" t="s">
        <v>6073</v>
      </c>
      <c r="B6081" t="str">
        <f t="shared" si="257"/>
        <v>0.00057%</v>
      </c>
      <c r="C6081" t="s">
        <v>10</v>
      </c>
      <c r="D6081" t="s">
        <v>10</v>
      </c>
      <c r="E6081" t="str">
        <f>"$ 4,436"</f>
        <v>$ 4,436</v>
      </c>
      <c r="F6081">
        <v>277</v>
      </c>
    </row>
    <row r="6082" spans="1:6">
      <c r="A6082" t="s">
        <v>6074</v>
      </c>
      <c r="B6082" t="str">
        <f t="shared" si="257"/>
        <v>0.00057%</v>
      </c>
      <c r="C6082" t="s">
        <v>10</v>
      </c>
      <c r="D6082" t="s">
        <v>10</v>
      </c>
      <c r="E6082" t="str">
        <f>"$ 4,426"</f>
        <v>$ 4,426</v>
      </c>
      <c r="F6082">
        <v>453</v>
      </c>
    </row>
    <row r="6083" spans="1:6">
      <c r="A6083" t="s">
        <v>6075</v>
      </c>
      <c r="B6083" t="str">
        <f t="shared" si="257"/>
        <v>0.00057%</v>
      </c>
      <c r="C6083" t="s">
        <v>10</v>
      </c>
      <c r="D6083" t="s">
        <v>10</v>
      </c>
      <c r="E6083" t="str">
        <f>"$ 4,403"</f>
        <v>$ 4,403</v>
      </c>
      <c r="F6083">
        <v>87</v>
      </c>
    </row>
    <row r="6084" spans="1:6">
      <c r="A6084" t="s">
        <v>6076</v>
      </c>
      <c r="B6084" t="str">
        <f t="shared" si="257"/>
        <v>0.00057%</v>
      </c>
      <c r="C6084" t="s">
        <v>10</v>
      </c>
      <c r="D6084" t="s">
        <v>10</v>
      </c>
      <c r="E6084" t="str">
        <f>"$ 4,405"</f>
        <v>$ 4,405</v>
      </c>
      <c r="F6084">
        <v>163</v>
      </c>
    </row>
    <row r="6085" spans="1:6">
      <c r="A6085" t="s">
        <v>6077</v>
      </c>
      <c r="B6085" t="str">
        <f t="shared" si="257"/>
        <v>0.00057%</v>
      </c>
      <c r="C6085" t="s">
        <v>10</v>
      </c>
      <c r="D6085" t="s">
        <v>10</v>
      </c>
      <c r="E6085" t="str">
        <f>"$ 4,370"</f>
        <v>$ 4,370</v>
      </c>
      <c r="F6085">
        <v>134</v>
      </c>
    </row>
    <row r="6086" spans="1:6">
      <c r="A6086" t="s">
        <v>6078</v>
      </c>
      <c r="B6086" t="str">
        <f t="shared" si="257"/>
        <v>0.00057%</v>
      </c>
      <c r="C6086" t="s">
        <v>10</v>
      </c>
      <c r="D6086" t="s">
        <v>10</v>
      </c>
      <c r="E6086" t="str">
        <f>"$ 4,412"</f>
        <v>$ 4,412</v>
      </c>
      <c r="F6086">
        <v>303</v>
      </c>
    </row>
    <row r="6087" spans="1:6">
      <c r="A6087" t="s">
        <v>6079</v>
      </c>
      <c r="B6087" t="str">
        <f t="shared" si="257"/>
        <v>0.00057%</v>
      </c>
      <c r="C6087" t="s">
        <v>10</v>
      </c>
      <c r="D6087" t="s">
        <v>10</v>
      </c>
      <c r="E6087" t="str">
        <f>"$ 4,415"</f>
        <v>$ 4,415</v>
      </c>
      <c r="F6087" s="1">
        <v>1376</v>
      </c>
    </row>
    <row r="6088" spans="1:6">
      <c r="A6088" t="s">
        <v>6080</v>
      </c>
      <c r="B6088" t="str">
        <f t="shared" si="257"/>
        <v>0.00057%</v>
      </c>
      <c r="C6088" t="s">
        <v>10</v>
      </c>
      <c r="D6088" t="s">
        <v>10</v>
      </c>
      <c r="E6088" t="str">
        <f>"$ 4,397"</f>
        <v>$ 4,397</v>
      </c>
      <c r="F6088">
        <v>188</v>
      </c>
    </row>
    <row r="6089" spans="1:6">
      <c r="A6089" t="s">
        <v>6081</v>
      </c>
      <c r="B6089" t="str">
        <f t="shared" si="257"/>
        <v>0.00057%</v>
      </c>
      <c r="C6089" t="s">
        <v>10</v>
      </c>
      <c r="D6089" t="s">
        <v>10</v>
      </c>
      <c r="E6089" t="str">
        <f>"$ 4,398"</f>
        <v>$ 4,398</v>
      </c>
      <c r="F6089">
        <v>489</v>
      </c>
    </row>
    <row r="6090" spans="1:6">
      <c r="A6090" t="s">
        <v>6082</v>
      </c>
      <c r="B6090" t="str">
        <f t="shared" si="257"/>
        <v>0.00057%</v>
      </c>
      <c r="C6090" t="s">
        <v>10</v>
      </c>
      <c r="D6090" t="s">
        <v>10</v>
      </c>
      <c r="E6090" t="str">
        <f>"$ 4,404"</f>
        <v>$ 4,404</v>
      </c>
      <c r="F6090">
        <v>416</v>
      </c>
    </row>
    <row r="6091" spans="1:6">
      <c r="A6091" t="s">
        <v>3091</v>
      </c>
      <c r="B6091" t="str">
        <f t="shared" si="257"/>
        <v>0.00057%</v>
      </c>
      <c r="C6091" t="s">
        <v>10</v>
      </c>
      <c r="D6091" t="s">
        <v>10</v>
      </c>
      <c r="E6091" t="str">
        <f>"$ 4,420"</f>
        <v>$ 4,420</v>
      </c>
      <c r="F6091" s="1">
        <v>1427</v>
      </c>
    </row>
    <row r="6092" spans="1:6">
      <c r="A6092" t="s">
        <v>6083</v>
      </c>
      <c r="B6092" t="str">
        <f t="shared" si="257"/>
        <v>0.00057%</v>
      </c>
      <c r="C6092" t="s">
        <v>10</v>
      </c>
      <c r="D6092" t="s">
        <v>10</v>
      </c>
      <c r="E6092" t="str">
        <f>"$ 4,438"</f>
        <v>$ 4,438</v>
      </c>
      <c r="F6092">
        <v>241</v>
      </c>
    </row>
    <row r="6093" spans="1:6">
      <c r="A6093" t="s">
        <v>6084</v>
      </c>
      <c r="B6093" t="str">
        <f t="shared" si="257"/>
        <v>0.00057%</v>
      </c>
      <c r="C6093" t="s">
        <v>10</v>
      </c>
      <c r="D6093" t="s">
        <v>10</v>
      </c>
      <c r="E6093" t="str">
        <f>"$ 4,372"</f>
        <v>$ 4,372</v>
      </c>
      <c r="F6093">
        <v>129</v>
      </c>
    </row>
    <row r="6094" spans="1:6">
      <c r="A6094" t="s">
        <v>6085</v>
      </c>
      <c r="B6094" t="str">
        <f t="shared" si="257"/>
        <v>0.00057%</v>
      </c>
      <c r="C6094" t="s">
        <v>10</v>
      </c>
      <c r="D6094" t="s">
        <v>10</v>
      </c>
      <c r="E6094" t="str">
        <f>"$ 4,378"</f>
        <v>$ 4,378</v>
      </c>
      <c r="F6094" s="1">
        <v>5938</v>
      </c>
    </row>
    <row r="6095" spans="1:6">
      <c r="A6095" t="s">
        <v>6086</v>
      </c>
      <c r="B6095" t="str">
        <f t="shared" ref="B6095:B6120" si="258">"0.00056%"</f>
        <v>0.00056%</v>
      </c>
      <c r="C6095" t="s">
        <v>10</v>
      </c>
      <c r="D6095" t="s">
        <v>10</v>
      </c>
      <c r="E6095" t="str">
        <f>"$ 4,347"</f>
        <v>$ 4,347</v>
      </c>
      <c r="F6095">
        <v>924</v>
      </c>
    </row>
    <row r="6096" spans="1:6">
      <c r="A6096" t="s">
        <v>6087</v>
      </c>
      <c r="B6096" t="str">
        <f t="shared" si="258"/>
        <v>0.00056%</v>
      </c>
      <c r="C6096" t="s">
        <v>10</v>
      </c>
      <c r="D6096" t="s">
        <v>10</v>
      </c>
      <c r="E6096" t="str">
        <f>"$ 4,306"</f>
        <v>$ 4,306</v>
      </c>
      <c r="F6096">
        <v>328</v>
      </c>
    </row>
    <row r="6097" spans="1:6">
      <c r="A6097" t="s">
        <v>6088</v>
      </c>
      <c r="B6097" t="str">
        <f t="shared" si="258"/>
        <v>0.00056%</v>
      </c>
      <c r="C6097" t="s">
        <v>10</v>
      </c>
      <c r="D6097" t="s">
        <v>10</v>
      </c>
      <c r="E6097" t="str">
        <f>"$ 4,295"</f>
        <v>$ 4,295</v>
      </c>
      <c r="F6097">
        <v>115</v>
      </c>
    </row>
    <row r="6098" spans="1:6">
      <c r="A6098" t="s">
        <v>6089</v>
      </c>
      <c r="B6098" t="str">
        <f t="shared" si="258"/>
        <v>0.00056%</v>
      </c>
      <c r="C6098" t="s">
        <v>10</v>
      </c>
      <c r="D6098" t="s">
        <v>10</v>
      </c>
      <c r="E6098" t="str">
        <f>"$ 4,350"</f>
        <v>$ 4,350</v>
      </c>
      <c r="F6098">
        <v>96</v>
      </c>
    </row>
    <row r="6099" spans="1:6">
      <c r="A6099" t="s">
        <v>6090</v>
      </c>
      <c r="B6099" t="str">
        <f t="shared" si="258"/>
        <v>0.00056%</v>
      </c>
      <c r="C6099" t="s">
        <v>10</v>
      </c>
      <c r="D6099" t="s">
        <v>10</v>
      </c>
      <c r="E6099" t="str">
        <f>"$ 4,294"</f>
        <v>$ 4,294</v>
      </c>
      <c r="F6099">
        <v>263</v>
      </c>
    </row>
    <row r="6100" spans="1:6">
      <c r="A6100" t="s">
        <v>6091</v>
      </c>
      <c r="B6100" t="str">
        <f t="shared" si="258"/>
        <v>0.00056%</v>
      </c>
      <c r="C6100" t="s">
        <v>10</v>
      </c>
      <c r="D6100" t="s">
        <v>10</v>
      </c>
      <c r="E6100" t="str">
        <f>"$ 4,357"</f>
        <v>$ 4,357</v>
      </c>
      <c r="F6100">
        <v>247</v>
      </c>
    </row>
    <row r="6101" spans="1:6">
      <c r="A6101" t="s">
        <v>6092</v>
      </c>
      <c r="B6101" t="str">
        <f t="shared" si="258"/>
        <v>0.00056%</v>
      </c>
      <c r="C6101" t="s">
        <v>10</v>
      </c>
      <c r="D6101" t="s">
        <v>10</v>
      </c>
      <c r="E6101" t="str">
        <f>"$ 4,306"</f>
        <v>$ 4,306</v>
      </c>
      <c r="F6101">
        <v>355</v>
      </c>
    </row>
    <row r="6102" spans="1:6">
      <c r="A6102" t="s">
        <v>6093</v>
      </c>
      <c r="B6102" t="str">
        <f t="shared" si="258"/>
        <v>0.00056%</v>
      </c>
      <c r="C6102" t="s">
        <v>10</v>
      </c>
      <c r="D6102" t="s">
        <v>10</v>
      </c>
      <c r="E6102" t="str">
        <f>"$ 4,322"</f>
        <v>$ 4,322</v>
      </c>
      <c r="F6102">
        <v>181</v>
      </c>
    </row>
    <row r="6103" spans="1:6">
      <c r="A6103" t="s">
        <v>6094</v>
      </c>
      <c r="B6103" t="str">
        <f t="shared" si="258"/>
        <v>0.00056%</v>
      </c>
      <c r="C6103" t="s">
        <v>10</v>
      </c>
      <c r="D6103" t="s">
        <v>10</v>
      </c>
      <c r="E6103" t="str">
        <f>"$ 4,355"</f>
        <v>$ 4,355</v>
      </c>
      <c r="F6103">
        <v>47</v>
      </c>
    </row>
    <row r="6104" spans="1:6">
      <c r="A6104" t="s">
        <v>6095</v>
      </c>
      <c r="B6104" t="str">
        <f t="shared" si="258"/>
        <v>0.00056%</v>
      </c>
      <c r="C6104" t="s">
        <v>10</v>
      </c>
      <c r="D6104" t="s">
        <v>10</v>
      </c>
      <c r="E6104" t="str">
        <f>"$ 4,348"</f>
        <v>$ 4,348</v>
      </c>
      <c r="F6104">
        <v>214</v>
      </c>
    </row>
    <row r="6105" spans="1:6">
      <c r="A6105" t="s">
        <v>6096</v>
      </c>
      <c r="B6105" t="str">
        <f t="shared" si="258"/>
        <v>0.00056%</v>
      </c>
      <c r="C6105" t="s">
        <v>10</v>
      </c>
      <c r="D6105" t="s">
        <v>10</v>
      </c>
      <c r="E6105" t="str">
        <f>"$ 4,338"</f>
        <v>$ 4,338</v>
      </c>
      <c r="F6105">
        <v>42</v>
      </c>
    </row>
    <row r="6106" spans="1:6">
      <c r="A6106" t="s">
        <v>6097</v>
      </c>
      <c r="B6106" t="str">
        <f t="shared" si="258"/>
        <v>0.00056%</v>
      </c>
      <c r="C6106" t="s">
        <v>10</v>
      </c>
      <c r="D6106" t="s">
        <v>10</v>
      </c>
      <c r="E6106" t="str">
        <f>"$ 4,296"</f>
        <v>$ 4,296</v>
      </c>
      <c r="F6106">
        <v>174</v>
      </c>
    </row>
    <row r="6107" spans="1:6">
      <c r="A6107" t="s">
        <v>6098</v>
      </c>
      <c r="B6107" t="str">
        <f t="shared" si="258"/>
        <v>0.00056%</v>
      </c>
      <c r="C6107" t="s">
        <v>10</v>
      </c>
      <c r="D6107" t="s">
        <v>10</v>
      </c>
      <c r="E6107" t="str">
        <f>"$ 4,287"</f>
        <v>$ 4,287</v>
      </c>
      <c r="F6107">
        <v>116</v>
      </c>
    </row>
    <row r="6108" spans="1:6">
      <c r="A6108" t="s">
        <v>6099</v>
      </c>
      <c r="B6108" t="str">
        <f t="shared" si="258"/>
        <v>0.00056%</v>
      </c>
      <c r="C6108" t="s">
        <v>10</v>
      </c>
      <c r="D6108" t="s">
        <v>10</v>
      </c>
      <c r="E6108" t="str">
        <f>"$ 4,350"</f>
        <v>$ 4,350</v>
      </c>
      <c r="F6108">
        <v>122</v>
      </c>
    </row>
    <row r="6109" spans="1:6">
      <c r="A6109" t="s">
        <v>6100</v>
      </c>
      <c r="B6109" t="str">
        <f t="shared" si="258"/>
        <v>0.00056%</v>
      </c>
      <c r="C6109" t="s">
        <v>10</v>
      </c>
      <c r="D6109" t="s">
        <v>10</v>
      </c>
      <c r="E6109" t="str">
        <f>"$ 4,312"</f>
        <v>$ 4,312</v>
      </c>
      <c r="F6109" s="1">
        <v>3973</v>
      </c>
    </row>
    <row r="6110" spans="1:6">
      <c r="A6110" t="s">
        <v>6101</v>
      </c>
      <c r="B6110" t="str">
        <f t="shared" si="258"/>
        <v>0.00056%</v>
      </c>
      <c r="C6110" t="s">
        <v>10</v>
      </c>
      <c r="D6110" t="s">
        <v>10</v>
      </c>
      <c r="E6110" t="str">
        <f>"$ 4,293"</f>
        <v>$ 4,293</v>
      </c>
      <c r="F6110">
        <v>81</v>
      </c>
    </row>
    <row r="6111" spans="1:6">
      <c r="A6111" t="s">
        <v>6102</v>
      </c>
      <c r="B6111" t="str">
        <f t="shared" si="258"/>
        <v>0.00056%</v>
      </c>
      <c r="C6111" t="s">
        <v>10</v>
      </c>
      <c r="D6111" t="s">
        <v>10</v>
      </c>
      <c r="E6111" t="str">
        <f>"$ 4,322"</f>
        <v>$ 4,322</v>
      </c>
      <c r="F6111" s="1">
        <v>1608</v>
      </c>
    </row>
    <row r="6112" spans="1:6">
      <c r="A6112" t="s">
        <v>6103</v>
      </c>
      <c r="B6112" t="str">
        <f t="shared" si="258"/>
        <v>0.00056%</v>
      </c>
      <c r="C6112" t="s">
        <v>10</v>
      </c>
      <c r="D6112" t="s">
        <v>10</v>
      </c>
      <c r="E6112" t="str">
        <f>"$ 4,327"</f>
        <v>$ 4,327</v>
      </c>
      <c r="F6112" s="1">
        <v>195269</v>
      </c>
    </row>
    <row r="6113" spans="1:6">
      <c r="A6113" t="s">
        <v>6104</v>
      </c>
      <c r="B6113" t="str">
        <f t="shared" si="258"/>
        <v>0.00056%</v>
      </c>
      <c r="C6113" t="s">
        <v>10</v>
      </c>
      <c r="D6113" t="s">
        <v>10</v>
      </c>
      <c r="E6113" t="str">
        <f>"$ 4,307"</f>
        <v>$ 4,307</v>
      </c>
      <c r="F6113" s="1">
        <v>3456</v>
      </c>
    </row>
    <row r="6114" spans="1:6">
      <c r="A6114" t="s">
        <v>6105</v>
      </c>
      <c r="B6114" t="str">
        <f t="shared" si="258"/>
        <v>0.00056%</v>
      </c>
      <c r="C6114" t="s">
        <v>10</v>
      </c>
      <c r="D6114" t="s">
        <v>10</v>
      </c>
      <c r="E6114" t="str">
        <f>"$ 4,340"</f>
        <v>$ 4,340</v>
      </c>
      <c r="F6114">
        <v>253</v>
      </c>
    </row>
    <row r="6115" spans="1:6">
      <c r="A6115" t="s">
        <v>6106</v>
      </c>
      <c r="B6115" t="str">
        <f t="shared" si="258"/>
        <v>0.00056%</v>
      </c>
      <c r="C6115" t="s">
        <v>10</v>
      </c>
      <c r="D6115" t="s">
        <v>10</v>
      </c>
      <c r="E6115" t="str">
        <f>"$ 4,352"</f>
        <v>$ 4,352</v>
      </c>
      <c r="F6115">
        <v>533</v>
      </c>
    </row>
    <row r="6116" spans="1:6">
      <c r="A6116" t="s">
        <v>6107</v>
      </c>
      <c r="B6116" t="str">
        <f t="shared" si="258"/>
        <v>0.00056%</v>
      </c>
      <c r="C6116" t="s">
        <v>10</v>
      </c>
      <c r="D6116" t="s">
        <v>10</v>
      </c>
      <c r="E6116" t="str">
        <f>"$ 4,289"</f>
        <v>$ 4,289</v>
      </c>
      <c r="F6116">
        <v>59</v>
      </c>
    </row>
    <row r="6117" spans="1:6">
      <c r="A6117" t="s">
        <v>6108</v>
      </c>
      <c r="B6117" t="str">
        <f t="shared" si="258"/>
        <v>0.00056%</v>
      </c>
      <c r="C6117" t="s">
        <v>10</v>
      </c>
      <c r="D6117" t="s">
        <v>10</v>
      </c>
      <c r="E6117" t="str">
        <f>"$ 4,349"</f>
        <v>$ 4,349</v>
      </c>
      <c r="F6117" s="1">
        <v>2156</v>
      </c>
    </row>
    <row r="6118" spans="1:6">
      <c r="A6118" t="s">
        <v>6109</v>
      </c>
      <c r="B6118" t="str">
        <f t="shared" si="258"/>
        <v>0.00056%</v>
      </c>
      <c r="C6118" t="s">
        <v>10</v>
      </c>
      <c r="D6118" t="s">
        <v>10</v>
      </c>
      <c r="E6118" t="str">
        <f>"$ 4,339"</f>
        <v>$ 4,339</v>
      </c>
      <c r="F6118">
        <v>440</v>
      </c>
    </row>
    <row r="6119" spans="1:6">
      <c r="A6119" t="s">
        <v>6110</v>
      </c>
      <c r="B6119" t="str">
        <f t="shared" si="258"/>
        <v>0.00056%</v>
      </c>
      <c r="C6119" t="s">
        <v>10</v>
      </c>
      <c r="D6119" t="s">
        <v>10</v>
      </c>
      <c r="E6119" t="str">
        <f>"$ 4,313"</f>
        <v>$ 4,313</v>
      </c>
      <c r="F6119">
        <v>742</v>
      </c>
    </row>
    <row r="6120" spans="1:6">
      <c r="A6120" t="s">
        <v>6111</v>
      </c>
      <c r="B6120" t="str">
        <f t="shared" si="258"/>
        <v>0.00056%</v>
      </c>
      <c r="C6120" t="s">
        <v>10</v>
      </c>
      <c r="D6120" t="s">
        <v>10</v>
      </c>
      <c r="E6120" t="str">
        <f>"$ 4,293"</f>
        <v>$ 4,293</v>
      </c>
      <c r="F6120">
        <v>670</v>
      </c>
    </row>
    <row r="6121" spans="1:6">
      <c r="A6121" t="s">
        <v>6112</v>
      </c>
      <c r="B6121" t="str">
        <f t="shared" ref="B6121:B6151" si="259">"0.00055%"</f>
        <v>0.00055%</v>
      </c>
      <c r="C6121" t="s">
        <v>10</v>
      </c>
      <c r="D6121" t="s">
        <v>10</v>
      </c>
      <c r="E6121" t="str">
        <f>"$ 4,221"</f>
        <v>$ 4,221</v>
      </c>
      <c r="F6121">
        <v>798</v>
      </c>
    </row>
    <row r="6122" spans="1:6">
      <c r="A6122" t="s">
        <v>6113</v>
      </c>
      <c r="B6122" t="str">
        <f t="shared" si="259"/>
        <v>0.00055%</v>
      </c>
      <c r="C6122" t="s">
        <v>10</v>
      </c>
      <c r="D6122" t="s">
        <v>10</v>
      </c>
      <c r="E6122" t="str">
        <f>"$ 4,232"</f>
        <v>$ 4,232</v>
      </c>
      <c r="F6122" s="1">
        <v>2876</v>
      </c>
    </row>
    <row r="6123" spans="1:6">
      <c r="A6123" t="s">
        <v>6114</v>
      </c>
      <c r="B6123" t="str">
        <f t="shared" si="259"/>
        <v>0.00055%</v>
      </c>
      <c r="C6123" t="s">
        <v>10</v>
      </c>
      <c r="D6123" t="s">
        <v>10</v>
      </c>
      <c r="E6123" t="str">
        <f>"$ 4,253"</f>
        <v>$ 4,253</v>
      </c>
      <c r="F6123">
        <v>119</v>
      </c>
    </row>
    <row r="6124" spans="1:6">
      <c r="A6124" t="s">
        <v>6115</v>
      </c>
      <c r="B6124" t="str">
        <f t="shared" si="259"/>
        <v>0.00055%</v>
      </c>
      <c r="C6124" t="s">
        <v>10</v>
      </c>
      <c r="D6124" t="s">
        <v>10</v>
      </c>
      <c r="E6124" t="str">
        <f>"$ 4,245"</f>
        <v>$ 4,245</v>
      </c>
      <c r="F6124" s="1">
        <v>9092</v>
      </c>
    </row>
    <row r="6125" spans="1:6">
      <c r="A6125" t="s">
        <v>6116</v>
      </c>
      <c r="B6125" t="str">
        <f t="shared" si="259"/>
        <v>0.00055%</v>
      </c>
      <c r="C6125" t="s">
        <v>10</v>
      </c>
      <c r="D6125" t="s">
        <v>10</v>
      </c>
      <c r="E6125" t="str">
        <f>"$ 4,265"</f>
        <v>$ 4,265</v>
      </c>
      <c r="F6125">
        <v>194</v>
      </c>
    </row>
    <row r="6126" spans="1:6">
      <c r="A6126" t="s">
        <v>6117</v>
      </c>
      <c r="B6126" t="str">
        <f t="shared" si="259"/>
        <v>0.00055%</v>
      </c>
      <c r="C6126" t="s">
        <v>10</v>
      </c>
      <c r="D6126" t="s">
        <v>10</v>
      </c>
      <c r="E6126" t="str">
        <f>"$ 4,251"</f>
        <v>$ 4,251</v>
      </c>
      <c r="F6126" s="1">
        <v>2969</v>
      </c>
    </row>
    <row r="6127" spans="1:6">
      <c r="A6127" t="s">
        <v>6118</v>
      </c>
      <c r="B6127" t="str">
        <f t="shared" si="259"/>
        <v>0.00055%</v>
      </c>
      <c r="C6127" t="s">
        <v>10</v>
      </c>
      <c r="D6127" t="s">
        <v>10</v>
      </c>
      <c r="E6127" t="str">
        <f>"$ 4,267"</f>
        <v>$ 4,267</v>
      </c>
      <c r="F6127">
        <v>303</v>
      </c>
    </row>
    <row r="6128" spans="1:6">
      <c r="A6128" t="s">
        <v>6119</v>
      </c>
      <c r="B6128" t="str">
        <f t="shared" si="259"/>
        <v>0.00055%</v>
      </c>
      <c r="C6128" t="s">
        <v>10</v>
      </c>
      <c r="D6128" t="s">
        <v>10</v>
      </c>
      <c r="E6128" t="str">
        <f>"$ 4,244"</f>
        <v>$ 4,244</v>
      </c>
      <c r="F6128">
        <v>247</v>
      </c>
    </row>
    <row r="6129" spans="1:6">
      <c r="A6129" t="s">
        <v>6120</v>
      </c>
      <c r="B6129" t="str">
        <f t="shared" si="259"/>
        <v>0.00055%</v>
      </c>
      <c r="C6129" t="s">
        <v>10</v>
      </c>
      <c r="D6129" t="s">
        <v>10</v>
      </c>
      <c r="E6129" t="str">
        <f>"$ 4,211"</f>
        <v>$ 4,211</v>
      </c>
      <c r="F6129" s="1">
        <v>10411</v>
      </c>
    </row>
    <row r="6130" spans="1:6">
      <c r="A6130" t="s">
        <v>6121</v>
      </c>
      <c r="B6130" t="str">
        <f t="shared" si="259"/>
        <v>0.00055%</v>
      </c>
      <c r="C6130" t="s">
        <v>10</v>
      </c>
      <c r="D6130" t="s">
        <v>10</v>
      </c>
      <c r="E6130" t="str">
        <f>"$ 4,214"</f>
        <v>$ 4,214</v>
      </c>
      <c r="F6130">
        <v>986</v>
      </c>
    </row>
    <row r="6131" spans="1:6">
      <c r="A6131" t="s">
        <v>6122</v>
      </c>
      <c r="B6131" t="str">
        <f t="shared" si="259"/>
        <v>0.00055%</v>
      </c>
      <c r="C6131" t="s">
        <v>10</v>
      </c>
      <c r="D6131" t="s">
        <v>10</v>
      </c>
      <c r="E6131" t="str">
        <f>"$ 4,266"</f>
        <v>$ 4,266</v>
      </c>
      <c r="F6131">
        <v>771</v>
      </c>
    </row>
    <row r="6132" spans="1:6">
      <c r="A6132" t="s">
        <v>6123</v>
      </c>
      <c r="B6132" t="str">
        <f t="shared" si="259"/>
        <v>0.00055%</v>
      </c>
      <c r="C6132" t="s">
        <v>10</v>
      </c>
      <c r="D6132" t="s">
        <v>10</v>
      </c>
      <c r="E6132" t="str">
        <f>"$ 4,228"</f>
        <v>$ 4,228</v>
      </c>
      <c r="F6132">
        <v>169</v>
      </c>
    </row>
    <row r="6133" spans="1:6">
      <c r="A6133" t="s">
        <v>6124</v>
      </c>
      <c r="B6133" t="str">
        <f t="shared" si="259"/>
        <v>0.00055%</v>
      </c>
      <c r="C6133" t="s">
        <v>10</v>
      </c>
      <c r="D6133" t="s">
        <v>10</v>
      </c>
      <c r="E6133" t="str">
        <f>"$ 4,235"</f>
        <v>$ 4,235</v>
      </c>
      <c r="F6133">
        <v>444</v>
      </c>
    </row>
    <row r="6134" spans="1:6">
      <c r="A6134" t="s">
        <v>6125</v>
      </c>
      <c r="B6134" t="str">
        <f t="shared" si="259"/>
        <v>0.00055%</v>
      </c>
      <c r="C6134" t="s">
        <v>10</v>
      </c>
      <c r="D6134" t="s">
        <v>10</v>
      </c>
      <c r="E6134" t="str">
        <f>"$ 4,226"</f>
        <v>$ 4,226</v>
      </c>
      <c r="F6134">
        <v>403</v>
      </c>
    </row>
    <row r="6135" spans="1:6">
      <c r="A6135" t="s">
        <v>6126</v>
      </c>
      <c r="B6135" t="str">
        <f t="shared" si="259"/>
        <v>0.00055%</v>
      </c>
      <c r="C6135" t="s">
        <v>10</v>
      </c>
      <c r="D6135" t="s">
        <v>10</v>
      </c>
      <c r="E6135" t="str">
        <f>"$ 4,248"</f>
        <v>$ 4,248</v>
      </c>
      <c r="F6135">
        <v>333</v>
      </c>
    </row>
    <row r="6136" spans="1:6">
      <c r="A6136" t="s">
        <v>6127</v>
      </c>
      <c r="B6136" t="str">
        <f t="shared" si="259"/>
        <v>0.00055%</v>
      </c>
      <c r="C6136" t="s">
        <v>10</v>
      </c>
      <c r="D6136" t="s">
        <v>10</v>
      </c>
      <c r="E6136" t="str">
        <f>"$ 4,258"</f>
        <v>$ 4,258</v>
      </c>
      <c r="F6136">
        <v>242</v>
      </c>
    </row>
    <row r="6137" spans="1:6">
      <c r="A6137" t="s">
        <v>6128</v>
      </c>
      <c r="B6137" t="str">
        <f t="shared" si="259"/>
        <v>0.00055%</v>
      </c>
      <c r="C6137" t="s">
        <v>10</v>
      </c>
      <c r="D6137" t="s">
        <v>10</v>
      </c>
      <c r="E6137" t="str">
        <f>"$ 4,264"</f>
        <v>$ 4,264</v>
      </c>
      <c r="F6137" s="1">
        <v>5738</v>
      </c>
    </row>
    <row r="6138" spans="1:6">
      <c r="A6138" t="s">
        <v>6129</v>
      </c>
      <c r="B6138" t="str">
        <f t="shared" si="259"/>
        <v>0.00055%</v>
      </c>
      <c r="C6138" t="s">
        <v>10</v>
      </c>
      <c r="D6138" t="s">
        <v>10</v>
      </c>
      <c r="E6138" t="str">
        <f>"$ 4,242"</f>
        <v>$ 4,242</v>
      </c>
      <c r="F6138" s="1">
        <v>9024</v>
      </c>
    </row>
    <row r="6139" spans="1:6">
      <c r="A6139" t="s">
        <v>6130</v>
      </c>
      <c r="B6139" t="str">
        <f t="shared" si="259"/>
        <v>0.00055%</v>
      </c>
      <c r="C6139" t="s">
        <v>10</v>
      </c>
      <c r="D6139" t="s">
        <v>10</v>
      </c>
      <c r="E6139" t="str">
        <f>"$ 4,263"</f>
        <v>$ 4,263</v>
      </c>
      <c r="F6139" s="1">
        <v>3518</v>
      </c>
    </row>
    <row r="6140" spans="1:6">
      <c r="A6140" t="s">
        <v>6131</v>
      </c>
      <c r="B6140" t="str">
        <f t="shared" si="259"/>
        <v>0.00055%</v>
      </c>
      <c r="C6140" t="s">
        <v>10</v>
      </c>
      <c r="D6140" t="s">
        <v>10</v>
      </c>
      <c r="E6140" t="str">
        <f>"$ 4,246"</f>
        <v>$ 4,246</v>
      </c>
      <c r="F6140">
        <v>695</v>
      </c>
    </row>
    <row r="6141" spans="1:6">
      <c r="A6141" t="s">
        <v>6132</v>
      </c>
      <c r="B6141" t="str">
        <f t="shared" si="259"/>
        <v>0.00055%</v>
      </c>
      <c r="C6141" t="s">
        <v>10</v>
      </c>
      <c r="D6141" t="s">
        <v>10</v>
      </c>
      <c r="E6141" t="str">
        <f>"$ 4,271"</f>
        <v>$ 4,271</v>
      </c>
      <c r="F6141" s="1">
        <v>12177</v>
      </c>
    </row>
    <row r="6142" spans="1:6">
      <c r="A6142" t="s">
        <v>6133</v>
      </c>
      <c r="B6142" t="str">
        <f t="shared" si="259"/>
        <v>0.00055%</v>
      </c>
      <c r="C6142" t="s">
        <v>10</v>
      </c>
      <c r="D6142" t="s">
        <v>10</v>
      </c>
      <c r="E6142" t="str">
        <f>"$ 4,225"</f>
        <v>$ 4,225</v>
      </c>
      <c r="F6142" s="1">
        <v>2044</v>
      </c>
    </row>
    <row r="6143" spans="1:6">
      <c r="A6143" t="s">
        <v>6134</v>
      </c>
      <c r="B6143" t="str">
        <f t="shared" si="259"/>
        <v>0.00055%</v>
      </c>
      <c r="C6143" t="s">
        <v>10</v>
      </c>
      <c r="D6143" t="s">
        <v>10</v>
      </c>
      <c r="E6143" t="str">
        <f>"$ 4,224"</f>
        <v>$ 4,224</v>
      </c>
      <c r="F6143">
        <v>309</v>
      </c>
    </row>
    <row r="6144" spans="1:6">
      <c r="A6144" t="s">
        <v>6135</v>
      </c>
      <c r="B6144" t="str">
        <f t="shared" si="259"/>
        <v>0.00055%</v>
      </c>
      <c r="C6144" t="s">
        <v>10</v>
      </c>
      <c r="D6144" t="s">
        <v>10</v>
      </c>
      <c r="E6144" t="str">
        <f>"$ 4,261"</f>
        <v>$ 4,261</v>
      </c>
      <c r="F6144">
        <v>103</v>
      </c>
    </row>
    <row r="6145" spans="1:6">
      <c r="A6145" t="s">
        <v>6136</v>
      </c>
      <c r="B6145" t="str">
        <f t="shared" si="259"/>
        <v>0.00055%</v>
      </c>
      <c r="C6145" t="s">
        <v>10</v>
      </c>
      <c r="D6145" t="s">
        <v>10</v>
      </c>
      <c r="E6145" t="str">
        <f>"$ 4,255"</f>
        <v>$ 4,255</v>
      </c>
      <c r="F6145">
        <v>94</v>
      </c>
    </row>
    <row r="6146" spans="1:6">
      <c r="A6146" t="s">
        <v>6137</v>
      </c>
      <c r="B6146" t="str">
        <f t="shared" si="259"/>
        <v>0.00055%</v>
      </c>
      <c r="C6146" t="s">
        <v>10</v>
      </c>
      <c r="D6146" t="s">
        <v>10</v>
      </c>
      <c r="E6146" t="str">
        <f>"$ 4,215"</f>
        <v>$ 4,215</v>
      </c>
      <c r="F6146" s="1">
        <v>4481</v>
      </c>
    </row>
    <row r="6147" spans="1:6">
      <c r="A6147" t="s">
        <v>6138</v>
      </c>
      <c r="B6147" t="str">
        <f t="shared" si="259"/>
        <v>0.00055%</v>
      </c>
      <c r="C6147" t="s">
        <v>10</v>
      </c>
      <c r="D6147" t="s">
        <v>10</v>
      </c>
      <c r="E6147" t="str">
        <f>"$ 4,240"</f>
        <v>$ 4,240</v>
      </c>
      <c r="F6147" s="1">
        <v>7030</v>
      </c>
    </row>
    <row r="6148" spans="1:6">
      <c r="A6148" t="s">
        <v>6139</v>
      </c>
      <c r="B6148" t="str">
        <f t="shared" si="259"/>
        <v>0.00055%</v>
      </c>
      <c r="C6148" t="s">
        <v>10</v>
      </c>
      <c r="D6148" t="s">
        <v>10</v>
      </c>
      <c r="E6148" t="str">
        <f>"$ 4,234"</f>
        <v>$ 4,234</v>
      </c>
      <c r="F6148" s="1">
        <v>12712</v>
      </c>
    </row>
    <row r="6149" spans="1:6">
      <c r="A6149" t="s">
        <v>6140</v>
      </c>
      <c r="B6149" t="str">
        <f t="shared" si="259"/>
        <v>0.00055%</v>
      </c>
      <c r="C6149" t="s">
        <v>10</v>
      </c>
      <c r="D6149" t="s">
        <v>10</v>
      </c>
      <c r="E6149" t="str">
        <f>"$ 4,251"</f>
        <v>$ 4,251</v>
      </c>
      <c r="F6149">
        <v>210</v>
      </c>
    </row>
    <row r="6150" spans="1:6">
      <c r="A6150" t="s">
        <v>6141</v>
      </c>
      <c r="B6150" t="str">
        <f t="shared" si="259"/>
        <v>0.00055%</v>
      </c>
      <c r="C6150" t="s">
        <v>10</v>
      </c>
      <c r="D6150" t="s">
        <v>10</v>
      </c>
      <c r="E6150" t="str">
        <f>"$ 4,271"</f>
        <v>$ 4,271</v>
      </c>
      <c r="F6150" s="1">
        <v>20117</v>
      </c>
    </row>
    <row r="6151" spans="1:6">
      <c r="A6151" t="s">
        <v>6142</v>
      </c>
      <c r="B6151" t="str">
        <f t="shared" si="259"/>
        <v>0.00055%</v>
      </c>
      <c r="C6151" t="s">
        <v>10</v>
      </c>
      <c r="D6151" t="s">
        <v>10</v>
      </c>
      <c r="E6151" t="str">
        <f>"$ 4,211"</f>
        <v>$ 4,211</v>
      </c>
      <c r="F6151" s="1">
        <v>11328</v>
      </c>
    </row>
    <row r="6152" spans="1:6">
      <c r="A6152" t="s">
        <v>6143</v>
      </c>
      <c r="B6152" t="str">
        <f t="shared" ref="B6152:B6183" si="260">"0.00054%"</f>
        <v>0.00054%</v>
      </c>
      <c r="C6152" t="s">
        <v>10</v>
      </c>
      <c r="D6152" t="s">
        <v>10</v>
      </c>
      <c r="E6152" t="str">
        <f>"$ 4,141"</f>
        <v>$ 4,141</v>
      </c>
      <c r="F6152">
        <v>113</v>
      </c>
    </row>
    <row r="6153" spans="1:6">
      <c r="A6153" t="s">
        <v>6144</v>
      </c>
      <c r="B6153" t="str">
        <f t="shared" si="260"/>
        <v>0.00054%</v>
      </c>
      <c r="C6153" t="s">
        <v>10</v>
      </c>
      <c r="D6153" t="s">
        <v>10</v>
      </c>
      <c r="E6153" t="str">
        <f>"$ 4,134"</f>
        <v>$ 4,134</v>
      </c>
      <c r="F6153">
        <v>294</v>
      </c>
    </row>
    <row r="6154" spans="1:6">
      <c r="A6154" t="s">
        <v>6145</v>
      </c>
      <c r="B6154" t="str">
        <f t="shared" si="260"/>
        <v>0.00054%</v>
      </c>
      <c r="C6154" t="s">
        <v>10</v>
      </c>
      <c r="D6154" t="s">
        <v>10</v>
      </c>
      <c r="E6154" t="str">
        <f>"$ 4,146"</f>
        <v>$ 4,146</v>
      </c>
      <c r="F6154">
        <v>864</v>
      </c>
    </row>
    <row r="6155" spans="1:6">
      <c r="A6155" t="s">
        <v>6146</v>
      </c>
      <c r="B6155" t="str">
        <f t="shared" si="260"/>
        <v>0.00054%</v>
      </c>
      <c r="C6155" t="s">
        <v>10</v>
      </c>
      <c r="D6155" t="s">
        <v>10</v>
      </c>
      <c r="E6155" t="str">
        <f>"$ 4,154"</f>
        <v>$ 4,154</v>
      </c>
      <c r="F6155">
        <v>158</v>
      </c>
    </row>
    <row r="6156" spans="1:6">
      <c r="A6156" t="s">
        <v>6147</v>
      </c>
      <c r="B6156" t="str">
        <f t="shared" si="260"/>
        <v>0.00054%</v>
      </c>
      <c r="C6156" t="s">
        <v>10</v>
      </c>
      <c r="D6156" t="s">
        <v>10</v>
      </c>
      <c r="E6156" t="str">
        <f>"$ 4,170"</f>
        <v>$ 4,170</v>
      </c>
      <c r="F6156" s="1">
        <v>20872</v>
      </c>
    </row>
    <row r="6157" spans="1:6">
      <c r="A6157" t="s">
        <v>6148</v>
      </c>
      <c r="B6157" t="str">
        <f t="shared" si="260"/>
        <v>0.00054%</v>
      </c>
      <c r="C6157" t="s">
        <v>10</v>
      </c>
      <c r="D6157" t="s">
        <v>10</v>
      </c>
      <c r="E6157" t="str">
        <f>"$ 4,165"</f>
        <v>$ 4,165</v>
      </c>
      <c r="F6157" s="1">
        <v>50119</v>
      </c>
    </row>
    <row r="6158" spans="1:6">
      <c r="A6158" t="s">
        <v>6149</v>
      </c>
      <c r="B6158" t="str">
        <f t="shared" si="260"/>
        <v>0.00054%</v>
      </c>
      <c r="C6158" t="s">
        <v>10</v>
      </c>
      <c r="D6158" t="s">
        <v>10</v>
      </c>
      <c r="E6158" t="str">
        <f>"$ 4,167"</f>
        <v>$ 4,167</v>
      </c>
      <c r="F6158">
        <v>35</v>
      </c>
    </row>
    <row r="6159" spans="1:6">
      <c r="A6159" t="s">
        <v>6150</v>
      </c>
      <c r="B6159" t="str">
        <f t="shared" si="260"/>
        <v>0.00054%</v>
      </c>
      <c r="C6159" t="s">
        <v>10</v>
      </c>
      <c r="D6159" t="s">
        <v>10</v>
      </c>
      <c r="E6159" t="str">
        <f>"$ 4,166"</f>
        <v>$ 4,166</v>
      </c>
      <c r="F6159">
        <v>99</v>
      </c>
    </row>
    <row r="6160" spans="1:6">
      <c r="A6160" t="s">
        <v>6151</v>
      </c>
      <c r="B6160" t="str">
        <f t="shared" si="260"/>
        <v>0.00054%</v>
      </c>
      <c r="C6160" t="s">
        <v>10</v>
      </c>
      <c r="D6160" t="s">
        <v>10</v>
      </c>
      <c r="E6160" t="str">
        <f>"$ 4,151"</f>
        <v>$ 4,151</v>
      </c>
      <c r="F6160">
        <v>346</v>
      </c>
    </row>
    <row r="6161" spans="1:6">
      <c r="A6161" t="s">
        <v>6152</v>
      </c>
      <c r="B6161" t="str">
        <f t="shared" si="260"/>
        <v>0.00054%</v>
      </c>
      <c r="C6161" t="s">
        <v>10</v>
      </c>
      <c r="D6161" t="s">
        <v>10</v>
      </c>
      <c r="E6161" t="str">
        <f>"$ 4,154"</f>
        <v>$ 4,154</v>
      </c>
      <c r="F6161">
        <v>203</v>
      </c>
    </row>
    <row r="6162" spans="1:6">
      <c r="A6162" t="s">
        <v>6153</v>
      </c>
      <c r="B6162" t="str">
        <f t="shared" si="260"/>
        <v>0.00054%</v>
      </c>
      <c r="C6162" t="s">
        <v>10</v>
      </c>
      <c r="D6162" t="s">
        <v>10</v>
      </c>
      <c r="E6162" t="str">
        <f>"$ 4,159"</f>
        <v>$ 4,159</v>
      </c>
      <c r="F6162">
        <v>193</v>
      </c>
    </row>
    <row r="6163" spans="1:6">
      <c r="A6163" t="s">
        <v>6154</v>
      </c>
      <c r="B6163" t="str">
        <f t="shared" si="260"/>
        <v>0.00054%</v>
      </c>
      <c r="C6163" t="s">
        <v>10</v>
      </c>
      <c r="D6163" t="s">
        <v>10</v>
      </c>
      <c r="E6163" t="str">
        <f>"$ 4,179"</f>
        <v>$ 4,179</v>
      </c>
      <c r="F6163">
        <v>155</v>
      </c>
    </row>
    <row r="6164" spans="1:6">
      <c r="A6164" t="s">
        <v>6155</v>
      </c>
      <c r="B6164" t="str">
        <f t="shared" si="260"/>
        <v>0.00054%</v>
      </c>
      <c r="C6164" t="s">
        <v>10</v>
      </c>
      <c r="D6164" t="s">
        <v>10</v>
      </c>
      <c r="E6164" t="str">
        <f>"$ 4,167"</f>
        <v>$ 4,167</v>
      </c>
      <c r="F6164">
        <v>198</v>
      </c>
    </row>
    <row r="6165" spans="1:6">
      <c r="A6165" t="s">
        <v>6156</v>
      </c>
      <c r="B6165" t="str">
        <f t="shared" si="260"/>
        <v>0.00054%</v>
      </c>
      <c r="C6165" t="s">
        <v>10</v>
      </c>
      <c r="D6165" t="s">
        <v>10</v>
      </c>
      <c r="E6165" t="str">
        <f>"$ 4,165"</f>
        <v>$ 4,165</v>
      </c>
      <c r="F6165">
        <v>365</v>
      </c>
    </row>
    <row r="6166" spans="1:6">
      <c r="A6166" t="s">
        <v>6157</v>
      </c>
      <c r="B6166" t="str">
        <f t="shared" si="260"/>
        <v>0.00054%</v>
      </c>
      <c r="C6166" t="s">
        <v>10</v>
      </c>
      <c r="D6166" t="s">
        <v>10</v>
      </c>
      <c r="E6166" t="str">
        <f>"$ 4,135"</f>
        <v>$ 4,135</v>
      </c>
      <c r="F6166" s="1">
        <v>4887</v>
      </c>
    </row>
    <row r="6167" spans="1:6">
      <c r="A6167" t="s">
        <v>6158</v>
      </c>
      <c r="B6167" t="str">
        <f t="shared" si="260"/>
        <v>0.00054%</v>
      </c>
      <c r="C6167" t="s">
        <v>10</v>
      </c>
      <c r="D6167" t="s">
        <v>10</v>
      </c>
      <c r="E6167" t="str">
        <f>"$ 4,154"</f>
        <v>$ 4,154</v>
      </c>
      <c r="F6167">
        <v>165</v>
      </c>
    </row>
    <row r="6168" spans="1:6">
      <c r="A6168" t="s">
        <v>6159</v>
      </c>
      <c r="B6168" t="str">
        <f t="shared" si="260"/>
        <v>0.00054%</v>
      </c>
      <c r="C6168" t="s">
        <v>10</v>
      </c>
      <c r="D6168" t="s">
        <v>10</v>
      </c>
      <c r="E6168" t="str">
        <f>"$ 4,198"</f>
        <v>$ 4,198</v>
      </c>
      <c r="F6168">
        <v>115</v>
      </c>
    </row>
    <row r="6169" spans="1:6">
      <c r="A6169" t="s">
        <v>6160</v>
      </c>
      <c r="B6169" t="str">
        <f t="shared" si="260"/>
        <v>0.00054%</v>
      </c>
      <c r="C6169" t="s">
        <v>10</v>
      </c>
      <c r="D6169" t="s">
        <v>10</v>
      </c>
      <c r="E6169" t="str">
        <f>"$ 4,170"</f>
        <v>$ 4,170</v>
      </c>
      <c r="F6169">
        <v>245</v>
      </c>
    </row>
    <row r="6170" spans="1:6">
      <c r="A6170" t="s">
        <v>6161</v>
      </c>
      <c r="B6170" t="str">
        <f t="shared" si="260"/>
        <v>0.00054%</v>
      </c>
      <c r="C6170" t="s">
        <v>10</v>
      </c>
      <c r="D6170" t="s">
        <v>10</v>
      </c>
      <c r="E6170" t="str">
        <f>"$ 4,200"</f>
        <v>$ 4,200</v>
      </c>
      <c r="F6170" s="1">
        <v>1018</v>
      </c>
    </row>
    <row r="6171" spans="1:6">
      <c r="A6171" t="s">
        <v>6162</v>
      </c>
      <c r="B6171" t="str">
        <f t="shared" si="260"/>
        <v>0.00054%</v>
      </c>
      <c r="C6171" t="s">
        <v>10</v>
      </c>
      <c r="D6171" t="s">
        <v>10</v>
      </c>
      <c r="E6171" t="str">
        <f>"$ 4,199"</f>
        <v>$ 4,199</v>
      </c>
      <c r="F6171">
        <v>109</v>
      </c>
    </row>
    <row r="6172" spans="1:6">
      <c r="A6172" t="s">
        <v>6163</v>
      </c>
      <c r="B6172" t="str">
        <f t="shared" si="260"/>
        <v>0.00054%</v>
      </c>
      <c r="C6172" t="s">
        <v>10</v>
      </c>
      <c r="D6172" t="s">
        <v>10</v>
      </c>
      <c r="E6172" t="str">
        <f>"$ 4,159"</f>
        <v>$ 4,159</v>
      </c>
      <c r="F6172">
        <v>514</v>
      </c>
    </row>
    <row r="6173" spans="1:6">
      <c r="A6173" t="s">
        <v>6164</v>
      </c>
      <c r="B6173" t="str">
        <f t="shared" si="260"/>
        <v>0.00054%</v>
      </c>
      <c r="C6173" t="s">
        <v>10</v>
      </c>
      <c r="D6173" t="s">
        <v>10</v>
      </c>
      <c r="E6173" t="str">
        <f>"$ 4,193"</f>
        <v>$ 4,193</v>
      </c>
      <c r="F6173">
        <v>98</v>
      </c>
    </row>
    <row r="6174" spans="1:6">
      <c r="A6174" t="s">
        <v>6165</v>
      </c>
      <c r="B6174" t="str">
        <f t="shared" si="260"/>
        <v>0.00054%</v>
      </c>
      <c r="C6174" t="s">
        <v>10</v>
      </c>
      <c r="D6174" t="s">
        <v>10</v>
      </c>
      <c r="E6174" t="str">
        <f>"$ 4,208"</f>
        <v>$ 4,208</v>
      </c>
      <c r="F6174" s="1">
        <v>2024</v>
      </c>
    </row>
    <row r="6175" spans="1:6">
      <c r="A6175" t="s">
        <v>6166</v>
      </c>
      <c r="B6175" t="str">
        <f t="shared" si="260"/>
        <v>0.00054%</v>
      </c>
      <c r="C6175" t="s">
        <v>10</v>
      </c>
      <c r="D6175" t="s">
        <v>10</v>
      </c>
      <c r="E6175" t="str">
        <f>"$ 4,134"</f>
        <v>$ 4,134</v>
      </c>
      <c r="F6175">
        <v>531</v>
      </c>
    </row>
    <row r="6176" spans="1:6">
      <c r="A6176" t="s">
        <v>6167</v>
      </c>
      <c r="B6176" t="str">
        <f t="shared" si="260"/>
        <v>0.00054%</v>
      </c>
      <c r="C6176" t="s">
        <v>10</v>
      </c>
      <c r="D6176" t="s">
        <v>10</v>
      </c>
      <c r="E6176" t="str">
        <f>"$ 4,187"</f>
        <v>$ 4,187</v>
      </c>
      <c r="F6176">
        <v>96</v>
      </c>
    </row>
    <row r="6177" spans="1:6">
      <c r="A6177" t="s">
        <v>6168</v>
      </c>
      <c r="B6177" t="str">
        <f t="shared" si="260"/>
        <v>0.00054%</v>
      </c>
      <c r="C6177" t="s">
        <v>10</v>
      </c>
      <c r="D6177" t="s">
        <v>10</v>
      </c>
      <c r="E6177" t="str">
        <f>"$ 4,189"</f>
        <v>$ 4,189</v>
      </c>
      <c r="F6177" s="1">
        <v>2024</v>
      </c>
    </row>
    <row r="6178" spans="1:6">
      <c r="A6178" t="s">
        <v>6169</v>
      </c>
      <c r="B6178" t="str">
        <f t="shared" si="260"/>
        <v>0.00054%</v>
      </c>
      <c r="C6178" t="s">
        <v>10</v>
      </c>
      <c r="D6178" t="s">
        <v>10</v>
      </c>
      <c r="E6178" t="str">
        <f>"$ 4,166"</f>
        <v>$ 4,166</v>
      </c>
      <c r="F6178">
        <v>314</v>
      </c>
    </row>
    <row r="6179" spans="1:6">
      <c r="A6179" t="s">
        <v>6170</v>
      </c>
      <c r="B6179" t="str">
        <f t="shared" si="260"/>
        <v>0.00054%</v>
      </c>
      <c r="C6179" t="s">
        <v>10</v>
      </c>
      <c r="D6179" t="s">
        <v>10</v>
      </c>
      <c r="E6179" t="str">
        <f>"$ 4,168"</f>
        <v>$ 4,168</v>
      </c>
      <c r="F6179" s="1">
        <v>1883</v>
      </c>
    </row>
    <row r="6180" spans="1:6">
      <c r="A6180" t="s">
        <v>6171</v>
      </c>
      <c r="B6180" t="str">
        <f t="shared" si="260"/>
        <v>0.00054%</v>
      </c>
      <c r="C6180" t="s">
        <v>10</v>
      </c>
      <c r="D6180" t="s">
        <v>10</v>
      </c>
      <c r="E6180" t="str">
        <f>"$ 4,142"</f>
        <v>$ 4,142</v>
      </c>
      <c r="F6180" s="1">
        <v>75932</v>
      </c>
    </row>
    <row r="6181" spans="1:6">
      <c r="A6181" t="s">
        <v>6172</v>
      </c>
      <c r="B6181" t="str">
        <f t="shared" si="260"/>
        <v>0.00054%</v>
      </c>
      <c r="C6181" t="s">
        <v>10</v>
      </c>
      <c r="D6181" t="s">
        <v>10</v>
      </c>
      <c r="E6181" t="str">
        <f>"$ 4,152"</f>
        <v>$ 4,152</v>
      </c>
      <c r="F6181">
        <v>212</v>
      </c>
    </row>
    <row r="6182" spans="1:6">
      <c r="A6182" t="s">
        <v>6173</v>
      </c>
      <c r="B6182" t="str">
        <f t="shared" si="260"/>
        <v>0.00054%</v>
      </c>
      <c r="C6182" t="s">
        <v>10</v>
      </c>
      <c r="D6182" t="s">
        <v>10</v>
      </c>
      <c r="E6182" t="str">
        <f>"$ 4,171"</f>
        <v>$ 4,171</v>
      </c>
      <c r="F6182">
        <v>182</v>
      </c>
    </row>
    <row r="6183" spans="1:6">
      <c r="A6183" t="s">
        <v>6174</v>
      </c>
      <c r="B6183" t="str">
        <f t="shared" si="260"/>
        <v>0.00054%</v>
      </c>
      <c r="C6183" t="s">
        <v>10</v>
      </c>
      <c r="D6183" t="s">
        <v>10</v>
      </c>
      <c r="E6183" t="str">
        <f>"$ 4,147"</f>
        <v>$ 4,147</v>
      </c>
      <c r="F6183">
        <v>131</v>
      </c>
    </row>
    <row r="6184" spans="1:6">
      <c r="A6184" t="s">
        <v>6175</v>
      </c>
      <c r="B6184" t="str">
        <f t="shared" ref="B6184:B6217" si="261">"0.00053%"</f>
        <v>0.00053%</v>
      </c>
      <c r="C6184" t="s">
        <v>10</v>
      </c>
      <c r="D6184" t="s">
        <v>10</v>
      </c>
      <c r="E6184" t="str">
        <f>"$ 4,123"</f>
        <v>$ 4,123</v>
      </c>
      <c r="F6184">
        <v>128</v>
      </c>
    </row>
    <row r="6185" spans="1:6">
      <c r="A6185" t="s">
        <v>6176</v>
      </c>
      <c r="B6185" t="str">
        <f t="shared" si="261"/>
        <v>0.00053%</v>
      </c>
      <c r="C6185" t="s">
        <v>10</v>
      </c>
      <c r="D6185" t="s">
        <v>10</v>
      </c>
      <c r="E6185" t="str">
        <f>"$ 4,072"</f>
        <v>$ 4,072</v>
      </c>
      <c r="F6185">
        <v>36</v>
      </c>
    </row>
    <row r="6186" spans="1:6">
      <c r="A6186" t="s">
        <v>6177</v>
      </c>
      <c r="B6186" t="str">
        <f t="shared" si="261"/>
        <v>0.00053%</v>
      </c>
      <c r="C6186" t="s">
        <v>10</v>
      </c>
      <c r="D6186" t="s">
        <v>10</v>
      </c>
      <c r="E6186" t="str">
        <f>"$ 4,072"</f>
        <v>$ 4,072</v>
      </c>
      <c r="F6186">
        <v>280</v>
      </c>
    </row>
    <row r="6187" spans="1:6">
      <c r="A6187" t="s">
        <v>6178</v>
      </c>
      <c r="B6187" t="str">
        <f t="shared" si="261"/>
        <v>0.00053%</v>
      </c>
      <c r="C6187" t="s">
        <v>10</v>
      </c>
      <c r="D6187" t="s">
        <v>10</v>
      </c>
      <c r="E6187" t="str">
        <f>"$ 4,059"</f>
        <v>$ 4,059</v>
      </c>
      <c r="F6187" s="1">
        <v>6433</v>
      </c>
    </row>
    <row r="6188" spans="1:6">
      <c r="A6188" t="s">
        <v>6179</v>
      </c>
      <c r="B6188" t="str">
        <f t="shared" si="261"/>
        <v>0.00053%</v>
      </c>
      <c r="C6188" t="s">
        <v>10</v>
      </c>
      <c r="D6188" t="s">
        <v>10</v>
      </c>
      <c r="E6188" t="str">
        <f>"$ 4,127"</f>
        <v>$ 4,127</v>
      </c>
      <c r="F6188">
        <v>389</v>
      </c>
    </row>
    <row r="6189" spans="1:6">
      <c r="A6189" t="s">
        <v>6180</v>
      </c>
      <c r="B6189" t="str">
        <f t="shared" si="261"/>
        <v>0.00053%</v>
      </c>
      <c r="C6189" t="s">
        <v>10</v>
      </c>
      <c r="D6189" t="s">
        <v>10</v>
      </c>
      <c r="E6189" t="str">
        <f>"$ 4,058"</f>
        <v>$ 4,058</v>
      </c>
      <c r="F6189">
        <v>302</v>
      </c>
    </row>
    <row r="6190" spans="1:6">
      <c r="A6190" t="s">
        <v>6181</v>
      </c>
      <c r="B6190" t="str">
        <f t="shared" si="261"/>
        <v>0.00053%</v>
      </c>
      <c r="C6190" t="s">
        <v>10</v>
      </c>
      <c r="D6190" t="s">
        <v>10</v>
      </c>
      <c r="E6190" t="str">
        <f>"$ 4,076"</f>
        <v>$ 4,076</v>
      </c>
      <c r="F6190">
        <v>620</v>
      </c>
    </row>
    <row r="6191" spans="1:6">
      <c r="A6191" t="s">
        <v>6182</v>
      </c>
      <c r="B6191" t="str">
        <f t="shared" si="261"/>
        <v>0.00053%</v>
      </c>
      <c r="C6191" t="s">
        <v>10</v>
      </c>
      <c r="D6191" t="s">
        <v>10</v>
      </c>
      <c r="E6191" t="str">
        <f>"$ 4,114"</f>
        <v>$ 4,114</v>
      </c>
      <c r="F6191" s="1">
        <v>2527</v>
      </c>
    </row>
    <row r="6192" spans="1:6">
      <c r="A6192" t="s">
        <v>6183</v>
      </c>
      <c r="B6192" t="str">
        <f t="shared" si="261"/>
        <v>0.00053%</v>
      </c>
      <c r="C6192" t="s">
        <v>10</v>
      </c>
      <c r="D6192" t="s">
        <v>10</v>
      </c>
      <c r="E6192" t="str">
        <f>"$ 4,072"</f>
        <v>$ 4,072</v>
      </c>
      <c r="F6192">
        <v>181</v>
      </c>
    </row>
    <row r="6193" spans="1:6">
      <c r="A6193" t="s">
        <v>6184</v>
      </c>
      <c r="B6193" t="str">
        <f t="shared" si="261"/>
        <v>0.00053%</v>
      </c>
      <c r="C6193" t="s">
        <v>10</v>
      </c>
      <c r="D6193" t="s">
        <v>10</v>
      </c>
      <c r="E6193" t="str">
        <f>"$ 4,068"</f>
        <v>$ 4,068</v>
      </c>
      <c r="F6193">
        <v>957</v>
      </c>
    </row>
    <row r="6194" spans="1:6">
      <c r="A6194" t="s">
        <v>6185</v>
      </c>
      <c r="B6194" t="str">
        <f t="shared" si="261"/>
        <v>0.00053%</v>
      </c>
      <c r="C6194" t="s">
        <v>10</v>
      </c>
      <c r="D6194" t="s">
        <v>10</v>
      </c>
      <c r="E6194" t="str">
        <f>"$ 4,087"</f>
        <v>$ 4,087</v>
      </c>
      <c r="F6194">
        <v>180</v>
      </c>
    </row>
    <row r="6195" spans="1:6">
      <c r="A6195" t="s">
        <v>6186</v>
      </c>
      <c r="B6195" t="str">
        <f t="shared" si="261"/>
        <v>0.00053%</v>
      </c>
      <c r="C6195" t="s">
        <v>10</v>
      </c>
      <c r="D6195" t="s">
        <v>10</v>
      </c>
      <c r="E6195" t="str">
        <f>"$ 4,116"</f>
        <v>$ 4,116</v>
      </c>
      <c r="F6195" s="1">
        <v>3165</v>
      </c>
    </row>
    <row r="6196" spans="1:6">
      <c r="A6196" t="s">
        <v>6187</v>
      </c>
      <c r="B6196" t="str">
        <f t="shared" si="261"/>
        <v>0.00053%</v>
      </c>
      <c r="C6196" t="s">
        <v>10</v>
      </c>
      <c r="D6196" t="s">
        <v>10</v>
      </c>
      <c r="E6196" t="str">
        <f>"$ 4,081"</f>
        <v>$ 4,081</v>
      </c>
      <c r="F6196" s="1">
        <v>2601</v>
      </c>
    </row>
    <row r="6197" spans="1:6">
      <c r="A6197" t="s">
        <v>6188</v>
      </c>
      <c r="B6197" t="str">
        <f t="shared" si="261"/>
        <v>0.00053%</v>
      </c>
      <c r="C6197" t="s">
        <v>10</v>
      </c>
      <c r="D6197" t="s">
        <v>10</v>
      </c>
      <c r="E6197" t="str">
        <f>"$ 4,113"</f>
        <v>$ 4,113</v>
      </c>
      <c r="F6197" s="1">
        <v>9819</v>
      </c>
    </row>
    <row r="6198" spans="1:6">
      <c r="A6198" t="s">
        <v>6189</v>
      </c>
      <c r="B6198" t="str">
        <f t="shared" si="261"/>
        <v>0.00053%</v>
      </c>
      <c r="C6198" t="s">
        <v>10</v>
      </c>
      <c r="D6198" t="s">
        <v>10</v>
      </c>
      <c r="E6198" t="str">
        <f>"$ 4,092"</f>
        <v>$ 4,092</v>
      </c>
      <c r="F6198">
        <v>55</v>
      </c>
    </row>
    <row r="6199" spans="1:6">
      <c r="A6199" t="s">
        <v>6190</v>
      </c>
      <c r="B6199" t="str">
        <f t="shared" si="261"/>
        <v>0.00053%</v>
      </c>
      <c r="C6199" t="s">
        <v>10</v>
      </c>
      <c r="D6199" t="s">
        <v>10</v>
      </c>
      <c r="E6199" t="str">
        <f>"$ 4,080"</f>
        <v>$ 4,080</v>
      </c>
      <c r="F6199">
        <v>184</v>
      </c>
    </row>
    <row r="6200" spans="1:6">
      <c r="A6200" t="s">
        <v>6191</v>
      </c>
      <c r="B6200" t="str">
        <f t="shared" si="261"/>
        <v>0.00053%</v>
      </c>
      <c r="C6200" t="s">
        <v>10</v>
      </c>
      <c r="D6200" t="s">
        <v>10</v>
      </c>
      <c r="E6200" t="str">
        <f>"$ 4,114"</f>
        <v>$ 4,114</v>
      </c>
      <c r="F6200">
        <v>939</v>
      </c>
    </row>
    <row r="6201" spans="1:6">
      <c r="A6201" t="s">
        <v>6192</v>
      </c>
      <c r="B6201" t="str">
        <f t="shared" si="261"/>
        <v>0.00053%</v>
      </c>
      <c r="C6201" t="s">
        <v>10</v>
      </c>
      <c r="D6201" t="s">
        <v>10</v>
      </c>
      <c r="E6201" t="str">
        <f>"$ 4,116"</f>
        <v>$ 4,116</v>
      </c>
      <c r="F6201">
        <v>60</v>
      </c>
    </row>
    <row r="6202" spans="1:6">
      <c r="A6202" t="s">
        <v>6193</v>
      </c>
      <c r="B6202" t="str">
        <f t="shared" si="261"/>
        <v>0.00053%</v>
      </c>
      <c r="C6202" t="s">
        <v>10</v>
      </c>
      <c r="D6202" t="s">
        <v>10</v>
      </c>
      <c r="E6202" t="str">
        <f>"$ 4,117"</f>
        <v>$ 4,117</v>
      </c>
      <c r="F6202">
        <v>367</v>
      </c>
    </row>
    <row r="6203" spans="1:6">
      <c r="A6203" t="s">
        <v>6194</v>
      </c>
      <c r="B6203" t="str">
        <f t="shared" si="261"/>
        <v>0.00053%</v>
      </c>
      <c r="C6203" t="s">
        <v>10</v>
      </c>
      <c r="D6203" t="s">
        <v>10</v>
      </c>
      <c r="E6203" t="str">
        <f>"$ 4,088"</f>
        <v>$ 4,088</v>
      </c>
      <c r="F6203">
        <v>957</v>
      </c>
    </row>
    <row r="6204" spans="1:6">
      <c r="A6204" t="s">
        <v>6195</v>
      </c>
      <c r="B6204" t="str">
        <f t="shared" si="261"/>
        <v>0.00053%</v>
      </c>
      <c r="C6204" t="s">
        <v>10</v>
      </c>
      <c r="D6204" t="s">
        <v>10</v>
      </c>
      <c r="E6204" t="str">
        <f>"$ 4,107"</f>
        <v>$ 4,107</v>
      </c>
      <c r="F6204" s="1">
        <v>2154</v>
      </c>
    </row>
    <row r="6205" spans="1:6">
      <c r="A6205" t="s">
        <v>6196</v>
      </c>
      <c r="B6205" t="str">
        <f t="shared" si="261"/>
        <v>0.00053%</v>
      </c>
      <c r="C6205" t="s">
        <v>10</v>
      </c>
      <c r="D6205" t="s">
        <v>10</v>
      </c>
      <c r="E6205" t="str">
        <f>"$ 4,105"</f>
        <v>$ 4,105</v>
      </c>
      <c r="F6205">
        <v>485</v>
      </c>
    </row>
    <row r="6206" spans="1:6">
      <c r="A6206" t="s">
        <v>6197</v>
      </c>
      <c r="B6206" t="str">
        <f t="shared" si="261"/>
        <v>0.00053%</v>
      </c>
      <c r="C6206" t="s">
        <v>10</v>
      </c>
      <c r="D6206" t="s">
        <v>10</v>
      </c>
      <c r="E6206" t="str">
        <f>"$ 4,096"</f>
        <v>$ 4,096</v>
      </c>
      <c r="F6206" s="1">
        <v>1554</v>
      </c>
    </row>
    <row r="6207" spans="1:6">
      <c r="A6207" t="s">
        <v>6198</v>
      </c>
      <c r="B6207" t="str">
        <f t="shared" si="261"/>
        <v>0.00053%</v>
      </c>
      <c r="C6207" t="s">
        <v>10</v>
      </c>
      <c r="D6207" t="s">
        <v>10</v>
      </c>
      <c r="E6207" t="str">
        <f>"$ 4,067"</f>
        <v>$ 4,067</v>
      </c>
      <c r="F6207" s="1">
        <v>75170</v>
      </c>
    </row>
    <row r="6208" spans="1:6">
      <c r="A6208" t="s">
        <v>6199</v>
      </c>
      <c r="B6208" t="str">
        <f t="shared" si="261"/>
        <v>0.00053%</v>
      </c>
      <c r="C6208" t="s">
        <v>10</v>
      </c>
      <c r="D6208" t="s">
        <v>10</v>
      </c>
      <c r="E6208" t="str">
        <f>"$ 4,127"</f>
        <v>$ 4,127</v>
      </c>
      <c r="F6208" s="1">
        <v>7257</v>
      </c>
    </row>
    <row r="6209" spans="1:6">
      <c r="A6209" t="s">
        <v>6200</v>
      </c>
      <c r="B6209" t="str">
        <f t="shared" si="261"/>
        <v>0.00053%</v>
      </c>
      <c r="C6209" t="s">
        <v>10</v>
      </c>
      <c r="D6209" t="s">
        <v>10</v>
      </c>
      <c r="E6209" t="str">
        <f>"$ 4,130"</f>
        <v>$ 4,130</v>
      </c>
      <c r="F6209">
        <v>132</v>
      </c>
    </row>
    <row r="6210" spans="1:6">
      <c r="A6210" t="s">
        <v>6201</v>
      </c>
      <c r="B6210" t="str">
        <f t="shared" si="261"/>
        <v>0.00053%</v>
      </c>
      <c r="C6210" t="s">
        <v>10</v>
      </c>
      <c r="D6210" t="s">
        <v>10</v>
      </c>
      <c r="E6210" t="str">
        <f>"$ 4,090"</f>
        <v>$ 4,090</v>
      </c>
      <c r="F6210">
        <v>103</v>
      </c>
    </row>
    <row r="6211" spans="1:6">
      <c r="A6211" t="s">
        <v>6202</v>
      </c>
      <c r="B6211" t="str">
        <f t="shared" si="261"/>
        <v>0.00053%</v>
      </c>
      <c r="C6211" t="s">
        <v>10</v>
      </c>
      <c r="D6211" t="s">
        <v>10</v>
      </c>
      <c r="E6211" t="str">
        <f>"$ 4,093"</f>
        <v>$ 4,093</v>
      </c>
      <c r="F6211">
        <v>72</v>
      </c>
    </row>
    <row r="6212" spans="1:6">
      <c r="A6212" t="s">
        <v>6203</v>
      </c>
      <c r="B6212" t="str">
        <f t="shared" si="261"/>
        <v>0.00053%</v>
      </c>
      <c r="C6212" t="s">
        <v>10</v>
      </c>
      <c r="D6212" t="s">
        <v>10</v>
      </c>
      <c r="E6212" t="str">
        <f>"$ 4,095"</f>
        <v>$ 4,095</v>
      </c>
      <c r="F6212">
        <v>218</v>
      </c>
    </row>
    <row r="6213" spans="1:6">
      <c r="A6213" t="s">
        <v>6204</v>
      </c>
      <c r="B6213" t="str">
        <f t="shared" si="261"/>
        <v>0.00053%</v>
      </c>
      <c r="C6213" t="s">
        <v>10</v>
      </c>
      <c r="D6213" t="s">
        <v>10</v>
      </c>
      <c r="E6213" t="str">
        <f>"$ 4,107"</f>
        <v>$ 4,107</v>
      </c>
      <c r="F6213" s="1">
        <v>1346</v>
      </c>
    </row>
    <row r="6214" spans="1:6">
      <c r="A6214" t="s">
        <v>6205</v>
      </c>
      <c r="B6214" t="str">
        <f t="shared" si="261"/>
        <v>0.00053%</v>
      </c>
      <c r="C6214" t="s">
        <v>10</v>
      </c>
      <c r="D6214" t="s">
        <v>10</v>
      </c>
      <c r="E6214" t="str">
        <f>"$ 4,103"</f>
        <v>$ 4,103</v>
      </c>
      <c r="F6214" s="1">
        <v>1907</v>
      </c>
    </row>
    <row r="6215" spans="1:6">
      <c r="A6215" t="s">
        <v>6206</v>
      </c>
      <c r="B6215" t="str">
        <f t="shared" si="261"/>
        <v>0.00053%</v>
      </c>
      <c r="C6215" t="s">
        <v>10</v>
      </c>
      <c r="D6215" t="s">
        <v>10</v>
      </c>
      <c r="E6215" t="str">
        <f>"$ 4,076"</f>
        <v>$ 4,076</v>
      </c>
      <c r="F6215">
        <v>164</v>
      </c>
    </row>
    <row r="6216" spans="1:6">
      <c r="A6216" t="s">
        <v>6207</v>
      </c>
      <c r="B6216" t="str">
        <f t="shared" si="261"/>
        <v>0.00053%</v>
      </c>
      <c r="C6216" t="s">
        <v>10</v>
      </c>
      <c r="D6216" t="s">
        <v>10</v>
      </c>
      <c r="E6216" t="str">
        <f>"$ 4,072"</f>
        <v>$ 4,072</v>
      </c>
      <c r="F6216">
        <v>175</v>
      </c>
    </row>
    <row r="6217" spans="1:6">
      <c r="A6217" t="s">
        <v>6208</v>
      </c>
      <c r="B6217" t="str">
        <f t="shared" si="261"/>
        <v>0.00053%</v>
      </c>
      <c r="C6217" t="s">
        <v>10</v>
      </c>
      <c r="D6217" t="s">
        <v>10</v>
      </c>
      <c r="E6217" t="str">
        <f>"$ 4,117"</f>
        <v>$ 4,117</v>
      </c>
      <c r="F6217">
        <v>543</v>
      </c>
    </row>
    <row r="6218" spans="1:6">
      <c r="A6218" t="s">
        <v>6209</v>
      </c>
      <c r="B6218" t="str">
        <f t="shared" ref="B6218:B6248" si="262">"0.00052%"</f>
        <v>0.00052%</v>
      </c>
      <c r="C6218" t="s">
        <v>10</v>
      </c>
      <c r="D6218" t="s">
        <v>10</v>
      </c>
      <c r="E6218" t="str">
        <f>"$ 4,007"</f>
        <v>$ 4,007</v>
      </c>
      <c r="F6218">
        <v>176</v>
      </c>
    </row>
    <row r="6219" spans="1:6">
      <c r="A6219" t="s">
        <v>6210</v>
      </c>
      <c r="B6219" t="str">
        <f t="shared" si="262"/>
        <v>0.00052%</v>
      </c>
      <c r="C6219" t="s">
        <v>10</v>
      </c>
      <c r="D6219" t="s">
        <v>10</v>
      </c>
      <c r="E6219" t="str">
        <f>"$ 3,995"</f>
        <v>$ 3,995</v>
      </c>
      <c r="F6219">
        <v>208</v>
      </c>
    </row>
    <row r="6220" spans="1:6">
      <c r="A6220" t="s">
        <v>6211</v>
      </c>
      <c r="B6220" t="str">
        <f t="shared" si="262"/>
        <v>0.00052%</v>
      </c>
      <c r="C6220" t="s">
        <v>10</v>
      </c>
      <c r="D6220" t="s">
        <v>10</v>
      </c>
      <c r="E6220" t="str">
        <f>"$ 4,014"</f>
        <v>$ 4,014</v>
      </c>
      <c r="F6220">
        <v>43</v>
      </c>
    </row>
    <row r="6221" spans="1:6">
      <c r="A6221" t="s">
        <v>6212</v>
      </c>
      <c r="B6221" t="str">
        <f t="shared" si="262"/>
        <v>0.00052%</v>
      </c>
      <c r="C6221" t="s">
        <v>10</v>
      </c>
      <c r="D6221" t="s">
        <v>10</v>
      </c>
      <c r="E6221" t="str">
        <f>"$ 4,027"</f>
        <v>$ 4,027</v>
      </c>
      <c r="F6221" s="1">
        <v>2226</v>
      </c>
    </row>
    <row r="6222" spans="1:6">
      <c r="A6222" t="s">
        <v>6213</v>
      </c>
      <c r="B6222" t="str">
        <f t="shared" si="262"/>
        <v>0.00052%</v>
      </c>
      <c r="C6222" t="s">
        <v>10</v>
      </c>
      <c r="D6222" t="s">
        <v>10</v>
      </c>
      <c r="E6222" t="str">
        <f>"$ 4,030"</f>
        <v>$ 4,030</v>
      </c>
      <c r="F6222" s="1">
        <v>49415</v>
      </c>
    </row>
    <row r="6223" spans="1:6">
      <c r="A6223" t="s">
        <v>6214</v>
      </c>
      <c r="B6223" t="str">
        <f t="shared" si="262"/>
        <v>0.00052%</v>
      </c>
      <c r="C6223" t="s">
        <v>10</v>
      </c>
      <c r="D6223" t="s">
        <v>10</v>
      </c>
      <c r="E6223" t="str">
        <f>"$ 3,989"</f>
        <v>$ 3,989</v>
      </c>
      <c r="F6223">
        <v>83</v>
      </c>
    </row>
    <row r="6224" spans="1:6">
      <c r="A6224" t="s">
        <v>6215</v>
      </c>
      <c r="B6224" t="str">
        <f t="shared" si="262"/>
        <v>0.00052%</v>
      </c>
      <c r="C6224" t="s">
        <v>10</v>
      </c>
      <c r="D6224" t="s">
        <v>10</v>
      </c>
      <c r="E6224" t="str">
        <f>"$ 3,982"</f>
        <v>$ 3,982</v>
      </c>
      <c r="F6224">
        <v>780</v>
      </c>
    </row>
    <row r="6225" spans="1:6">
      <c r="A6225" t="s">
        <v>6216</v>
      </c>
      <c r="B6225" t="str">
        <f t="shared" si="262"/>
        <v>0.00052%</v>
      </c>
      <c r="C6225" t="s">
        <v>10</v>
      </c>
      <c r="D6225" t="s">
        <v>10</v>
      </c>
      <c r="E6225" t="str">
        <f>"$ 4,018"</f>
        <v>$ 4,018</v>
      </c>
      <c r="F6225">
        <v>172</v>
      </c>
    </row>
    <row r="6226" spans="1:6">
      <c r="A6226" t="s">
        <v>6217</v>
      </c>
      <c r="B6226" t="str">
        <f t="shared" si="262"/>
        <v>0.00052%</v>
      </c>
      <c r="C6226" t="s">
        <v>10</v>
      </c>
      <c r="D6226" t="s">
        <v>10</v>
      </c>
      <c r="E6226" t="str">
        <f>"$ 3,999"</f>
        <v>$ 3,999</v>
      </c>
      <c r="F6226" s="1">
        <v>2031</v>
      </c>
    </row>
    <row r="6227" spans="1:6">
      <c r="A6227" t="s">
        <v>6218</v>
      </c>
      <c r="B6227" t="str">
        <f t="shared" si="262"/>
        <v>0.00052%</v>
      </c>
      <c r="C6227" t="s">
        <v>10</v>
      </c>
      <c r="D6227" t="s">
        <v>10</v>
      </c>
      <c r="E6227" t="str">
        <f>"$ 4,001"</f>
        <v>$ 4,001</v>
      </c>
      <c r="F6227">
        <v>684</v>
      </c>
    </row>
    <row r="6228" spans="1:6">
      <c r="A6228" t="s">
        <v>6219</v>
      </c>
      <c r="B6228" t="str">
        <f t="shared" si="262"/>
        <v>0.00052%</v>
      </c>
      <c r="C6228" t="s">
        <v>10</v>
      </c>
      <c r="D6228" t="s">
        <v>10</v>
      </c>
      <c r="E6228" t="str">
        <f>"$ 3,978"</f>
        <v>$ 3,978</v>
      </c>
      <c r="F6228" s="1">
        <v>87797</v>
      </c>
    </row>
    <row r="6229" spans="1:6">
      <c r="A6229" t="s">
        <v>6220</v>
      </c>
      <c r="B6229" t="str">
        <f t="shared" si="262"/>
        <v>0.00052%</v>
      </c>
      <c r="C6229" t="s">
        <v>10</v>
      </c>
      <c r="D6229" t="s">
        <v>10</v>
      </c>
      <c r="E6229" t="str">
        <f>"$ 4,017"</f>
        <v>$ 4,017</v>
      </c>
      <c r="F6229">
        <v>104</v>
      </c>
    </row>
    <row r="6230" spans="1:6">
      <c r="A6230" t="s">
        <v>6221</v>
      </c>
      <c r="B6230" t="str">
        <f t="shared" si="262"/>
        <v>0.00052%</v>
      </c>
      <c r="C6230" t="s">
        <v>10</v>
      </c>
      <c r="D6230" t="s">
        <v>10</v>
      </c>
      <c r="E6230" t="str">
        <f>"$ 3,991"</f>
        <v>$ 3,991</v>
      </c>
      <c r="F6230" s="1">
        <v>3053</v>
      </c>
    </row>
    <row r="6231" spans="1:6">
      <c r="A6231" t="s">
        <v>6222</v>
      </c>
      <c r="B6231" t="str">
        <f t="shared" si="262"/>
        <v>0.00052%</v>
      </c>
      <c r="C6231" t="s">
        <v>10</v>
      </c>
      <c r="D6231" t="s">
        <v>10</v>
      </c>
      <c r="E6231" t="str">
        <f>"$ 3,980"</f>
        <v>$ 3,980</v>
      </c>
      <c r="F6231" s="1">
        <v>1380</v>
      </c>
    </row>
    <row r="6232" spans="1:6">
      <c r="A6232" t="s">
        <v>6223</v>
      </c>
      <c r="B6232" t="str">
        <f t="shared" si="262"/>
        <v>0.00052%</v>
      </c>
      <c r="C6232" t="s">
        <v>10</v>
      </c>
      <c r="D6232" t="s">
        <v>10</v>
      </c>
      <c r="E6232" t="str">
        <f>"$ 4,043"</f>
        <v>$ 4,043</v>
      </c>
      <c r="F6232">
        <v>122</v>
      </c>
    </row>
    <row r="6233" spans="1:6">
      <c r="A6233" t="s">
        <v>6224</v>
      </c>
      <c r="B6233" t="str">
        <f t="shared" si="262"/>
        <v>0.00052%</v>
      </c>
      <c r="C6233" t="s">
        <v>10</v>
      </c>
      <c r="D6233" t="s">
        <v>10</v>
      </c>
      <c r="E6233" t="str">
        <f>"$ 3,986"</f>
        <v>$ 3,986</v>
      </c>
      <c r="F6233">
        <v>143</v>
      </c>
    </row>
    <row r="6234" spans="1:6">
      <c r="A6234" t="s">
        <v>6225</v>
      </c>
      <c r="B6234" t="str">
        <f t="shared" si="262"/>
        <v>0.00052%</v>
      </c>
      <c r="C6234" t="s">
        <v>10</v>
      </c>
      <c r="D6234" t="s">
        <v>10</v>
      </c>
      <c r="E6234" t="str">
        <f>"$ 4,008"</f>
        <v>$ 4,008</v>
      </c>
      <c r="F6234">
        <v>155</v>
      </c>
    </row>
    <row r="6235" spans="1:6">
      <c r="A6235" t="s">
        <v>6226</v>
      </c>
      <c r="B6235" t="str">
        <f t="shared" si="262"/>
        <v>0.00052%</v>
      </c>
      <c r="C6235" t="s">
        <v>10</v>
      </c>
      <c r="D6235" t="s">
        <v>10</v>
      </c>
      <c r="E6235" t="str">
        <f>"$ 4,008"</f>
        <v>$ 4,008</v>
      </c>
      <c r="F6235">
        <v>187</v>
      </c>
    </row>
    <row r="6236" spans="1:6">
      <c r="A6236" t="s">
        <v>6227</v>
      </c>
      <c r="B6236" t="str">
        <f t="shared" si="262"/>
        <v>0.00052%</v>
      </c>
      <c r="C6236" t="s">
        <v>10</v>
      </c>
      <c r="D6236" t="s">
        <v>10</v>
      </c>
      <c r="E6236" t="str">
        <f>"$ 4,016"</f>
        <v>$ 4,016</v>
      </c>
      <c r="F6236">
        <v>179</v>
      </c>
    </row>
    <row r="6237" spans="1:6">
      <c r="A6237" t="s">
        <v>6228</v>
      </c>
      <c r="B6237" t="str">
        <f t="shared" si="262"/>
        <v>0.00052%</v>
      </c>
      <c r="C6237" t="s">
        <v>10</v>
      </c>
      <c r="D6237" t="s">
        <v>10</v>
      </c>
      <c r="E6237" t="str">
        <f>"$ 4,015"</f>
        <v>$ 4,015</v>
      </c>
      <c r="F6237" s="1">
        <v>1571</v>
      </c>
    </row>
    <row r="6238" spans="1:6">
      <c r="A6238" t="s">
        <v>6229</v>
      </c>
      <c r="B6238" t="str">
        <f t="shared" si="262"/>
        <v>0.00052%</v>
      </c>
      <c r="C6238" t="s">
        <v>10</v>
      </c>
      <c r="D6238" t="s">
        <v>10</v>
      </c>
      <c r="E6238" t="str">
        <f>"$ 4,035"</f>
        <v>$ 4,035</v>
      </c>
      <c r="F6238">
        <v>248</v>
      </c>
    </row>
    <row r="6239" spans="1:6">
      <c r="A6239" t="s">
        <v>6230</v>
      </c>
      <c r="B6239" t="str">
        <f t="shared" si="262"/>
        <v>0.00052%</v>
      </c>
      <c r="C6239" t="s">
        <v>10</v>
      </c>
      <c r="D6239" t="s">
        <v>10</v>
      </c>
      <c r="E6239" t="str">
        <f>"$ 3,982"</f>
        <v>$ 3,982</v>
      </c>
      <c r="F6239">
        <v>115</v>
      </c>
    </row>
    <row r="6240" spans="1:6">
      <c r="A6240" t="s">
        <v>6231</v>
      </c>
      <c r="B6240" t="str">
        <f t="shared" si="262"/>
        <v>0.00052%</v>
      </c>
      <c r="C6240" t="s">
        <v>10</v>
      </c>
      <c r="D6240" t="s">
        <v>10</v>
      </c>
      <c r="E6240" t="str">
        <f>"$ 4,012"</f>
        <v>$ 4,012</v>
      </c>
      <c r="F6240" s="1">
        <v>14050</v>
      </c>
    </row>
    <row r="6241" spans="1:6">
      <c r="A6241" t="s">
        <v>6232</v>
      </c>
      <c r="B6241" t="str">
        <f t="shared" si="262"/>
        <v>0.00052%</v>
      </c>
      <c r="C6241" t="s">
        <v>10</v>
      </c>
      <c r="D6241" t="s">
        <v>10</v>
      </c>
      <c r="E6241" t="str">
        <f>"$ 4,027"</f>
        <v>$ 4,027</v>
      </c>
      <c r="F6241" s="1">
        <v>3235</v>
      </c>
    </row>
    <row r="6242" spans="1:6">
      <c r="A6242" t="s">
        <v>6233</v>
      </c>
      <c r="B6242" t="str">
        <f t="shared" si="262"/>
        <v>0.00052%</v>
      </c>
      <c r="C6242" t="s">
        <v>10</v>
      </c>
      <c r="D6242" t="s">
        <v>10</v>
      </c>
      <c r="E6242" t="str">
        <f>"$ 4,016"</f>
        <v>$ 4,016</v>
      </c>
      <c r="F6242">
        <v>259</v>
      </c>
    </row>
    <row r="6243" spans="1:6">
      <c r="A6243" t="s">
        <v>6234</v>
      </c>
      <c r="B6243" t="str">
        <f t="shared" si="262"/>
        <v>0.00052%</v>
      </c>
      <c r="C6243" t="s">
        <v>10</v>
      </c>
      <c r="D6243" t="s">
        <v>10</v>
      </c>
      <c r="E6243" t="str">
        <f>"$ 4,049"</f>
        <v>$ 4,049</v>
      </c>
      <c r="F6243" s="1">
        <v>1893</v>
      </c>
    </row>
    <row r="6244" spans="1:6">
      <c r="A6244" t="s">
        <v>6235</v>
      </c>
      <c r="B6244" t="str">
        <f t="shared" si="262"/>
        <v>0.00052%</v>
      </c>
      <c r="C6244" t="s">
        <v>10</v>
      </c>
      <c r="D6244" t="s">
        <v>10</v>
      </c>
      <c r="E6244" t="str">
        <f>"$ 4,005"</f>
        <v>$ 4,005</v>
      </c>
      <c r="F6244" s="1">
        <v>2050</v>
      </c>
    </row>
    <row r="6245" spans="1:6">
      <c r="A6245" t="s">
        <v>6236</v>
      </c>
      <c r="B6245" t="str">
        <f t="shared" si="262"/>
        <v>0.00052%</v>
      </c>
      <c r="C6245" t="s">
        <v>10</v>
      </c>
      <c r="D6245" t="s">
        <v>10</v>
      </c>
      <c r="E6245" t="str">
        <f>"$ 4,002"</f>
        <v>$ 4,002</v>
      </c>
      <c r="F6245" s="1">
        <v>8872</v>
      </c>
    </row>
    <row r="6246" spans="1:6">
      <c r="A6246" t="s">
        <v>6237</v>
      </c>
      <c r="B6246" t="str">
        <f t="shared" si="262"/>
        <v>0.00052%</v>
      </c>
      <c r="C6246" t="s">
        <v>10</v>
      </c>
      <c r="D6246" t="s">
        <v>10</v>
      </c>
      <c r="E6246" t="str">
        <f>"$ 3,988"</f>
        <v>$ 3,988</v>
      </c>
      <c r="F6246" s="1">
        <v>6838</v>
      </c>
    </row>
    <row r="6247" spans="1:6">
      <c r="A6247" t="s">
        <v>6238</v>
      </c>
      <c r="B6247" t="str">
        <f t="shared" si="262"/>
        <v>0.00052%</v>
      </c>
      <c r="C6247" t="s">
        <v>10</v>
      </c>
      <c r="D6247" t="s">
        <v>10</v>
      </c>
      <c r="E6247" t="str">
        <f>"$ 3,982"</f>
        <v>$ 3,982</v>
      </c>
      <c r="F6247">
        <v>353</v>
      </c>
    </row>
    <row r="6248" spans="1:6">
      <c r="A6248" t="s">
        <v>6239</v>
      </c>
      <c r="B6248" t="str">
        <f t="shared" si="262"/>
        <v>0.00052%</v>
      </c>
      <c r="C6248" t="s">
        <v>10</v>
      </c>
      <c r="D6248" t="s">
        <v>10</v>
      </c>
      <c r="E6248" t="str">
        <f>"$ 3,991"</f>
        <v>$ 3,991</v>
      </c>
      <c r="F6248" s="1">
        <v>1351</v>
      </c>
    </row>
    <row r="6249" spans="1:6">
      <c r="A6249" t="s">
        <v>6240</v>
      </c>
      <c r="B6249" t="str">
        <f t="shared" ref="B6249:B6283" si="263">"0.00051%"</f>
        <v>0.00051%</v>
      </c>
      <c r="C6249" t="s">
        <v>10</v>
      </c>
      <c r="D6249" t="s">
        <v>10</v>
      </c>
      <c r="E6249" t="str">
        <f>"$ 3,924"</f>
        <v>$ 3,924</v>
      </c>
      <c r="F6249">
        <v>346</v>
      </c>
    </row>
    <row r="6250" spans="1:6">
      <c r="A6250" t="s">
        <v>6241</v>
      </c>
      <c r="B6250" t="str">
        <f t="shared" si="263"/>
        <v>0.00051%</v>
      </c>
      <c r="C6250" t="s">
        <v>10</v>
      </c>
      <c r="D6250" t="s">
        <v>10</v>
      </c>
      <c r="E6250" t="str">
        <f>"$ 3,912"</f>
        <v>$ 3,912</v>
      </c>
      <c r="F6250">
        <v>145</v>
      </c>
    </row>
    <row r="6251" spans="1:6">
      <c r="A6251" t="s">
        <v>6242</v>
      </c>
      <c r="B6251" t="str">
        <f t="shared" si="263"/>
        <v>0.00051%</v>
      </c>
      <c r="C6251" t="s">
        <v>10</v>
      </c>
      <c r="D6251" t="s">
        <v>10</v>
      </c>
      <c r="E6251" t="str">
        <f>"$ 3,941"</f>
        <v>$ 3,941</v>
      </c>
      <c r="F6251" s="1">
        <v>1547</v>
      </c>
    </row>
    <row r="6252" spans="1:6">
      <c r="A6252" t="s">
        <v>6243</v>
      </c>
      <c r="B6252" t="str">
        <f t="shared" si="263"/>
        <v>0.00051%</v>
      </c>
      <c r="C6252" t="s">
        <v>10</v>
      </c>
      <c r="D6252" t="s">
        <v>10</v>
      </c>
      <c r="E6252" t="str">
        <f>"$ 3,946"</f>
        <v>$ 3,946</v>
      </c>
      <c r="F6252" s="1">
        <v>1071</v>
      </c>
    </row>
    <row r="6253" spans="1:6">
      <c r="A6253" t="s">
        <v>6244</v>
      </c>
      <c r="B6253" t="str">
        <f t="shared" si="263"/>
        <v>0.00051%</v>
      </c>
      <c r="C6253" t="s">
        <v>10</v>
      </c>
      <c r="D6253" t="s">
        <v>10</v>
      </c>
      <c r="E6253" t="str">
        <f>"$ 3,911"</f>
        <v>$ 3,911</v>
      </c>
      <c r="F6253" s="1">
        <v>3979</v>
      </c>
    </row>
    <row r="6254" spans="1:6">
      <c r="A6254" t="s">
        <v>6245</v>
      </c>
      <c r="B6254" t="str">
        <f t="shared" si="263"/>
        <v>0.00051%</v>
      </c>
      <c r="C6254" t="s">
        <v>10</v>
      </c>
      <c r="D6254" t="s">
        <v>10</v>
      </c>
      <c r="E6254" t="str">
        <f>"$ 3,948"</f>
        <v>$ 3,948</v>
      </c>
      <c r="F6254" s="1">
        <v>1835</v>
      </c>
    </row>
    <row r="6255" spans="1:6">
      <c r="A6255" t="s">
        <v>6246</v>
      </c>
      <c r="B6255" t="str">
        <f t="shared" si="263"/>
        <v>0.00051%</v>
      </c>
      <c r="C6255" t="s">
        <v>10</v>
      </c>
      <c r="D6255" t="s">
        <v>10</v>
      </c>
      <c r="E6255" t="str">
        <f>"$ 3,926"</f>
        <v>$ 3,926</v>
      </c>
      <c r="F6255">
        <v>9</v>
      </c>
    </row>
    <row r="6256" spans="1:6">
      <c r="A6256" t="s">
        <v>6247</v>
      </c>
      <c r="B6256" t="str">
        <f t="shared" si="263"/>
        <v>0.00051%</v>
      </c>
      <c r="C6256" t="s">
        <v>10</v>
      </c>
      <c r="D6256" t="s">
        <v>10</v>
      </c>
      <c r="E6256" t="str">
        <f>"$ 3,901"</f>
        <v>$ 3,901</v>
      </c>
      <c r="F6256">
        <v>410</v>
      </c>
    </row>
    <row r="6257" spans="1:6">
      <c r="A6257" t="s">
        <v>6248</v>
      </c>
      <c r="B6257" t="str">
        <f t="shared" si="263"/>
        <v>0.00051%</v>
      </c>
      <c r="C6257" t="s">
        <v>10</v>
      </c>
      <c r="D6257" t="s">
        <v>10</v>
      </c>
      <c r="E6257" t="str">
        <f>"$ 3,932"</f>
        <v>$ 3,932</v>
      </c>
      <c r="F6257" s="1">
        <v>3269</v>
      </c>
    </row>
    <row r="6258" spans="1:6">
      <c r="A6258" t="s">
        <v>6249</v>
      </c>
      <c r="B6258" t="str">
        <f t="shared" si="263"/>
        <v>0.00051%</v>
      </c>
      <c r="C6258" t="s">
        <v>10</v>
      </c>
      <c r="D6258" t="s">
        <v>10</v>
      </c>
      <c r="E6258" t="str">
        <f>"$ 3,901"</f>
        <v>$ 3,901</v>
      </c>
      <c r="F6258" s="1">
        <v>6087</v>
      </c>
    </row>
    <row r="6259" spans="1:6">
      <c r="A6259" t="s">
        <v>6250</v>
      </c>
      <c r="B6259" t="str">
        <f t="shared" si="263"/>
        <v>0.00051%</v>
      </c>
      <c r="C6259" t="s">
        <v>10</v>
      </c>
      <c r="D6259" t="s">
        <v>10</v>
      </c>
      <c r="E6259" t="str">
        <f>"$ 3,958"</f>
        <v>$ 3,958</v>
      </c>
      <c r="F6259" s="1">
        <v>2822</v>
      </c>
    </row>
    <row r="6260" spans="1:6">
      <c r="A6260" t="s">
        <v>6251</v>
      </c>
      <c r="B6260" t="str">
        <f t="shared" si="263"/>
        <v>0.00051%</v>
      </c>
      <c r="C6260" t="s">
        <v>10</v>
      </c>
      <c r="D6260" t="s">
        <v>10</v>
      </c>
      <c r="E6260" t="str">
        <f>"$ 3,927"</f>
        <v>$ 3,927</v>
      </c>
      <c r="F6260">
        <v>480</v>
      </c>
    </row>
    <row r="6261" spans="1:6">
      <c r="A6261" t="s">
        <v>6252</v>
      </c>
      <c r="B6261" t="str">
        <f t="shared" si="263"/>
        <v>0.00051%</v>
      </c>
      <c r="C6261" t="s">
        <v>10</v>
      </c>
      <c r="D6261" t="s">
        <v>10</v>
      </c>
      <c r="E6261" t="str">
        <f>"$ 3,953"</f>
        <v>$ 3,953</v>
      </c>
      <c r="F6261">
        <v>132</v>
      </c>
    </row>
    <row r="6262" spans="1:6">
      <c r="A6262" t="s">
        <v>6253</v>
      </c>
      <c r="B6262" t="str">
        <f t="shared" si="263"/>
        <v>0.00051%</v>
      </c>
      <c r="C6262" t="s">
        <v>10</v>
      </c>
      <c r="D6262" t="s">
        <v>10</v>
      </c>
      <c r="E6262" t="str">
        <f>"$ 3,957"</f>
        <v>$ 3,957</v>
      </c>
      <c r="F6262" s="1">
        <v>5181</v>
      </c>
    </row>
    <row r="6263" spans="1:6">
      <c r="A6263" t="s">
        <v>6254</v>
      </c>
      <c r="B6263" t="str">
        <f t="shared" si="263"/>
        <v>0.00051%</v>
      </c>
      <c r="C6263" t="s">
        <v>10</v>
      </c>
      <c r="D6263" t="s">
        <v>10</v>
      </c>
      <c r="E6263" t="str">
        <f>"$ 3,926"</f>
        <v>$ 3,926</v>
      </c>
      <c r="F6263">
        <v>946</v>
      </c>
    </row>
    <row r="6264" spans="1:6">
      <c r="A6264" t="s">
        <v>6255</v>
      </c>
      <c r="B6264" t="str">
        <f t="shared" si="263"/>
        <v>0.00051%</v>
      </c>
      <c r="C6264" t="s">
        <v>10</v>
      </c>
      <c r="D6264" t="s">
        <v>10</v>
      </c>
      <c r="E6264" t="str">
        <f>"$ 3,963"</f>
        <v>$ 3,963</v>
      </c>
      <c r="F6264">
        <v>244</v>
      </c>
    </row>
    <row r="6265" spans="1:6">
      <c r="A6265" t="s">
        <v>6256</v>
      </c>
      <c r="B6265" t="str">
        <f t="shared" si="263"/>
        <v>0.00051%</v>
      </c>
      <c r="C6265" t="s">
        <v>10</v>
      </c>
      <c r="D6265" t="s">
        <v>10</v>
      </c>
      <c r="E6265" t="str">
        <f>"$ 3,940"</f>
        <v>$ 3,940</v>
      </c>
      <c r="F6265" s="1">
        <v>4046</v>
      </c>
    </row>
    <row r="6266" spans="1:6">
      <c r="A6266" t="s">
        <v>6257</v>
      </c>
      <c r="B6266" t="str">
        <f t="shared" si="263"/>
        <v>0.00051%</v>
      </c>
      <c r="C6266" t="s">
        <v>10</v>
      </c>
      <c r="D6266" t="s">
        <v>10</v>
      </c>
      <c r="E6266" t="str">
        <f>"$ 3,927"</f>
        <v>$ 3,927</v>
      </c>
      <c r="F6266">
        <v>107</v>
      </c>
    </row>
    <row r="6267" spans="1:6">
      <c r="A6267" t="s">
        <v>6258</v>
      </c>
      <c r="B6267" t="str">
        <f t="shared" si="263"/>
        <v>0.00051%</v>
      </c>
      <c r="C6267" t="s">
        <v>10</v>
      </c>
      <c r="D6267" t="s">
        <v>10</v>
      </c>
      <c r="E6267" t="str">
        <f>"$ 3,975"</f>
        <v>$ 3,975</v>
      </c>
      <c r="F6267" s="1">
        <v>2166</v>
      </c>
    </row>
    <row r="6268" spans="1:6">
      <c r="A6268" t="s">
        <v>6259</v>
      </c>
      <c r="B6268" t="str">
        <f t="shared" si="263"/>
        <v>0.00051%</v>
      </c>
      <c r="C6268" t="s">
        <v>10</v>
      </c>
      <c r="D6268" t="s">
        <v>10</v>
      </c>
      <c r="E6268" t="str">
        <f>"$ 3,938"</f>
        <v>$ 3,938</v>
      </c>
      <c r="F6268">
        <v>170</v>
      </c>
    </row>
    <row r="6269" spans="1:6">
      <c r="A6269" t="s">
        <v>6260</v>
      </c>
      <c r="B6269" t="str">
        <f t="shared" si="263"/>
        <v>0.00051%</v>
      </c>
      <c r="C6269" t="s">
        <v>10</v>
      </c>
      <c r="D6269" t="s">
        <v>10</v>
      </c>
      <c r="E6269" t="str">
        <f>"$ 3,901"</f>
        <v>$ 3,901</v>
      </c>
      <c r="F6269">
        <v>495</v>
      </c>
    </row>
    <row r="6270" spans="1:6">
      <c r="A6270" t="s">
        <v>6261</v>
      </c>
      <c r="B6270" t="str">
        <f t="shared" si="263"/>
        <v>0.00051%</v>
      </c>
      <c r="C6270" t="s">
        <v>10</v>
      </c>
      <c r="D6270" t="s">
        <v>10</v>
      </c>
      <c r="E6270" t="str">
        <f>"$ 3,914"</f>
        <v>$ 3,914</v>
      </c>
      <c r="F6270" s="1">
        <v>2910</v>
      </c>
    </row>
    <row r="6271" spans="1:6">
      <c r="A6271" t="s">
        <v>6262</v>
      </c>
      <c r="B6271" t="str">
        <f t="shared" si="263"/>
        <v>0.00051%</v>
      </c>
      <c r="C6271" t="s">
        <v>10</v>
      </c>
      <c r="D6271" t="s">
        <v>10</v>
      </c>
      <c r="E6271" t="str">
        <f>"$ 3,928"</f>
        <v>$ 3,928</v>
      </c>
      <c r="F6271" s="1">
        <v>5598</v>
      </c>
    </row>
    <row r="6272" spans="1:6">
      <c r="A6272" t="s">
        <v>6263</v>
      </c>
      <c r="B6272" t="str">
        <f t="shared" si="263"/>
        <v>0.00051%</v>
      </c>
      <c r="C6272" t="s">
        <v>10</v>
      </c>
      <c r="D6272" t="s">
        <v>10</v>
      </c>
      <c r="E6272" t="str">
        <f>"$ 3,932"</f>
        <v>$ 3,932</v>
      </c>
      <c r="F6272" s="1">
        <v>10189</v>
      </c>
    </row>
    <row r="6273" spans="1:6">
      <c r="A6273" t="s">
        <v>6264</v>
      </c>
      <c r="B6273" t="str">
        <f t="shared" si="263"/>
        <v>0.00051%</v>
      </c>
      <c r="C6273" t="s">
        <v>10</v>
      </c>
      <c r="D6273" t="s">
        <v>10</v>
      </c>
      <c r="E6273" t="str">
        <f>"$ 3,926"</f>
        <v>$ 3,926</v>
      </c>
      <c r="F6273" s="1">
        <v>3130</v>
      </c>
    </row>
    <row r="6274" spans="1:6">
      <c r="A6274" t="s">
        <v>6265</v>
      </c>
      <c r="B6274" t="str">
        <f t="shared" si="263"/>
        <v>0.00051%</v>
      </c>
      <c r="C6274" t="s">
        <v>10</v>
      </c>
      <c r="D6274" t="s">
        <v>10</v>
      </c>
      <c r="E6274" t="str">
        <f>"$ 3,933"</f>
        <v>$ 3,933</v>
      </c>
      <c r="F6274">
        <v>653</v>
      </c>
    </row>
    <row r="6275" spans="1:6">
      <c r="A6275" t="s">
        <v>6266</v>
      </c>
      <c r="B6275" t="str">
        <f t="shared" si="263"/>
        <v>0.00051%</v>
      </c>
      <c r="C6275" t="s">
        <v>10</v>
      </c>
      <c r="D6275" t="s">
        <v>10</v>
      </c>
      <c r="E6275" t="str">
        <f>"$ 3,947"</f>
        <v>$ 3,947</v>
      </c>
      <c r="F6275">
        <v>110</v>
      </c>
    </row>
    <row r="6276" spans="1:6">
      <c r="A6276" t="s">
        <v>6267</v>
      </c>
      <c r="B6276" t="str">
        <f t="shared" si="263"/>
        <v>0.00051%</v>
      </c>
      <c r="C6276" t="s">
        <v>10</v>
      </c>
      <c r="D6276" t="s">
        <v>10</v>
      </c>
      <c r="E6276" t="str">
        <f>"$ 3,918"</f>
        <v>$ 3,918</v>
      </c>
      <c r="F6276">
        <v>781</v>
      </c>
    </row>
    <row r="6277" spans="1:6">
      <c r="A6277" t="s">
        <v>6268</v>
      </c>
      <c r="B6277" t="str">
        <f t="shared" si="263"/>
        <v>0.00051%</v>
      </c>
      <c r="C6277" t="s">
        <v>10</v>
      </c>
      <c r="D6277" t="s">
        <v>10</v>
      </c>
      <c r="E6277" t="str">
        <f>"$ 3,944"</f>
        <v>$ 3,944</v>
      </c>
      <c r="F6277" s="1">
        <v>1002</v>
      </c>
    </row>
    <row r="6278" spans="1:6">
      <c r="A6278" t="s">
        <v>6269</v>
      </c>
      <c r="B6278" t="str">
        <f t="shared" si="263"/>
        <v>0.00051%</v>
      </c>
      <c r="C6278" t="s">
        <v>10</v>
      </c>
      <c r="D6278" t="s">
        <v>10</v>
      </c>
      <c r="E6278" t="str">
        <f>"$ 3,948"</f>
        <v>$ 3,948</v>
      </c>
      <c r="F6278">
        <v>254</v>
      </c>
    </row>
    <row r="6279" spans="1:6">
      <c r="A6279" t="s">
        <v>6270</v>
      </c>
      <c r="B6279" t="str">
        <f t="shared" si="263"/>
        <v>0.00051%</v>
      </c>
      <c r="C6279" t="s">
        <v>10</v>
      </c>
      <c r="D6279" t="s">
        <v>10</v>
      </c>
      <c r="E6279" t="str">
        <f>"$ 3,948"</f>
        <v>$ 3,948</v>
      </c>
      <c r="F6279" s="1">
        <v>4438</v>
      </c>
    </row>
    <row r="6280" spans="1:6">
      <c r="A6280" t="s">
        <v>6271</v>
      </c>
      <c r="B6280" t="str">
        <f t="shared" si="263"/>
        <v>0.00051%</v>
      </c>
      <c r="C6280" t="s">
        <v>10</v>
      </c>
      <c r="D6280" t="s">
        <v>10</v>
      </c>
      <c r="E6280" t="str">
        <f>"$ 3,948"</f>
        <v>$ 3,948</v>
      </c>
      <c r="F6280">
        <v>140</v>
      </c>
    </row>
    <row r="6281" spans="1:6">
      <c r="A6281" t="s">
        <v>6272</v>
      </c>
      <c r="B6281" t="str">
        <f t="shared" si="263"/>
        <v>0.00051%</v>
      </c>
      <c r="C6281" t="s">
        <v>10</v>
      </c>
      <c r="D6281" t="s">
        <v>10</v>
      </c>
      <c r="E6281" t="str">
        <f>"$ 3,909"</f>
        <v>$ 3,909</v>
      </c>
      <c r="F6281">
        <v>210</v>
      </c>
    </row>
    <row r="6282" spans="1:6">
      <c r="A6282" t="s">
        <v>6273</v>
      </c>
      <c r="B6282" t="str">
        <f t="shared" si="263"/>
        <v>0.00051%</v>
      </c>
      <c r="C6282" t="s">
        <v>10</v>
      </c>
      <c r="D6282" t="s">
        <v>10</v>
      </c>
      <c r="E6282" t="str">
        <f>"$ 3,975"</f>
        <v>$ 3,975</v>
      </c>
      <c r="F6282">
        <v>44</v>
      </c>
    </row>
    <row r="6283" spans="1:6">
      <c r="A6283" t="s">
        <v>6274</v>
      </c>
      <c r="B6283" t="str">
        <f t="shared" si="263"/>
        <v>0.00051%</v>
      </c>
      <c r="C6283" t="s">
        <v>10</v>
      </c>
      <c r="D6283" t="s">
        <v>10</v>
      </c>
      <c r="E6283" t="str">
        <f>"$ 3,974"</f>
        <v>$ 3,974</v>
      </c>
      <c r="F6283">
        <v>159</v>
      </c>
    </row>
    <row r="6284" spans="1:6">
      <c r="A6284" t="s">
        <v>6275</v>
      </c>
      <c r="B6284" t="str">
        <f t="shared" ref="B6284:B6317" si="264">"0.00050%"</f>
        <v>0.00050%</v>
      </c>
      <c r="C6284" t="s">
        <v>10</v>
      </c>
      <c r="D6284" t="s">
        <v>10</v>
      </c>
      <c r="E6284" t="str">
        <f>"$ 3,844"</f>
        <v>$ 3,844</v>
      </c>
      <c r="F6284">
        <v>292</v>
      </c>
    </row>
    <row r="6285" spans="1:6">
      <c r="A6285" t="s">
        <v>6276</v>
      </c>
      <c r="B6285" t="str">
        <f t="shared" si="264"/>
        <v>0.00050%</v>
      </c>
      <c r="C6285" t="s">
        <v>10</v>
      </c>
      <c r="D6285" t="s">
        <v>10</v>
      </c>
      <c r="E6285" t="str">
        <f>"$ 3,890"</f>
        <v>$ 3,890</v>
      </c>
      <c r="F6285" s="1">
        <v>2232</v>
      </c>
    </row>
    <row r="6286" spans="1:6">
      <c r="A6286" t="s">
        <v>6277</v>
      </c>
      <c r="B6286" t="str">
        <f t="shared" si="264"/>
        <v>0.00050%</v>
      </c>
      <c r="C6286" t="s">
        <v>10</v>
      </c>
      <c r="D6286" t="s">
        <v>10</v>
      </c>
      <c r="E6286" t="str">
        <f>"$ 3,861"</f>
        <v>$ 3,861</v>
      </c>
      <c r="F6286">
        <v>178</v>
      </c>
    </row>
    <row r="6287" spans="1:6">
      <c r="A6287" t="s">
        <v>6278</v>
      </c>
      <c r="B6287" t="str">
        <f t="shared" si="264"/>
        <v>0.00050%</v>
      </c>
      <c r="C6287" t="s">
        <v>10</v>
      </c>
      <c r="D6287" t="s">
        <v>10</v>
      </c>
      <c r="E6287" t="str">
        <f>"$ 3,863"</f>
        <v>$ 3,863</v>
      </c>
      <c r="F6287" s="1">
        <v>1579</v>
      </c>
    </row>
    <row r="6288" spans="1:6">
      <c r="A6288" t="s">
        <v>6279</v>
      </c>
      <c r="B6288" t="str">
        <f t="shared" si="264"/>
        <v>0.00050%</v>
      </c>
      <c r="C6288" t="s">
        <v>10</v>
      </c>
      <c r="D6288" t="s">
        <v>10</v>
      </c>
      <c r="E6288" t="str">
        <f>"$ 3,894"</f>
        <v>$ 3,894</v>
      </c>
      <c r="F6288" s="1">
        <v>3640</v>
      </c>
    </row>
    <row r="6289" spans="1:6">
      <c r="A6289" t="s">
        <v>4471</v>
      </c>
      <c r="B6289" t="str">
        <f t="shared" si="264"/>
        <v>0.00050%</v>
      </c>
      <c r="C6289" t="s">
        <v>10</v>
      </c>
      <c r="D6289" t="s">
        <v>10</v>
      </c>
      <c r="E6289" t="str">
        <f>"$ 3,847"</f>
        <v>$ 3,847</v>
      </c>
      <c r="F6289" s="1">
        <v>3152</v>
      </c>
    </row>
    <row r="6290" spans="1:6">
      <c r="A6290" t="s">
        <v>6280</v>
      </c>
      <c r="B6290" t="str">
        <f t="shared" si="264"/>
        <v>0.00050%</v>
      </c>
      <c r="C6290" t="s">
        <v>10</v>
      </c>
      <c r="D6290" t="s">
        <v>10</v>
      </c>
      <c r="E6290" t="str">
        <f>"$ 3,870"</f>
        <v>$ 3,870</v>
      </c>
      <c r="F6290">
        <v>71</v>
      </c>
    </row>
    <row r="6291" spans="1:6">
      <c r="A6291" t="s">
        <v>6281</v>
      </c>
      <c r="B6291" t="str">
        <f t="shared" si="264"/>
        <v>0.00050%</v>
      </c>
      <c r="C6291" t="s">
        <v>10</v>
      </c>
      <c r="D6291" t="s">
        <v>10</v>
      </c>
      <c r="E6291" t="str">
        <f>"$ 3,840"</f>
        <v>$ 3,840</v>
      </c>
      <c r="F6291" s="1">
        <v>1542</v>
      </c>
    </row>
    <row r="6292" spans="1:6">
      <c r="A6292" t="s">
        <v>6282</v>
      </c>
      <c r="B6292" t="str">
        <f t="shared" si="264"/>
        <v>0.00050%</v>
      </c>
      <c r="C6292" t="s">
        <v>10</v>
      </c>
      <c r="D6292" t="s">
        <v>10</v>
      </c>
      <c r="E6292" t="str">
        <f>"$ 3,837"</f>
        <v>$ 3,837</v>
      </c>
      <c r="F6292">
        <v>204</v>
      </c>
    </row>
    <row r="6293" spans="1:6">
      <c r="A6293" t="s">
        <v>6283</v>
      </c>
      <c r="B6293" t="str">
        <f t="shared" si="264"/>
        <v>0.00050%</v>
      </c>
      <c r="C6293" t="s">
        <v>10</v>
      </c>
      <c r="D6293" t="s">
        <v>10</v>
      </c>
      <c r="E6293" t="str">
        <f>"$ 3,829"</f>
        <v>$ 3,829</v>
      </c>
      <c r="F6293" s="1">
        <v>5330</v>
      </c>
    </row>
    <row r="6294" spans="1:6">
      <c r="A6294" t="s">
        <v>6284</v>
      </c>
      <c r="B6294" t="str">
        <f t="shared" si="264"/>
        <v>0.00050%</v>
      </c>
      <c r="C6294" t="s">
        <v>10</v>
      </c>
      <c r="D6294" t="s">
        <v>10</v>
      </c>
      <c r="E6294" t="str">
        <f>"$ 3,889"</f>
        <v>$ 3,889</v>
      </c>
      <c r="F6294">
        <v>66</v>
      </c>
    </row>
    <row r="6295" spans="1:6">
      <c r="A6295" t="s">
        <v>6285</v>
      </c>
      <c r="B6295" t="str">
        <f t="shared" si="264"/>
        <v>0.00050%</v>
      </c>
      <c r="C6295" t="s">
        <v>10</v>
      </c>
      <c r="D6295" t="s">
        <v>10</v>
      </c>
      <c r="E6295" t="str">
        <f>"$ 3,888"</f>
        <v>$ 3,888</v>
      </c>
      <c r="F6295">
        <v>122</v>
      </c>
    </row>
    <row r="6296" spans="1:6">
      <c r="A6296" t="s">
        <v>6286</v>
      </c>
      <c r="B6296" t="str">
        <f t="shared" si="264"/>
        <v>0.00050%</v>
      </c>
      <c r="C6296" t="s">
        <v>10</v>
      </c>
      <c r="D6296" t="s">
        <v>10</v>
      </c>
      <c r="E6296" t="str">
        <f>"$ 3,885"</f>
        <v>$ 3,885</v>
      </c>
      <c r="F6296">
        <v>273</v>
      </c>
    </row>
    <row r="6297" spans="1:6">
      <c r="A6297" t="s">
        <v>6287</v>
      </c>
      <c r="B6297" t="str">
        <f t="shared" si="264"/>
        <v>0.00050%</v>
      </c>
      <c r="C6297" t="s">
        <v>10</v>
      </c>
      <c r="D6297" t="s">
        <v>10</v>
      </c>
      <c r="E6297" t="str">
        <f>"$ 3,858"</f>
        <v>$ 3,858</v>
      </c>
      <c r="F6297" s="1">
        <v>2244</v>
      </c>
    </row>
    <row r="6298" spans="1:6">
      <c r="A6298" t="s">
        <v>3262</v>
      </c>
      <c r="B6298" t="str">
        <f t="shared" si="264"/>
        <v>0.00050%</v>
      </c>
      <c r="C6298" t="s">
        <v>10</v>
      </c>
      <c r="D6298" t="s">
        <v>10</v>
      </c>
      <c r="E6298" t="str">
        <f>"$ 3,853"</f>
        <v>$ 3,853</v>
      </c>
      <c r="F6298">
        <v>189</v>
      </c>
    </row>
    <row r="6299" spans="1:6">
      <c r="A6299" t="s">
        <v>6288</v>
      </c>
      <c r="B6299" t="str">
        <f t="shared" si="264"/>
        <v>0.00050%</v>
      </c>
      <c r="C6299" t="s">
        <v>10</v>
      </c>
      <c r="D6299" t="s">
        <v>10</v>
      </c>
      <c r="E6299" t="str">
        <f>"$ 3,837"</f>
        <v>$ 3,837</v>
      </c>
      <c r="F6299">
        <v>99</v>
      </c>
    </row>
    <row r="6300" spans="1:6">
      <c r="A6300" t="s">
        <v>6289</v>
      </c>
      <c r="B6300" t="str">
        <f t="shared" si="264"/>
        <v>0.00050%</v>
      </c>
      <c r="C6300" t="s">
        <v>10</v>
      </c>
      <c r="D6300" t="s">
        <v>10</v>
      </c>
      <c r="E6300" t="str">
        <f>"$ 3,866"</f>
        <v>$ 3,866</v>
      </c>
      <c r="F6300">
        <v>91</v>
      </c>
    </row>
    <row r="6301" spans="1:6">
      <c r="A6301" t="s">
        <v>6290</v>
      </c>
      <c r="B6301" t="str">
        <f t="shared" si="264"/>
        <v>0.00050%</v>
      </c>
      <c r="C6301" t="s">
        <v>10</v>
      </c>
      <c r="D6301" t="s">
        <v>10</v>
      </c>
      <c r="E6301" t="str">
        <f>"$ 3,827"</f>
        <v>$ 3,827</v>
      </c>
      <c r="F6301">
        <v>448</v>
      </c>
    </row>
    <row r="6302" spans="1:6">
      <c r="A6302" t="s">
        <v>6291</v>
      </c>
      <c r="B6302" t="str">
        <f t="shared" si="264"/>
        <v>0.00050%</v>
      </c>
      <c r="C6302" t="s">
        <v>10</v>
      </c>
      <c r="D6302" t="s">
        <v>10</v>
      </c>
      <c r="E6302" t="str">
        <f>"$ 3,829"</f>
        <v>$ 3,829</v>
      </c>
      <c r="F6302">
        <v>66</v>
      </c>
    </row>
    <row r="6303" spans="1:6">
      <c r="A6303" t="s">
        <v>6292</v>
      </c>
      <c r="B6303" t="str">
        <f t="shared" si="264"/>
        <v>0.00050%</v>
      </c>
      <c r="C6303" t="s">
        <v>10</v>
      </c>
      <c r="D6303" t="s">
        <v>10</v>
      </c>
      <c r="E6303" t="str">
        <f>"$ 3,892"</f>
        <v>$ 3,892</v>
      </c>
      <c r="F6303" s="1">
        <v>1515</v>
      </c>
    </row>
    <row r="6304" spans="1:6">
      <c r="A6304" t="s">
        <v>6293</v>
      </c>
      <c r="B6304" t="str">
        <f t="shared" si="264"/>
        <v>0.00050%</v>
      </c>
      <c r="C6304" t="s">
        <v>10</v>
      </c>
      <c r="D6304" t="s">
        <v>10</v>
      </c>
      <c r="E6304" t="str">
        <f>"$ 3,887"</f>
        <v>$ 3,887</v>
      </c>
      <c r="F6304" s="1">
        <v>1053</v>
      </c>
    </row>
    <row r="6305" spans="1:6">
      <c r="A6305" t="s">
        <v>6294</v>
      </c>
      <c r="B6305" t="str">
        <f t="shared" si="264"/>
        <v>0.00050%</v>
      </c>
      <c r="C6305" t="s">
        <v>10</v>
      </c>
      <c r="D6305" t="s">
        <v>10</v>
      </c>
      <c r="E6305" t="str">
        <f>"$ 3,833"</f>
        <v>$ 3,833</v>
      </c>
      <c r="F6305">
        <v>330</v>
      </c>
    </row>
    <row r="6306" spans="1:6">
      <c r="A6306" t="s">
        <v>6295</v>
      </c>
      <c r="B6306" t="str">
        <f t="shared" si="264"/>
        <v>0.00050%</v>
      </c>
      <c r="C6306" t="s">
        <v>10</v>
      </c>
      <c r="D6306" t="s">
        <v>10</v>
      </c>
      <c r="E6306" t="str">
        <f>"$ 3,833"</f>
        <v>$ 3,833</v>
      </c>
      <c r="F6306">
        <v>229</v>
      </c>
    </row>
    <row r="6307" spans="1:6">
      <c r="A6307" t="s">
        <v>6296</v>
      </c>
      <c r="B6307" t="str">
        <f t="shared" si="264"/>
        <v>0.00050%</v>
      </c>
      <c r="C6307" t="s">
        <v>10</v>
      </c>
      <c r="D6307" t="s">
        <v>10</v>
      </c>
      <c r="E6307" t="str">
        <f>"$ 3,850"</f>
        <v>$ 3,850</v>
      </c>
      <c r="F6307">
        <v>133</v>
      </c>
    </row>
    <row r="6308" spans="1:6">
      <c r="A6308" t="s">
        <v>3642</v>
      </c>
      <c r="B6308" t="str">
        <f t="shared" si="264"/>
        <v>0.00050%</v>
      </c>
      <c r="C6308" t="s">
        <v>10</v>
      </c>
      <c r="D6308" t="s">
        <v>10</v>
      </c>
      <c r="E6308" t="str">
        <f>"$ 3,868"</f>
        <v>$ 3,868</v>
      </c>
      <c r="F6308" s="1">
        <v>1622</v>
      </c>
    </row>
    <row r="6309" spans="1:6">
      <c r="A6309" t="s">
        <v>6297</v>
      </c>
      <c r="B6309" t="str">
        <f t="shared" si="264"/>
        <v>0.00050%</v>
      </c>
      <c r="C6309" t="s">
        <v>10</v>
      </c>
      <c r="D6309" t="s">
        <v>10</v>
      </c>
      <c r="E6309" t="str">
        <f>"$ 3,878"</f>
        <v>$ 3,878</v>
      </c>
      <c r="F6309">
        <v>20</v>
      </c>
    </row>
    <row r="6310" spans="1:6">
      <c r="A6310" t="s">
        <v>6298</v>
      </c>
      <c r="B6310" t="str">
        <f t="shared" si="264"/>
        <v>0.00050%</v>
      </c>
      <c r="C6310" t="s">
        <v>10</v>
      </c>
      <c r="D6310" t="s">
        <v>10</v>
      </c>
      <c r="E6310" t="str">
        <f>"$ 3,826"</f>
        <v>$ 3,826</v>
      </c>
      <c r="F6310" s="1">
        <v>11862</v>
      </c>
    </row>
    <row r="6311" spans="1:6">
      <c r="A6311" t="s">
        <v>6299</v>
      </c>
      <c r="B6311" t="str">
        <f t="shared" si="264"/>
        <v>0.00050%</v>
      </c>
      <c r="C6311" t="s">
        <v>10</v>
      </c>
      <c r="D6311" t="s">
        <v>10</v>
      </c>
      <c r="E6311" t="str">
        <f>"$ 3,874"</f>
        <v>$ 3,874</v>
      </c>
      <c r="F6311">
        <v>577</v>
      </c>
    </row>
    <row r="6312" spans="1:6">
      <c r="A6312" t="s">
        <v>6300</v>
      </c>
      <c r="B6312" t="str">
        <f t="shared" si="264"/>
        <v>0.00050%</v>
      </c>
      <c r="C6312" t="s">
        <v>10</v>
      </c>
      <c r="D6312" t="s">
        <v>10</v>
      </c>
      <c r="E6312" t="str">
        <f>"$ 3,879"</f>
        <v>$ 3,879</v>
      </c>
      <c r="F6312">
        <v>243</v>
      </c>
    </row>
    <row r="6313" spans="1:6">
      <c r="A6313" t="s">
        <v>6301</v>
      </c>
      <c r="B6313" t="str">
        <f t="shared" si="264"/>
        <v>0.00050%</v>
      </c>
      <c r="C6313" t="s">
        <v>10</v>
      </c>
      <c r="D6313" t="s">
        <v>10</v>
      </c>
      <c r="E6313" t="str">
        <f>"$ 3,880"</f>
        <v>$ 3,880</v>
      </c>
      <c r="F6313">
        <v>62</v>
      </c>
    </row>
    <row r="6314" spans="1:6">
      <c r="A6314" t="s">
        <v>6302</v>
      </c>
      <c r="B6314" t="str">
        <f t="shared" si="264"/>
        <v>0.00050%</v>
      </c>
      <c r="C6314" t="s">
        <v>10</v>
      </c>
      <c r="D6314" t="s">
        <v>10</v>
      </c>
      <c r="E6314" t="str">
        <f>"$ 3,827"</f>
        <v>$ 3,827</v>
      </c>
      <c r="F6314">
        <v>239</v>
      </c>
    </row>
    <row r="6315" spans="1:6">
      <c r="A6315" t="s">
        <v>6303</v>
      </c>
      <c r="B6315" t="str">
        <f t="shared" si="264"/>
        <v>0.00050%</v>
      </c>
      <c r="C6315" t="s">
        <v>10</v>
      </c>
      <c r="D6315" t="s">
        <v>10</v>
      </c>
      <c r="E6315" t="str">
        <f>"$ 3,877"</f>
        <v>$ 3,877</v>
      </c>
      <c r="F6315">
        <v>777</v>
      </c>
    </row>
    <row r="6316" spans="1:6">
      <c r="A6316" t="s">
        <v>6304</v>
      </c>
      <c r="B6316" t="str">
        <f t="shared" si="264"/>
        <v>0.00050%</v>
      </c>
      <c r="C6316" t="s">
        <v>10</v>
      </c>
      <c r="D6316" t="s">
        <v>10</v>
      </c>
      <c r="E6316" t="str">
        <f>"$ 3,882"</f>
        <v>$ 3,882</v>
      </c>
      <c r="F6316">
        <v>79</v>
      </c>
    </row>
    <row r="6317" spans="1:6">
      <c r="A6317" t="s">
        <v>6305</v>
      </c>
      <c r="B6317" t="str">
        <f t="shared" si="264"/>
        <v>0.00050%</v>
      </c>
      <c r="C6317" t="s">
        <v>10</v>
      </c>
      <c r="D6317" t="s">
        <v>10</v>
      </c>
      <c r="E6317" t="str">
        <f>"$ 3,837"</f>
        <v>$ 3,837</v>
      </c>
      <c r="F6317">
        <v>129</v>
      </c>
    </row>
    <row r="6318" spans="1:6">
      <c r="A6318" t="s">
        <v>6306</v>
      </c>
      <c r="B6318" t="str">
        <f t="shared" ref="B6318:B6351" si="265">"0.00049%"</f>
        <v>0.00049%</v>
      </c>
      <c r="C6318" t="s">
        <v>10</v>
      </c>
      <c r="D6318" t="s">
        <v>10</v>
      </c>
      <c r="E6318" t="str">
        <f>"$ 3,781"</f>
        <v>$ 3,781</v>
      </c>
      <c r="F6318" s="1">
        <v>8499</v>
      </c>
    </row>
    <row r="6319" spans="1:6">
      <c r="A6319" t="s">
        <v>6307</v>
      </c>
      <c r="B6319" t="str">
        <f t="shared" si="265"/>
        <v>0.00049%</v>
      </c>
      <c r="C6319" t="s">
        <v>10</v>
      </c>
      <c r="D6319" t="s">
        <v>10</v>
      </c>
      <c r="E6319" t="str">
        <f>"$ 3,810"</f>
        <v>$ 3,810</v>
      </c>
      <c r="F6319">
        <v>146</v>
      </c>
    </row>
    <row r="6320" spans="1:6">
      <c r="A6320" t="s">
        <v>6308</v>
      </c>
      <c r="B6320" t="str">
        <f t="shared" si="265"/>
        <v>0.00049%</v>
      </c>
      <c r="C6320" t="s">
        <v>10</v>
      </c>
      <c r="D6320" t="s">
        <v>10</v>
      </c>
      <c r="E6320" t="str">
        <f>"$ 3,760"</f>
        <v>$ 3,760</v>
      </c>
      <c r="F6320" s="1">
        <v>1193</v>
      </c>
    </row>
    <row r="6321" spans="1:6">
      <c r="A6321" t="s">
        <v>6309</v>
      </c>
      <c r="B6321" t="str">
        <f t="shared" si="265"/>
        <v>0.00049%</v>
      </c>
      <c r="C6321" t="s">
        <v>10</v>
      </c>
      <c r="D6321" t="s">
        <v>10</v>
      </c>
      <c r="E6321" t="str">
        <f>"$ 3,810"</f>
        <v>$ 3,810</v>
      </c>
      <c r="F6321" s="1">
        <v>5402</v>
      </c>
    </row>
    <row r="6322" spans="1:6">
      <c r="A6322" t="s">
        <v>6310</v>
      </c>
      <c r="B6322" t="str">
        <f t="shared" si="265"/>
        <v>0.00049%</v>
      </c>
      <c r="C6322" t="s">
        <v>10</v>
      </c>
      <c r="D6322" t="s">
        <v>10</v>
      </c>
      <c r="E6322" t="str">
        <f>"$ 3,748"</f>
        <v>$ 3,748</v>
      </c>
      <c r="F6322" s="1">
        <v>16443</v>
      </c>
    </row>
    <row r="6323" spans="1:6">
      <c r="A6323" t="s">
        <v>6311</v>
      </c>
      <c r="B6323" t="str">
        <f t="shared" si="265"/>
        <v>0.00049%</v>
      </c>
      <c r="C6323" t="s">
        <v>10</v>
      </c>
      <c r="D6323" t="s">
        <v>10</v>
      </c>
      <c r="E6323" t="str">
        <f>"$ 3,795"</f>
        <v>$ 3,795</v>
      </c>
      <c r="F6323">
        <v>242</v>
      </c>
    </row>
    <row r="6324" spans="1:6">
      <c r="A6324" t="s">
        <v>6312</v>
      </c>
      <c r="B6324" t="str">
        <f t="shared" si="265"/>
        <v>0.00049%</v>
      </c>
      <c r="C6324" t="s">
        <v>10</v>
      </c>
      <c r="D6324" t="s">
        <v>10</v>
      </c>
      <c r="E6324" t="str">
        <f>"$ 3,814"</f>
        <v>$ 3,814</v>
      </c>
      <c r="F6324" s="1">
        <v>1935</v>
      </c>
    </row>
    <row r="6325" spans="1:6">
      <c r="A6325" t="s">
        <v>6313</v>
      </c>
      <c r="B6325" t="str">
        <f t="shared" si="265"/>
        <v>0.00049%</v>
      </c>
      <c r="C6325" t="s">
        <v>10</v>
      </c>
      <c r="D6325" t="s">
        <v>10</v>
      </c>
      <c r="E6325" t="str">
        <f>"$ 3,779"</f>
        <v>$ 3,779</v>
      </c>
      <c r="F6325">
        <v>121</v>
      </c>
    </row>
    <row r="6326" spans="1:6">
      <c r="A6326" t="s">
        <v>6314</v>
      </c>
      <c r="B6326" t="str">
        <f t="shared" si="265"/>
        <v>0.00049%</v>
      </c>
      <c r="C6326" t="s">
        <v>10</v>
      </c>
      <c r="D6326" t="s">
        <v>10</v>
      </c>
      <c r="E6326" t="str">
        <f>"$ 3,764"</f>
        <v>$ 3,764</v>
      </c>
      <c r="F6326">
        <v>223</v>
      </c>
    </row>
    <row r="6327" spans="1:6">
      <c r="A6327" t="s">
        <v>6315</v>
      </c>
      <c r="B6327" t="str">
        <f t="shared" si="265"/>
        <v>0.00049%</v>
      </c>
      <c r="C6327" t="s">
        <v>10</v>
      </c>
      <c r="D6327" t="s">
        <v>10</v>
      </c>
      <c r="E6327" t="str">
        <f>"$ 3,776"</f>
        <v>$ 3,776</v>
      </c>
      <c r="F6327">
        <v>269</v>
      </c>
    </row>
    <row r="6328" spans="1:6">
      <c r="A6328" t="s">
        <v>6316</v>
      </c>
      <c r="B6328" t="str">
        <f t="shared" si="265"/>
        <v>0.00049%</v>
      </c>
      <c r="C6328" t="s">
        <v>10</v>
      </c>
      <c r="D6328" t="s">
        <v>10</v>
      </c>
      <c r="E6328" t="str">
        <f>"$ 3,750"</f>
        <v>$ 3,750</v>
      </c>
      <c r="F6328">
        <v>324</v>
      </c>
    </row>
    <row r="6329" spans="1:6">
      <c r="A6329" t="s">
        <v>6317</v>
      </c>
      <c r="B6329" t="str">
        <f t="shared" si="265"/>
        <v>0.00049%</v>
      </c>
      <c r="C6329" t="s">
        <v>10</v>
      </c>
      <c r="D6329" t="s">
        <v>10</v>
      </c>
      <c r="E6329" t="str">
        <f>"$ 3,817"</f>
        <v>$ 3,817</v>
      </c>
      <c r="F6329" s="1">
        <v>2731</v>
      </c>
    </row>
    <row r="6330" spans="1:6">
      <c r="A6330" t="s">
        <v>6318</v>
      </c>
      <c r="B6330" t="str">
        <f t="shared" si="265"/>
        <v>0.00049%</v>
      </c>
      <c r="C6330" t="s">
        <v>10</v>
      </c>
      <c r="D6330" t="s">
        <v>10</v>
      </c>
      <c r="E6330" t="str">
        <f>"$ 3,804"</f>
        <v>$ 3,804</v>
      </c>
      <c r="F6330">
        <v>247</v>
      </c>
    </row>
    <row r="6331" spans="1:6">
      <c r="A6331" t="s">
        <v>6319</v>
      </c>
      <c r="B6331" t="str">
        <f t="shared" si="265"/>
        <v>0.00049%</v>
      </c>
      <c r="C6331" t="s">
        <v>10</v>
      </c>
      <c r="D6331" t="s">
        <v>10</v>
      </c>
      <c r="E6331" t="str">
        <f>"$ 3,821"</f>
        <v>$ 3,821</v>
      </c>
      <c r="F6331">
        <v>400</v>
      </c>
    </row>
    <row r="6332" spans="1:6">
      <c r="A6332" t="s">
        <v>6320</v>
      </c>
      <c r="B6332" t="str">
        <f t="shared" si="265"/>
        <v>0.00049%</v>
      </c>
      <c r="C6332" t="s">
        <v>10</v>
      </c>
      <c r="D6332" t="s">
        <v>10</v>
      </c>
      <c r="E6332" t="str">
        <f>"$ 3,786"</f>
        <v>$ 3,786</v>
      </c>
      <c r="F6332">
        <v>129</v>
      </c>
    </row>
    <row r="6333" spans="1:6">
      <c r="A6333" t="s">
        <v>6321</v>
      </c>
      <c r="B6333" t="str">
        <f t="shared" si="265"/>
        <v>0.00049%</v>
      </c>
      <c r="C6333" t="s">
        <v>10</v>
      </c>
      <c r="D6333" t="s">
        <v>10</v>
      </c>
      <c r="E6333" t="str">
        <f>"$ 3,801"</f>
        <v>$ 3,801</v>
      </c>
      <c r="F6333">
        <v>424</v>
      </c>
    </row>
    <row r="6334" spans="1:6">
      <c r="A6334" t="s">
        <v>6322</v>
      </c>
      <c r="B6334" t="str">
        <f t="shared" si="265"/>
        <v>0.00049%</v>
      </c>
      <c r="C6334" t="s">
        <v>10</v>
      </c>
      <c r="D6334" t="s">
        <v>10</v>
      </c>
      <c r="E6334" t="str">
        <f>"$ 3,779"</f>
        <v>$ 3,779</v>
      </c>
      <c r="F6334">
        <v>317</v>
      </c>
    </row>
    <row r="6335" spans="1:6">
      <c r="A6335" t="s">
        <v>6323</v>
      </c>
      <c r="B6335" t="str">
        <f t="shared" si="265"/>
        <v>0.00049%</v>
      </c>
      <c r="C6335" t="s">
        <v>10</v>
      </c>
      <c r="D6335" t="s">
        <v>10</v>
      </c>
      <c r="E6335" t="str">
        <f>"$ 3,819"</f>
        <v>$ 3,819</v>
      </c>
      <c r="F6335">
        <v>784</v>
      </c>
    </row>
    <row r="6336" spans="1:6">
      <c r="A6336" t="s">
        <v>6324</v>
      </c>
      <c r="B6336" t="str">
        <f t="shared" si="265"/>
        <v>0.00049%</v>
      </c>
      <c r="C6336" t="s">
        <v>10</v>
      </c>
      <c r="D6336" t="s">
        <v>10</v>
      </c>
      <c r="E6336" t="str">
        <f>"$ 3,753"</f>
        <v>$ 3,753</v>
      </c>
      <c r="F6336">
        <v>82</v>
      </c>
    </row>
    <row r="6337" spans="1:6">
      <c r="A6337" t="s">
        <v>6325</v>
      </c>
      <c r="B6337" t="str">
        <f t="shared" si="265"/>
        <v>0.00049%</v>
      </c>
      <c r="C6337" t="s">
        <v>10</v>
      </c>
      <c r="D6337" t="s">
        <v>10</v>
      </c>
      <c r="E6337" t="str">
        <f>"$ 3,785"</f>
        <v>$ 3,785</v>
      </c>
      <c r="F6337">
        <v>98</v>
      </c>
    </row>
    <row r="6338" spans="1:6">
      <c r="A6338" t="s">
        <v>6326</v>
      </c>
      <c r="B6338" t="str">
        <f t="shared" si="265"/>
        <v>0.00049%</v>
      </c>
      <c r="C6338" t="s">
        <v>10</v>
      </c>
      <c r="D6338" t="s">
        <v>10</v>
      </c>
      <c r="E6338" t="str">
        <f>"$ 3,778"</f>
        <v>$ 3,778</v>
      </c>
      <c r="F6338" s="1">
        <v>2097</v>
      </c>
    </row>
    <row r="6339" spans="1:6">
      <c r="A6339" t="s">
        <v>6327</v>
      </c>
      <c r="B6339" t="str">
        <f t="shared" si="265"/>
        <v>0.00049%</v>
      </c>
      <c r="C6339" t="s">
        <v>10</v>
      </c>
      <c r="D6339" t="s">
        <v>10</v>
      </c>
      <c r="E6339" t="str">
        <f>"$ 3,777"</f>
        <v>$ 3,777</v>
      </c>
      <c r="F6339" s="1">
        <v>4282</v>
      </c>
    </row>
    <row r="6340" spans="1:6">
      <c r="A6340" t="s">
        <v>6328</v>
      </c>
      <c r="B6340" t="str">
        <f t="shared" si="265"/>
        <v>0.00049%</v>
      </c>
      <c r="C6340" t="s">
        <v>10</v>
      </c>
      <c r="D6340" t="s">
        <v>10</v>
      </c>
      <c r="E6340" t="str">
        <f>"$ 3,753"</f>
        <v>$ 3,753</v>
      </c>
      <c r="F6340" s="1">
        <v>19962</v>
      </c>
    </row>
    <row r="6341" spans="1:6">
      <c r="A6341" t="s">
        <v>6329</v>
      </c>
      <c r="B6341" t="str">
        <f t="shared" si="265"/>
        <v>0.00049%</v>
      </c>
      <c r="C6341" t="s">
        <v>10</v>
      </c>
      <c r="D6341" t="s">
        <v>10</v>
      </c>
      <c r="E6341" t="str">
        <f>"$ 3,759"</f>
        <v>$ 3,759</v>
      </c>
      <c r="F6341" s="1">
        <v>6270</v>
      </c>
    </row>
    <row r="6342" spans="1:6">
      <c r="A6342" t="s">
        <v>6330</v>
      </c>
      <c r="B6342" t="str">
        <f t="shared" si="265"/>
        <v>0.00049%</v>
      </c>
      <c r="C6342" t="s">
        <v>10</v>
      </c>
      <c r="D6342" t="s">
        <v>10</v>
      </c>
      <c r="E6342" t="str">
        <f>"$ 3,763"</f>
        <v>$ 3,763</v>
      </c>
      <c r="F6342" s="1">
        <v>6697</v>
      </c>
    </row>
    <row r="6343" spans="1:6">
      <c r="A6343" t="s">
        <v>6331</v>
      </c>
      <c r="B6343" t="str">
        <f t="shared" si="265"/>
        <v>0.00049%</v>
      </c>
      <c r="C6343" t="s">
        <v>10</v>
      </c>
      <c r="D6343" t="s">
        <v>10</v>
      </c>
      <c r="E6343" t="str">
        <f>"$ 3,778"</f>
        <v>$ 3,778</v>
      </c>
      <c r="F6343">
        <v>70</v>
      </c>
    </row>
    <row r="6344" spans="1:6">
      <c r="A6344" t="s">
        <v>6332</v>
      </c>
      <c r="B6344" t="str">
        <f t="shared" si="265"/>
        <v>0.00049%</v>
      </c>
      <c r="C6344" t="s">
        <v>10</v>
      </c>
      <c r="D6344" t="s">
        <v>10</v>
      </c>
      <c r="E6344" t="str">
        <f>"$ 3,811"</f>
        <v>$ 3,811</v>
      </c>
      <c r="F6344">
        <v>483</v>
      </c>
    </row>
    <row r="6345" spans="1:6">
      <c r="A6345" t="s">
        <v>6333</v>
      </c>
      <c r="B6345" t="str">
        <f t="shared" si="265"/>
        <v>0.00049%</v>
      </c>
      <c r="C6345" t="s">
        <v>10</v>
      </c>
      <c r="D6345" t="s">
        <v>10</v>
      </c>
      <c r="E6345" t="str">
        <f>"$ 3,789"</f>
        <v>$ 3,789</v>
      </c>
      <c r="F6345" s="1">
        <v>11159</v>
      </c>
    </row>
    <row r="6346" spans="1:6">
      <c r="A6346" t="s">
        <v>6334</v>
      </c>
      <c r="B6346" t="str">
        <f t="shared" si="265"/>
        <v>0.00049%</v>
      </c>
      <c r="C6346" t="s">
        <v>10</v>
      </c>
      <c r="D6346" t="s">
        <v>10</v>
      </c>
      <c r="E6346" t="str">
        <f>"$ 3,769"</f>
        <v>$ 3,769</v>
      </c>
      <c r="F6346">
        <v>752</v>
      </c>
    </row>
    <row r="6347" spans="1:6">
      <c r="A6347" t="s">
        <v>6335</v>
      </c>
      <c r="B6347" t="str">
        <f t="shared" si="265"/>
        <v>0.00049%</v>
      </c>
      <c r="C6347" t="s">
        <v>10</v>
      </c>
      <c r="D6347" t="s">
        <v>10</v>
      </c>
      <c r="E6347" t="str">
        <f>"$ 3,797"</f>
        <v>$ 3,797</v>
      </c>
      <c r="F6347">
        <v>361</v>
      </c>
    </row>
    <row r="6348" spans="1:6">
      <c r="A6348" t="s">
        <v>6336</v>
      </c>
      <c r="B6348" t="str">
        <f t="shared" si="265"/>
        <v>0.00049%</v>
      </c>
      <c r="C6348" t="s">
        <v>10</v>
      </c>
      <c r="D6348" t="s">
        <v>10</v>
      </c>
      <c r="E6348" t="str">
        <f>"$ 3,749"</f>
        <v>$ 3,749</v>
      </c>
      <c r="F6348" s="1">
        <v>5862</v>
      </c>
    </row>
    <row r="6349" spans="1:6">
      <c r="A6349" t="s">
        <v>6337</v>
      </c>
      <c r="B6349" t="str">
        <f t="shared" si="265"/>
        <v>0.00049%</v>
      </c>
      <c r="C6349" t="s">
        <v>10</v>
      </c>
      <c r="D6349" t="s">
        <v>10</v>
      </c>
      <c r="E6349" t="str">
        <f>"$ 3,747"</f>
        <v>$ 3,747</v>
      </c>
      <c r="F6349">
        <v>256</v>
      </c>
    </row>
    <row r="6350" spans="1:6">
      <c r="A6350" t="s">
        <v>6338</v>
      </c>
      <c r="B6350" t="str">
        <f t="shared" si="265"/>
        <v>0.00049%</v>
      </c>
      <c r="C6350" t="s">
        <v>10</v>
      </c>
      <c r="D6350" t="s">
        <v>10</v>
      </c>
      <c r="E6350" t="str">
        <f>"$ 3,821"</f>
        <v>$ 3,821</v>
      </c>
      <c r="F6350">
        <v>350</v>
      </c>
    </row>
    <row r="6351" spans="1:6">
      <c r="A6351" t="s">
        <v>6339</v>
      </c>
      <c r="B6351" t="str">
        <f t="shared" si="265"/>
        <v>0.00049%</v>
      </c>
      <c r="C6351" t="s">
        <v>10</v>
      </c>
      <c r="D6351" t="s">
        <v>10</v>
      </c>
      <c r="E6351" t="str">
        <f>"$ 3,795"</f>
        <v>$ 3,795</v>
      </c>
      <c r="F6351" s="1">
        <v>3123</v>
      </c>
    </row>
    <row r="6352" spans="1:6">
      <c r="A6352" t="s">
        <v>6340</v>
      </c>
      <c r="B6352" t="str">
        <f t="shared" ref="B6352:B6387" si="266">"0.00048%"</f>
        <v>0.00048%</v>
      </c>
      <c r="C6352" t="s">
        <v>10</v>
      </c>
      <c r="D6352" t="s">
        <v>10</v>
      </c>
      <c r="E6352" t="str">
        <f>"$ 3,744"</f>
        <v>$ 3,744</v>
      </c>
      <c r="F6352" s="1">
        <v>2032</v>
      </c>
    </row>
    <row r="6353" spans="1:6">
      <c r="A6353" t="s">
        <v>6341</v>
      </c>
      <c r="B6353" t="str">
        <f t="shared" si="266"/>
        <v>0.00048%</v>
      </c>
      <c r="C6353" t="s">
        <v>10</v>
      </c>
      <c r="D6353" t="s">
        <v>10</v>
      </c>
      <c r="E6353" t="str">
        <f>"$ 3,739"</f>
        <v>$ 3,739</v>
      </c>
      <c r="F6353" s="1">
        <v>6246</v>
      </c>
    </row>
    <row r="6354" spans="1:6">
      <c r="A6354" t="s">
        <v>6342</v>
      </c>
      <c r="B6354" t="str">
        <f t="shared" si="266"/>
        <v>0.00048%</v>
      </c>
      <c r="C6354" t="s">
        <v>10</v>
      </c>
      <c r="D6354" t="s">
        <v>10</v>
      </c>
      <c r="E6354" t="str">
        <f>"$ 3,669"</f>
        <v>$ 3,669</v>
      </c>
      <c r="F6354" s="1">
        <v>3725</v>
      </c>
    </row>
    <row r="6355" spans="1:6">
      <c r="A6355" t="s">
        <v>6343</v>
      </c>
      <c r="B6355" t="str">
        <f t="shared" si="266"/>
        <v>0.00048%</v>
      </c>
      <c r="C6355" t="s">
        <v>10</v>
      </c>
      <c r="D6355" t="s">
        <v>10</v>
      </c>
      <c r="E6355" t="str">
        <f>"$ 3,692"</f>
        <v>$ 3,692</v>
      </c>
      <c r="F6355">
        <v>175</v>
      </c>
    </row>
    <row r="6356" spans="1:6">
      <c r="A6356" t="s">
        <v>6344</v>
      </c>
      <c r="B6356" t="str">
        <f t="shared" si="266"/>
        <v>0.00048%</v>
      </c>
      <c r="C6356" t="s">
        <v>10</v>
      </c>
      <c r="D6356" t="s">
        <v>10</v>
      </c>
      <c r="E6356" t="str">
        <f>"$ 3,684"</f>
        <v>$ 3,684</v>
      </c>
      <c r="F6356" s="1">
        <v>1136</v>
      </c>
    </row>
    <row r="6357" spans="1:6">
      <c r="A6357" t="s">
        <v>6345</v>
      </c>
      <c r="B6357" t="str">
        <f t="shared" si="266"/>
        <v>0.00048%</v>
      </c>
      <c r="C6357" t="s">
        <v>10</v>
      </c>
      <c r="D6357" t="s">
        <v>10</v>
      </c>
      <c r="E6357" t="str">
        <f>"$ 3,692"</f>
        <v>$ 3,692</v>
      </c>
      <c r="F6357">
        <v>349</v>
      </c>
    </row>
    <row r="6358" spans="1:6">
      <c r="A6358" t="s">
        <v>6346</v>
      </c>
      <c r="B6358" t="str">
        <f t="shared" si="266"/>
        <v>0.00048%</v>
      </c>
      <c r="C6358" t="s">
        <v>10</v>
      </c>
      <c r="D6358" t="s">
        <v>10</v>
      </c>
      <c r="E6358" t="str">
        <f>"$ 3,738"</f>
        <v>$ 3,738</v>
      </c>
      <c r="F6358">
        <v>43</v>
      </c>
    </row>
    <row r="6359" spans="1:6">
      <c r="A6359" t="s">
        <v>6347</v>
      </c>
      <c r="B6359" t="str">
        <f t="shared" si="266"/>
        <v>0.00048%</v>
      </c>
      <c r="C6359" t="s">
        <v>10</v>
      </c>
      <c r="D6359" t="s">
        <v>10</v>
      </c>
      <c r="E6359" t="str">
        <f>"$ 3,680"</f>
        <v>$ 3,680</v>
      </c>
      <c r="F6359" s="1">
        <v>2206</v>
      </c>
    </row>
    <row r="6360" spans="1:6">
      <c r="A6360" t="s">
        <v>6348</v>
      </c>
      <c r="B6360" t="str">
        <f t="shared" si="266"/>
        <v>0.00048%</v>
      </c>
      <c r="C6360" t="s">
        <v>10</v>
      </c>
      <c r="D6360" t="s">
        <v>10</v>
      </c>
      <c r="E6360" t="str">
        <f>"$ 3,727"</f>
        <v>$ 3,727</v>
      </c>
      <c r="F6360">
        <v>112</v>
      </c>
    </row>
    <row r="6361" spans="1:6">
      <c r="A6361" t="s">
        <v>6349</v>
      </c>
      <c r="B6361" t="str">
        <f t="shared" si="266"/>
        <v>0.00048%</v>
      </c>
      <c r="C6361" t="s">
        <v>10</v>
      </c>
      <c r="D6361" t="s">
        <v>10</v>
      </c>
      <c r="E6361" t="str">
        <f>"$ 3,715"</f>
        <v>$ 3,715</v>
      </c>
      <c r="F6361" s="1">
        <v>5288</v>
      </c>
    </row>
    <row r="6362" spans="1:6">
      <c r="A6362" t="s">
        <v>6350</v>
      </c>
      <c r="B6362" t="str">
        <f t="shared" si="266"/>
        <v>0.00048%</v>
      </c>
      <c r="C6362" t="s">
        <v>10</v>
      </c>
      <c r="D6362" t="s">
        <v>10</v>
      </c>
      <c r="E6362" t="str">
        <f>"$ 3,730"</f>
        <v>$ 3,730</v>
      </c>
      <c r="F6362" s="1">
        <v>1524</v>
      </c>
    </row>
    <row r="6363" spans="1:6">
      <c r="A6363" t="s">
        <v>6351</v>
      </c>
      <c r="B6363" t="str">
        <f t="shared" si="266"/>
        <v>0.00048%</v>
      </c>
      <c r="C6363" t="s">
        <v>10</v>
      </c>
      <c r="D6363" t="s">
        <v>10</v>
      </c>
      <c r="E6363" t="str">
        <f>"$ 3,732"</f>
        <v>$ 3,732</v>
      </c>
      <c r="F6363" s="1">
        <v>1465</v>
      </c>
    </row>
    <row r="6364" spans="1:6">
      <c r="A6364" t="s">
        <v>6352</v>
      </c>
      <c r="B6364" t="str">
        <f t="shared" si="266"/>
        <v>0.00048%</v>
      </c>
      <c r="C6364" t="s">
        <v>10</v>
      </c>
      <c r="D6364" t="s">
        <v>10</v>
      </c>
      <c r="E6364" t="str">
        <f>"$ 3,703"</f>
        <v>$ 3,703</v>
      </c>
      <c r="F6364">
        <v>647</v>
      </c>
    </row>
    <row r="6365" spans="1:6">
      <c r="A6365" t="s">
        <v>6353</v>
      </c>
      <c r="B6365" t="str">
        <f t="shared" si="266"/>
        <v>0.00048%</v>
      </c>
      <c r="C6365" t="s">
        <v>10</v>
      </c>
      <c r="D6365" t="s">
        <v>10</v>
      </c>
      <c r="E6365" t="str">
        <f>"$ 3,674"</f>
        <v>$ 3,674</v>
      </c>
      <c r="F6365" s="1">
        <v>3114</v>
      </c>
    </row>
    <row r="6366" spans="1:6">
      <c r="A6366" t="s">
        <v>6354</v>
      </c>
      <c r="B6366" t="str">
        <f t="shared" si="266"/>
        <v>0.00048%</v>
      </c>
      <c r="C6366" t="s">
        <v>10</v>
      </c>
      <c r="D6366" t="s">
        <v>10</v>
      </c>
      <c r="E6366" t="str">
        <f>"$ 3,717"</f>
        <v>$ 3,717</v>
      </c>
      <c r="F6366" s="1">
        <v>1161</v>
      </c>
    </row>
    <row r="6367" spans="1:6">
      <c r="A6367" t="s">
        <v>6355</v>
      </c>
      <c r="B6367" t="str">
        <f t="shared" si="266"/>
        <v>0.00048%</v>
      </c>
      <c r="C6367" t="s">
        <v>10</v>
      </c>
      <c r="D6367" t="s">
        <v>10</v>
      </c>
      <c r="E6367" t="str">
        <f>"$ 3,742"</f>
        <v>$ 3,742</v>
      </c>
      <c r="F6367">
        <v>211</v>
      </c>
    </row>
    <row r="6368" spans="1:6">
      <c r="A6368" t="s">
        <v>6356</v>
      </c>
      <c r="B6368" t="str">
        <f t="shared" si="266"/>
        <v>0.00048%</v>
      </c>
      <c r="C6368" t="s">
        <v>10</v>
      </c>
      <c r="D6368" t="s">
        <v>10</v>
      </c>
      <c r="E6368" t="str">
        <f>"$ 3,668"</f>
        <v>$ 3,668</v>
      </c>
      <c r="F6368">
        <v>208</v>
      </c>
    </row>
    <row r="6369" spans="1:6">
      <c r="A6369" t="s">
        <v>6357</v>
      </c>
      <c r="B6369" t="str">
        <f t="shared" si="266"/>
        <v>0.00048%</v>
      </c>
      <c r="C6369" t="s">
        <v>10</v>
      </c>
      <c r="D6369" t="s">
        <v>10</v>
      </c>
      <c r="E6369" t="str">
        <f>"$ 3,708"</f>
        <v>$ 3,708</v>
      </c>
      <c r="F6369">
        <v>882</v>
      </c>
    </row>
    <row r="6370" spans="1:6">
      <c r="A6370" t="s">
        <v>6358</v>
      </c>
      <c r="B6370" t="str">
        <f t="shared" si="266"/>
        <v>0.00048%</v>
      </c>
      <c r="C6370" t="s">
        <v>10</v>
      </c>
      <c r="D6370" t="s">
        <v>10</v>
      </c>
      <c r="E6370" t="str">
        <f>"$ 3,732"</f>
        <v>$ 3,732</v>
      </c>
      <c r="F6370">
        <v>35</v>
      </c>
    </row>
    <row r="6371" spans="1:6">
      <c r="A6371" t="s">
        <v>6359</v>
      </c>
      <c r="B6371" t="str">
        <f t="shared" si="266"/>
        <v>0.00048%</v>
      </c>
      <c r="C6371" t="s">
        <v>10</v>
      </c>
      <c r="D6371" t="s">
        <v>10</v>
      </c>
      <c r="E6371" t="str">
        <f>"$ 3,743"</f>
        <v>$ 3,743</v>
      </c>
      <c r="F6371">
        <v>65</v>
      </c>
    </row>
    <row r="6372" spans="1:6">
      <c r="A6372" t="s">
        <v>6360</v>
      </c>
      <c r="B6372" t="str">
        <f t="shared" si="266"/>
        <v>0.00048%</v>
      </c>
      <c r="C6372" t="s">
        <v>10</v>
      </c>
      <c r="D6372" t="s">
        <v>10</v>
      </c>
      <c r="E6372" t="str">
        <f>"$ 3,740"</f>
        <v>$ 3,740</v>
      </c>
      <c r="F6372">
        <v>224</v>
      </c>
    </row>
    <row r="6373" spans="1:6">
      <c r="A6373" t="s">
        <v>6361</v>
      </c>
      <c r="B6373" t="str">
        <f t="shared" si="266"/>
        <v>0.00048%</v>
      </c>
      <c r="C6373" t="s">
        <v>10</v>
      </c>
      <c r="D6373" t="s">
        <v>10</v>
      </c>
      <c r="E6373" t="str">
        <f>"$ 3,725"</f>
        <v>$ 3,725</v>
      </c>
      <c r="F6373" s="1">
        <v>5253</v>
      </c>
    </row>
    <row r="6374" spans="1:6">
      <c r="A6374" t="s">
        <v>6362</v>
      </c>
      <c r="B6374" t="str">
        <f t="shared" si="266"/>
        <v>0.00048%</v>
      </c>
      <c r="C6374" t="s">
        <v>10</v>
      </c>
      <c r="D6374" t="s">
        <v>10</v>
      </c>
      <c r="E6374" t="str">
        <f>"$ 3,696"</f>
        <v>$ 3,696</v>
      </c>
      <c r="F6374" s="1">
        <v>7693</v>
      </c>
    </row>
    <row r="6375" spans="1:6">
      <c r="A6375" t="s">
        <v>6363</v>
      </c>
      <c r="B6375" t="str">
        <f t="shared" si="266"/>
        <v>0.00048%</v>
      </c>
      <c r="C6375" t="s">
        <v>10</v>
      </c>
      <c r="D6375" t="s">
        <v>10</v>
      </c>
      <c r="E6375" t="str">
        <f>"$ 3,670"</f>
        <v>$ 3,670</v>
      </c>
      <c r="F6375">
        <v>108</v>
      </c>
    </row>
    <row r="6376" spans="1:6">
      <c r="A6376" t="s">
        <v>6364</v>
      </c>
      <c r="B6376" t="str">
        <f t="shared" si="266"/>
        <v>0.00048%</v>
      </c>
      <c r="C6376" t="s">
        <v>10</v>
      </c>
      <c r="D6376" t="s">
        <v>10</v>
      </c>
      <c r="E6376" t="str">
        <f>"$ 3,674"</f>
        <v>$ 3,674</v>
      </c>
      <c r="F6376">
        <v>168</v>
      </c>
    </row>
    <row r="6377" spans="1:6">
      <c r="A6377" t="s">
        <v>6365</v>
      </c>
      <c r="B6377" t="str">
        <f t="shared" si="266"/>
        <v>0.00048%</v>
      </c>
      <c r="C6377" t="s">
        <v>10</v>
      </c>
      <c r="D6377" t="s">
        <v>10</v>
      </c>
      <c r="E6377" t="str">
        <f>"$ 3,728"</f>
        <v>$ 3,728</v>
      </c>
      <c r="F6377">
        <v>80</v>
      </c>
    </row>
    <row r="6378" spans="1:6">
      <c r="A6378" t="s">
        <v>6366</v>
      </c>
      <c r="B6378" t="str">
        <f t="shared" si="266"/>
        <v>0.00048%</v>
      </c>
      <c r="C6378" t="s">
        <v>10</v>
      </c>
      <c r="D6378" t="s">
        <v>10</v>
      </c>
      <c r="E6378" t="str">
        <f>"$ 3,679"</f>
        <v>$ 3,679</v>
      </c>
      <c r="F6378" s="1">
        <v>1035</v>
      </c>
    </row>
    <row r="6379" spans="1:6">
      <c r="A6379" t="s">
        <v>6367</v>
      </c>
      <c r="B6379" t="str">
        <f t="shared" si="266"/>
        <v>0.00048%</v>
      </c>
      <c r="C6379" t="s">
        <v>10</v>
      </c>
      <c r="D6379" t="s">
        <v>10</v>
      </c>
      <c r="E6379" t="str">
        <f>"$ 3,688"</f>
        <v>$ 3,688</v>
      </c>
      <c r="F6379">
        <v>322</v>
      </c>
    </row>
    <row r="6380" spans="1:6">
      <c r="A6380" t="s">
        <v>6368</v>
      </c>
      <c r="B6380" t="str">
        <f t="shared" si="266"/>
        <v>0.00048%</v>
      </c>
      <c r="C6380" t="s">
        <v>10</v>
      </c>
      <c r="D6380" t="s">
        <v>10</v>
      </c>
      <c r="E6380" t="str">
        <f>"$ 3,745"</f>
        <v>$ 3,745</v>
      </c>
      <c r="F6380" s="1">
        <v>3157</v>
      </c>
    </row>
    <row r="6381" spans="1:6">
      <c r="A6381" t="s">
        <v>6369</v>
      </c>
      <c r="B6381" t="str">
        <f t="shared" si="266"/>
        <v>0.00048%</v>
      </c>
      <c r="C6381" t="s">
        <v>10</v>
      </c>
      <c r="D6381" t="s">
        <v>10</v>
      </c>
      <c r="E6381" t="str">
        <f>"$ 3,676"</f>
        <v>$ 3,676</v>
      </c>
      <c r="F6381">
        <v>462</v>
      </c>
    </row>
    <row r="6382" spans="1:6">
      <c r="A6382" t="s">
        <v>6370</v>
      </c>
      <c r="B6382" t="str">
        <f t="shared" si="266"/>
        <v>0.00048%</v>
      </c>
      <c r="C6382" t="s">
        <v>10</v>
      </c>
      <c r="D6382" t="s">
        <v>10</v>
      </c>
      <c r="E6382" t="str">
        <f>"$ 3,673"</f>
        <v>$ 3,673</v>
      </c>
      <c r="F6382">
        <v>47</v>
      </c>
    </row>
    <row r="6383" spans="1:6">
      <c r="A6383" t="s">
        <v>6371</v>
      </c>
      <c r="B6383" t="str">
        <f t="shared" si="266"/>
        <v>0.00048%</v>
      </c>
      <c r="C6383" t="s">
        <v>10</v>
      </c>
      <c r="D6383" t="s">
        <v>10</v>
      </c>
      <c r="E6383" t="str">
        <f>"$ 3,685"</f>
        <v>$ 3,685</v>
      </c>
      <c r="F6383">
        <v>270</v>
      </c>
    </row>
    <row r="6384" spans="1:6">
      <c r="A6384" t="s">
        <v>6372</v>
      </c>
      <c r="B6384" t="str">
        <f t="shared" si="266"/>
        <v>0.00048%</v>
      </c>
      <c r="C6384" t="s">
        <v>10</v>
      </c>
      <c r="D6384" t="s">
        <v>10</v>
      </c>
      <c r="E6384" t="str">
        <f>"$ 3,692"</f>
        <v>$ 3,692</v>
      </c>
      <c r="F6384">
        <v>159</v>
      </c>
    </row>
    <row r="6385" spans="1:6">
      <c r="A6385" t="s">
        <v>6373</v>
      </c>
      <c r="B6385" t="str">
        <f t="shared" si="266"/>
        <v>0.00048%</v>
      </c>
      <c r="C6385" t="s">
        <v>10</v>
      </c>
      <c r="D6385" t="s">
        <v>10</v>
      </c>
      <c r="E6385" t="str">
        <f>"$ 3,744"</f>
        <v>$ 3,744</v>
      </c>
      <c r="F6385">
        <v>167</v>
      </c>
    </row>
    <row r="6386" spans="1:6">
      <c r="A6386" t="s">
        <v>6374</v>
      </c>
      <c r="B6386" t="str">
        <f t="shared" si="266"/>
        <v>0.00048%</v>
      </c>
      <c r="C6386" t="s">
        <v>10</v>
      </c>
      <c r="D6386" t="s">
        <v>10</v>
      </c>
      <c r="E6386" t="str">
        <f>"$ 3,708"</f>
        <v>$ 3,708</v>
      </c>
      <c r="F6386">
        <v>155</v>
      </c>
    </row>
    <row r="6387" spans="1:6">
      <c r="A6387" t="s">
        <v>6375</v>
      </c>
      <c r="B6387" t="str">
        <f t="shared" si="266"/>
        <v>0.00048%</v>
      </c>
      <c r="C6387" t="s">
        <v>10</v>
      </c>
      <c r="D6387" t="s">
        <v>10</v>
      </c>
      <c r="E6387" t="str">
        <f>"$ 3,727"</f>
        <v>$ 3,727</v>
      </c>
      <c r="F6387">
        <v>840</v>
      </c>
    </row>
    <row r="6388" spans="1:6">
      <c r="A6388" t="s">
        <v>6376</v>
      </c>
      <c r="B6388" t="str">
        <f t="shared" ref="B6388:B6420" si="267">"0.00047%"</f>
        <v>0.00047%</v>
      </c>
      <c r="C6388" t="s">
        <v>10</v>
      </c>
      <c r="D6388" t="s">
        <v>10</v>
      </c>
      <c r="E6388" t="str">
        <f>"$ 3,593"</f>
        <v>$ 3,593</v>
      </c>
      <c r="F6388" s="1">
        <v>4573</v>
      </c>
    </row>
    <row r="6389" spans="1:6">
      <c r="A6389" t="s">
        <v>6377</v>
      </c>
      <c r="B6389" t="str">
        <f t="shared" si="267"/>
        <v>0.00047%</v>
      </c>
      <c r="C6389" t="s">
        <v>10</v>
      </c>
      <c r="D6389" t="s">
        <v>10</v>
      </c>
      <c r="E6389" t="str">
        <f>"$ 3,606"</f>
        <v>$ 3,606</v>
      </c>
      <c r="F6389">
        <v>168</v>
      </c>
    </row>
    <row r="6390" spans="1:6">
      <c r="A6390" t="s">
        <v>6378</v>
      </c>
      <c r="B6390" t="str">
        <f t="shared" si="267"/>
        <v>0.00047%</v>
      </c>
      <c r="C6390" t="s">
        <v>10</v>
      </c>
      <c r="D6390" t="s">
        <v>10</v>
      </c>
      <c r="E6390" t="str">
        <f>"$ 3,606"</f>
        <v>$ 3,606</v>
      </c>
      <c r="F6390" s="1">
        <v>2989</v>
      </c>
    </row>
    <row r="6391" spans="1:6">
      <c r="A6391" t="s">
        <v>6379</v>
      </c>
      <c r="B6391" t="str">
        <f t="shared" si="267"/>
        <v>0.00047%</v>
      </c>
      <c r="C6391" t="s">
        <v>10</v>
      </c>
      <c r="D6391" t="s">
        <v>10</v>
      </c>
      <c r="E6391" t="str">
        <f>"$ 3,622"</f>
        <v>$ 3,622</v>
      </c>
      <c r="F6391" s="1">
        <v>4795</v>
      </c>
    </row>
    <row r="6392" spans="1:6">
      <c r="A6392" t="s">
        <v>6380</v>
      </c>
      <c r="B6392" t="str">
        <f t="shared" si="267"/>
        <v>0.00047%</v>
      </c>
      <c r="C6392" t="s">
        <v>10</v>
      </c>
      <c r="D6392" t="s">
        <v>10</v>
      </c>
      <c r="E6392" t="str">
        <f>"$ 3,650"</f>
        <v>$ 3,650</v>
      </c>
      <c r="F6392" s="1">
        <v>3235</v>
      </c>
    </row>
    <row r="6393" spans="1:6">
      <c r="A6393" t="s">
        <v>6381</v>
      </c>
      <c r="B6393" t="str">
        <f t="shared" si="267"/>
        <v>0.00047%</v>
      </c>
      <c r="C6393" t="s">
        <v>10</v>
      </c>
      <c r="D6393" t="s">
        <v>10</v>
      </c>
      <c r="E6393" t="str">
        <f>"$ 3,648"</f>
        <v>$ 3,648</v>
      </c>
      <c r="F6393" s="1">
        <v>1483</v>
      </c>
    </row>
    <row r="6394" spans="1:6">
      <c r="A6394" t="s">
        <v>6382</v>
      </c>
      <c r="B6394" t="str">
        <f t="shared" si="267"/>
        <v>0.00047%</v>
      </c>
      <c r="C6394" t="s">
        <v>10</v>
      </c>
      <c r="D6394" t="s">
        <v>10</v>
      </c>
      <c r="E6394" t="str">
        <f>"$ 3,620"</f>
        <v>$ 3,620</v>
      </c>
      <c r="F6394" s="1">
        <v>3920</v>
      </c>
    </row>
    <row r="6395" spans="1:6">
      <c r="A6395" t="s">
        <v>6383</v>
      </c>
      <c r="B6395" t="str">
        <f t="shared" si="267"/>
        <v>0.00047%</v>
      </c>
      <c r="C6395" t="s">
        <v>10</v>
      </c>
      <c r="D6395" t="s">
        <v>10</v>
      </c>
      <c r="E6395" t="str">
        <f>"$ 3,639"</f>
        <v>$ 3,639</v>
      </c>
      <c r="F6395" s="1">
        <v>5147</v>
      </c>
    </row>
    <row r="6396" spans="1:6">
      <c r="A6396" t="s">
        <v>6384</v>
      </c>
      <c r="B6396" t="str">
        <f t="shared" si="267"/>
        <v>0.00047%</v>
      </c>
      <c r="C6396" t="s">
        <v>10</v>
      </c>
      <c r="D6396" t="s">
        <v>10</v>
      </c>
      <c r="E6396" t="str">
        <f>"$ 3,615"</f>
        <v>$ 3,615</v>
      </c>
      <c r="F6396" s="1">
        <v>2132</v>
      </c>
    </row>
    <row r="6397" spans="1:6">
      <c r="A6397" t="s">
        <v>6385</v>
      </c>
      <c r="B6397" t="str">
        <f t="shared" si="267"/>
        <v>0.00047%</v>
      </c>
      <c r="C6397" t="s">
        <v>10</v>
      </c>
      <c r="D6397" t="s">
        <v>10</v>
      </c>
      <c r="E6397" t="str">
        <f>"$ 3,594"</f>
        <v>$ 3,594</v>
      </c>
      <c r="F6397">
        <v>150</v>
      </c>
    </row>
    <row r="6398" spans="1:6">
      <c r="A6398" t="s">
        <v>6386</v>
      </c>
      <c r="B6398" t="str">
        <f t="shared" si="267"/>
        <v>0.00047%</v>
      </c>
      <c r="C6398" t="s">
        <v>10</v>
      </c>
      <c r="D6398" t="s">
        <v>10</v>
      </c>
      <c r="E6398" t="str">
        <f>"$ 3,592"</f>
        <v>$ 3,592</v>
      </c>
      <c r="F6398">
        <v>65</v>
      </c>
    </row>
    <row r="6399" spans="1:6">
      <c r="A6399" t="s">
        <v>6387</v>
      </c>
      <c r="B6399" t="str">
        <f t="shared" si="267"/>
        <v>0.00047%</v>
      </c>
      <c r="C6399" t="s">
        <v>10</v>
      </c>
      <c r="D6399" t="s">
        <v>10</v>
      </c>
      <c r="E6399" t="str">
        <f>"$ 3,643"</f>
        <v>$ 3,643</v>
      </c>
      <c r="F6399">
        <v>130</v>
      </c>
    </row>
    <row r="6400" spans="1:6">
      <c r="A6400" t="s">
        <v>6388</v>
      </c>
      <c r="B6400" t="str">
        <f t="shared" si="267"/>
        <v>0.00047%</v>
      </c>
      <c r="C6400" t="s">
        <v>10</v>
      </c>
      <c r="D6400" t="s">
        <v>10</v>
      </c>
      <c r="E6400" t="str">
        <f>"$ 3,663"</f>
        <v>$ 3,663</v>
      </c>
      <c r="F6400">
        <v>92</v>
      </c>
    </row>
    <row r="6401" spans="1:6">
      <c r="A6401" t="s">
        <v>6389</v>
      </c>
      <c r="B6401" t="str">
        <f t="shared" si="267"/>
        <v>0.00047%</v>
      </c>
      <c r="C6401" t="s">
        <v>10</v>
      </c>
      <c r="D6401" t="s">
        <v>10</v>
      </c>
      <c r="E6401" t="str">
        <f>"$ 3,617"</f>
        <v>$ 3,617</v>
      </c>
      <c r="F6401">
        <v>306</v>
      </c>
    </row>
    <row r="6402" spans="1:6">
      <c r="A6402" t="s">
        <v>6390</v>
      </c>
      <c r="B6402" t="str">
        <f t="shared" si="267"/>
        <v>0.00047%</v>
      </c>
      <c r="C6402" t="s">
        <v>10</v>
      </c>
      <c r="D6402" t="s">
        <v>10</v>
      </c>
      <c r="E6402" t="str">
        <f>"$ 3,625"</f>
        <v>$ 3,625</v>
      </c>
      <c r="F6402">
        <v>171</v>
      </c>
    </row>
    <row r="6403" spans="1:6">
      <c r="A6403" t="s">
        <v>6391</v>
      </c>
      <c r="B6403" t="str">
        <f t="shared" si="267"/>
        <v>0.00047%</v>
      </c>
      <c r="C6403" t="s">
        <v>10</v>
      </c>
      <c r="D6403" t="s">
        <v>10</v>
      </c>
      <c r="E6403" t="str">
        <f>"$ 3,600"</f>
        <v>$ 3,600</v>
      </c>
      <c r="F6403" s="1">
        <v>7243</v>
      </c>
    </row>
    <row r="6404" spans="1:6">
      <c r="A6404" t="s">
        <v>6392</v>
      </c>
      <c r="B6404" t="str">
        <f t="shared" si="267"/>
        <v>0.00047%</v>
      </c>
      <c r="C6404" t="s">
        <v>10</v>
      </c>
      <c r="D6404" t="s">
        <v>10</v>
      </c>
      <c r="E6404" t="str">
        <f>"$ 3,650"</f>
        <v>$ 3,650</v>
      </c>
      <c r="F6404" s="1">
        <v>2872</v>
      </c>
    </row>
    <row r="6405" spans="1:6">
      <c r="A6405" t="s">
        <v>6393</v>
      </c>
      <c r="B6405" t="str">
        <f t="shared" si="267"/>
        <v>0.00047%</v>
      </c>
      <c r="C6405" t="s">
        <v>10</v>
      </c>
      <c r="D6405" t="s">
        <v>10</v>
      </c>
      <c r="E6405" t="str">
        <f>"$ 3,618"</f>
        <v>$ 3,618</v>
      </c>
      <c r="F6405">
        <v>15</v>
      </c>
    </row>
    <row r="6406" spans="1:6">
      <c r="A6406" t="s">
        <v>6394</v>
      </c>
      <c r="B6406" t="str">
        <f t="shared" si="267"/>
        <v>0.00047%</v>
      </c>
      <c r="C6406" t="s">
        <v>10</v>
      </c>
      <c r="D6406" t="s">
        <v>10</v>
      </c>
      <c r="E6406" t="str">
        <f>"$ 3,628"</f>
        <v>$ 3,628</v>
      </c>
      <c r="F6406">
        <v>388</v>
      </c>
    </row>
    <row r="6407" spans="1:6">
      <c r="A6407" t="s">
        <v>6395</v>
      </c>
      <c r="B6407" t="str">
        <f t="shared" si="267"/>
        <v>0.00047%</v>
      </c>
      <c r="C6407" t="s">
        <v>10</v>
      </c>
      <c r="D6407" t="s">
        <v>10</v>
      </c>
      <c r="E6407" t="str">
        <f>"$ 3,649"</f>
        <v>$ 3,649</v>
      </c>
      <c r="F6407">
        <v>85</v>
      </c>
    </row>
    <row r="6408" spans="1:6">
      <c r="A6408" t="s">
        <v>6396</v>
      </c>
      <c r="B6408" t="str">
        <f t="shared" si="267"/>
        <v>0.00047%</v>
      </c>
      <c r="C6408" t="s">
        <v>10</v>
      </c>
      <c r="D6408" t="s">
        <v>10</v>
      </c>
      <c r="E6408" t="str">
        <f>"$ 3,644"</f>
        <v>$ 3,644</v>
      </c>
      <c r="F6408" s="1">
        <v>3089</v>
      </c>
    </row>
    <row r="6409" spans="1:6">
      <c r="A6409" t="s">
        <v>6397</v>
      </c>
      <c r="B6409" t="str">
        <f t="shared" si="267"/>
        <v>0.00047%</v>
      </c>
      <c r="C6409" t="s">
        <v>10</v>
      </c>
      <c r="D6409" t="s">
        <v>10</v>
      </c>
      <c r="E6409" t="str">
        <f>"$ 3,615"</f>
        <v>$ 3,615</v>
      </c>
      <c r="F6409">
        <v>57</v>
      </c>
    </row>
    <row r="6410" spans="1:6">
      <c r="A6410" t="s">
        <v>6398</v>
      </c>
      <c r="B6410" t="str">
        <f t="shared" si="267"/>
        <v>0.00047%</v>
      </c>
      <c r="C6410" t="s">
        <v>10</v>
      </c>
      <c r="D6410" t="s">
        <v>10</v>
      </c>
      <c r="E6410" t="str">
        <f>"$ 3,612"</f>
        <v>$ 3,612</v>
      </c>
      <c r="F6410">
        <v>154</v>
      </c>
    </row>
    <row r="6411" spans="1:6">
      <c r="A6411" t="s">
        <v>6399</v>
      </c>
      <c r="B6411" t="str">
        <f t="shared" si="267"/>
        <v>0.00047%</v>
      </c>
      <c r="C6411" t="s">
        <v>10</v>
      </c>
      <c r="D6411" t="s">
        <v>10</v>
      </c>
      <c r="E6411" t="str">
        <f>"$ 3,619"</f>
        <v>$ 3,619</v>
      </c>
      <c r="F6411" s="1">
        <v>2854</v>
      </c>
    </row>
    <row r="6412" spans="1:6">
      <c r="A6412" t="s">
        <v>6400</v>
      </c>
      <c r="B6412" t="str">
        <f t="shared" si="267"/>
        <v>0.00047%</v>
      </c>
      <c r="C6412" t="s">
        <v>10</v>
      </c>
      <c r="D6412" t="s">
        <v>10</v>
      </c>
      <c r="E6412" t="str">
        <f>"$ 3,620"</f>
        <v>$ 3,620</v>
      </c>
      <c r="F6412">
        <v>44</v>
      </c>
    </row>
    <row r="6413" spans="1:6">
      <c r="A6413" t="s">
        <v>6401</v>
      </c>
      <c r="B6413" t="str">
        <f t="shared" si="267"/>
        <v>0.00047%</v>
      </c>
      <c r="C6413" t="s">
        <v>10</v>
      </c>
      <c r="D6413" t="s">
        <v>10</v>
      </c>
      <c r="E6413" t="str">
        <f>"$ 3,637"</f>
        <v>$ 3,637</v>
      </c>
      <c r="F6413" s="1">
        <v>60601</v>
      </c>
    </row>
    <row r="6414" spans="1:6">
      <c r="A6414" t="s">
        <v>6402</v>
      </c>
      <c r="B6414" t="str">
        <f t="shared" si="267"/>
        <v>0.00047%</v>
      </c>
      <c r="C6414" t="s">
        <v>10</v>
      </c>
      <c r="D6414" t="s">
        <v>10</v>
      </c>
      <c r="E6414" t="str">
        <f>"$ 3,601"</f>
        <v>$ 3,601</v>
      </c>
      <c r="F6414" s="1">
        <v>3897</v>
      </c>
    </row>
    <row r="6415" spans="1:6">
      <c r="A6415" t="s">
        <v>6403</v>
      </c>
      <c r="B6415" t="str">
        <f t="shared" si="267"/>
        <v>0.00047%</v>
      </c>
      <c r="C6415" t="s">
        <v>10</v>
      </c>
      <c r="D6415" t="s">
        <v>10</v>
      </c>
      <c r="E6415" t="str">
        <f>"$ 3,630"</f>
        <v>$ 3,630</v>
      </c>
      <c r="F6415">
        <v>559</v>
      </c>
    </row>
    <row r="6416" spans="1:6">
      <c r="A6416" t="s">
        <v>6404</v>
      </c>
      <c r="B6416" t="str">
        <f t="shared" si="267"/>
        <v>0.00047%</v>
      </c>
      <c r="C6416" t="s">
        <v>10</v>
      </c>
      <c r="D6416" t="s">
        <v>10</v>
      </c>
      <c r="E6416" t="str">
        <f>"$ 3,651"</f>
        <v>$ 3,651</v>
      </c>
      <c r="F6416" s="1">
        <v>1190</v>
      </c>
    </row>
    <row r="6417" spans="1:6">
      <c r="A6417" t="s">
        <v>6405</v>
      </c>
      <c r="B6417" t="str">
        <f t="shared" si="267"/>
        <v>0.00047%</v>
      </c>
      <c r="C6417" t="s">
        <v>10</v>
      </c>
      <c r="D6417" t="s">
        <v>10</v>
      </c>
      <c r="E6417" t="str">
        <f>"$ 3,665"</f>
        <v>$ 3,665</v>
      </c>
      <c r="F6417">
        <v>594</v>
      </c>
    </row>
    <row r="6418" spans="1:6">
      <c r="A6418" t="s">
        <v>6406</v>
      </c>
      <c r="B6418" t="str">
        <f t="shared" si="267"/>
        <v>0.00047%</v>
      </c>
      <c r="C6418" t="s">
        <v>10</v>
      </c>
      <c r="D6418" t="s">
        <v>10</v>
      </c>
      <c r="E6418" t="str">
        <f>"$ 3,611"</f>
        <v>$ 3,611</v>
      </c>
      <c r="F6418">
        <v>455</v>
      </c>
    </row>
    <row r="6419" spans="1:6">
      <c r="A6419" t="s">
        <v>6407</v>
      </c>
      <c r="B6419" t="str">
        <f t="shared" si="267"/>
        <v>0.00047%</v>
      </c>
      <c r="C6419" t="s">
        <v>10</v>
      </c>
      <c r="D6419" t="s">
        <v>10</v>
      </c>
      <c r="E6419" t="str">
        <f>"$ 3,620"</f>
        <v>$ 3,620</v>
      </c>
      <c r="F6419">
        <v>151</v>
      </c>
    </row>
    <row r="6420" spans="1:6">
      <c r="A6420" t="s">
        <v>6408</v>
      </c>
      <c r="B6420" t="str">
        <f t="shared" si="267"/>
        <v>0.00047%</v>
      </c>
      <c r="C6420" t="s">
        <v>10</v>
      </c>
      <c r="D6420" t="s">
        <v>10</v>
      </c>
      <c r="E6420" t="str">
        <f>"$ 3,666"</f>
        <v>$ 3,666</v>
      </c>
      <c r="F6420" s="1">
        <v>15582</v>
      </c>
    </row>
    <row r="6421" spans="1:6">
      <c r="A6421" t="s">
        <v>6409</v>
      </c>
      <c r="B6421" t="str">
        <f t="shared" ref="B6421:B6455" si="268">"0.00046%"</f>
        <v>0.00046%</v>
      </c>
      <c r="C6421" t="s">
        <v>10</v>
      </c>
      <c r="D6421" t="s">
        <v>10</v>
      </c>
      <c r="E6421" t="str">
        <f>"$ 3,567"</f>
        <v>$ 3,567</v>
      </c>
      <c r="F6421">
        <v>886</v>
      </c>
    </row>
    <row r="6422" spans="1:6">
      <c r="A6422" t="s">
        <v>6410</v>
      </c>
      <c r="B6422" t="str">
        <f t="shared" si="268"/>
        <v>0.00046%</v>
      </c>
      <c r="C6422" t="s">
        <v>10</v>
      </c>
      <c r="D6422" t="s">
        <v>10</v>
      </c>
      <c r="E6422" t="str">
        <f>"$ 3,587"</f>
        <v>$ 3,587</v>
      </c>
      <c r="F6422">
        <v>188</v>
      </c>
    </row>
    <row r="6423" spans="1:6">
      <c r="A6423" t="s">
        <v>6411</v>
      </c>
      <c r="B6423" t="str">
        <f t="shared" si="268"/>
        <v>0.00046%</v>
      </c>
      <c r="C6423" t="s">
        <v>10</v>
      </c>
      <c r="D6423" t="s">
        <v>10</v>
      </c>
      <c r="E6423" t="str">
        <f>"$ 3,586"</f>
        <v>$ 3,586</v>
      </c>
      <c r="F6423">
        <v>247</v>
      </c>
    </row>
    <row r="6424" spans="1:6">
      <c r="A6424" t="s">
        <v>6412</v>
      </c>
      <c r="B6424" t="str">
        <f t="shared" si="268"/>
        <v>0.00046%</v>
      </c>
      <c r="C6424" t="s">
        <v>10</v>
      </c>
      <c r="D6424" t="s">
        <v>10</v>
      </c>
      <c r="E6424" t="str">
        <f>"$ 3,559"</f>
        <v>$ 3,559</v>
      </c>
      <c r="F6424" s="1">
        <v>2160</v>
      </c>
    </row>
    <row r="6425" spans="1:6">
      <c r="A6425" t="s">
        <v>6413</v>
      </c>
      <c r="B6425" t="str">
        <f t="shared" si="268"/>
        <v>0.00046%</v>
      </c>
      <c r="C6425" t="s">
        <v>10</v>
      </c>
      <c r="D6425" t="s">
        <v>10</v>
      </c>
      <c r="E6425" t="str">
        <f>"$ 3,528"</f>
        <v>$ 3,528</v>
      </c>
      <c r="F6425">
        <v>45</v>
      </c>
    </row>
    <row r="6426" spans="1:6">
      <c r="A6426" t="s">
        <v>6414</v>
      </c>
      <c r="B6426" t="str">
        <f t="shared" si="268"/>
        <v>0.00046%</v>
      </c>
      <c r="C6426" t="s">
        <v>10</v>
      </c>
      <c r="D6426" t="s">
        <v>10</v>
      </c>
      <c r="E6426" t="str">
        <f>"$ 3,571"</f>
        <v>$ 3,571</v>
      </c>
      <c r="F6426" s="1">
        <v>1407</v>
      </c>
    </row>
    <row r="6427" spans="1:6">
      <c r="A6427" t="s">
        <v>6415</v>
      </c>
      <c r="B6427" t="str">
        <f t="shared" si="268"/>
        <v>0.00046%</v>
      </c>
      <c r="C6427" t="s">
        <v>10</v>
      </c>
      <c r="D6427" t="s">
        <v>10</v>
      </c>
      <c r="E6427" t="str">
        <f>"$ 3,543"</f>
        <v>$ 3,543</v>
      </c>
      <c r="F6427" s="1">
        <v>3761</v>
      </c>
    </row>
    <row r="6428" spans="1:6">
      <c r="A6428" t="s">
        <v>6416</v>
      </c>
      <c r="B6428" t="str">
        <f t="shared" si="268"/>
        <v>0.00046%</v>
      </c>
      <c r="C6428" t="s">
        <v>10</v>
      </c>
      <c r="D6428" t="s">
        <v>10</v>
      </c>
      <c r="E6428" t="str">
        <f>"$ 3,532"</f>
        <v>$ 3,532</v>
      </c>
      <c r="F6428">
        <v>28</v>
      </c>
    </row>
    <row r="6429" spans="1:6">
      <c r="A6429" t="s">
        <v>6417</v>
      </c>
      <c r="B6429" t="str">
        <f t="shared" si="268"/>
        <v>0.00046%</v>
      </c>
      <c r="C6429" t="s">
        <v>10</v>
      </c>
      <c r="D6429" t="s">
        <v>10</v>
      </c>
      <c r="E6429" t="str">
        <f>"$ 3,561"</f>
        <v>$ 3,561</v>
      </c>
      <c r="F6429">
        <v>149</v>
      </c>
    </row>
    <row r="6430" spans="1:6">
      <c r="A6430" t="s">
        <v>6418</v>
      </c>
      <c r="B6430" t="str">
        <f t="shared" si="268"/>
        <v>0.00046%</v>
      </c>
      <c r="C6430" t="s">
        <v>10</v>
      </c>
      <c r="D6430" t="s">
        <v>10</v>
      </c>
      <c r="E6430" t="str">
        <f>"$ 3,517"</f>
        <v>$ 3,517</v>
      </c>
      <c r="F6430">
        <v>66</v>
      </c>
    </row>
    <row r="6431" spans="1:6">
      <c r="A6431" t="s">
        <v>6419</v>
      </c>
      <c r="B6431" t="str">
        <f t="shared" si="268"/>
        <v>0.00046%</v>
      </c>
      <c r="C6431" t="s">
        <v>10</v>
      </c>
      <c r="D6431" t="s">
        <v>10</v>
      </c>
      <c r="E6431" t="str">
        <f>"$ 3,531"</f>
        <v>$ 3,531</v>
      </c>
      <c r="F6431">
        <v>14</v>
      </c>
    </row>
    <row r="6432" spans="1:6">
      <c r="A6432" t="s">
        <v>6420</v>
      </c>
      <c r="B6432" t="str">
        <f t="shared" si="268"/>
        <v>0.00046%</v>
      </c>
      <c r="C6432" t="s">
        <v>10</v>
      </c>
      <c r="D6432" t="s">
        <v>10</v>
      </c>
      <c r="E6432" t="str">
        <f>"$ 3,525"</f>
        <v>$ 3,525</v>
      </c>
      <c r="F6432" s="1">
        <v>7381</v>
      </c>
    </row>
    <row r="6433" spans="1:6">
      <c r="A6433" t="s">
        <v>6421</v>
      </c>
      <c r="B6433" t="str">
        <f t="shared" si="268"/>
        <v>0.00046%</v>
      </c>
      <c r="C6433" t="s">
        <v>10</v>
      </c>
      <c r="D6433" t="s">
        <v>10</v>
      </c>
      <c r="E6433" t="str">
        <f>"$ 3,582"</f>
        <v>$ 3,582</v>
      </c>
      <c r="F6433">
        <v>777</v>
      </c>
    </row>
    <row r="6434" spans="1:6">
      <c r="A6434" t="s">
        <v>6422</v>
      </c>
      <c r="B6434" t="str">
        <f t="shared" si="268"/>
        <v>0.00046%</v>
      </c>
      <c r="C6434" t="s">
        <v>10</v>
      </c>
      <c r="D6434" t="s">
        <v>10</v>
      </c>
      <c r="E6434" t="str">
        <f>"$ 3,522"</f>
        <v>$ 3,522</v>
      </c>
      <c r="F6434">
        <v>56</v>
      </c>
    </row>
    <row r="6435" spans="1:6">
      <c r="A6435" t="s">
        <v>6423</v>
      </c>
      <c r="B6435" t="str">
        <f t="shared" si="268"/>
        <v>0.00046%</v>
      </c>
      <c r="C6435" t="s">
        <v>10</v>
      </c>
      <c r="D6435" t="s">
        <v>10</v>
      </c>
      <c r="E6435" t="str">
        <f>"$ 3,548"</f>
        <v>$ 3,548</v>
      </c>
      <c r="F6435" s="1">
        <v>2804</v>
      </c>
    </row>
    <row r="6436" spans="1:6">
      <c r="A6436" t="s">
        <v>6424</v>
      </c>
      <c r="B6436" t="str">
        <f t="shared" si="268"/>
        <v>0.00046%</v>
      </c>
      <c r="C6436" t="s">
        <v>10</v>
      </c>
      <c r="D6436" t="s">
        <v>10</v>
      </c>
      <c r="E6436" t="str">
        <f>"$ 3,520"</f>
        <v>$ 3,520</v>
      </c>
      <c r="F6436">
        <v>58</v>
      </c>
    </row>
    <row r="6437" spans="1:6">
      <c r="A6437" t="s">
        <v>6425</v>
      </c>
      <c r="B6437" t="str">
        <f t="shared" si="268"/>
        <v>0.00046%</v>
      </c>
      <c r="C6437" t="s">
        <v>10</v>
      </c>
      <c r="D6437" t="s">
        <v>10</v>
      </c>
      <c r="E6437" t="str">
        <f>"$ 3,540"</f>
        <v>$ 3,540</v>
      </c>
      <c r="F6437">
        <v>464</v>
      </c>
    </row>
    <row r="6438" spans="1:6">
      <c r="A6438" t="s">
        <v>6426</v>
      </c>
      <c r="B6438" t="str">
        <f t="shared" si="268"/>
        <v>0.00046%</v>
      </c>
      <c r="C6438" t="s">
        <v>10</v>
      </c>
      <c r="D6438" t="s">
        <v>10</v>
      </c>
      <c r="E6438" t="str">
        <f>"$ 3,589"</f>
        <v>$ 3,589</v>
      </c>
      <c r="F6438">
        <v>112</v>
      </c>
    </row>
    <row r="6439" spans="1:6">
      <c r="A6439" t="s">
        <v>6427</v>
      </c>
      <c r="B6439" t="str">
        <f t="shared" si="268"/>
        <v>0.00046%</v>
      </c>
      <c r="C6439" t="s">
        <v>10</v>
      </c>
      <c r="D6439" t="s">
        <v>10</v>
      </c>
      <c r="E6439" t="str">
        <f>"$ 3,556"</f>
        <v>$ 3,556</v>
      </c>
      <c r="F6439">
        <v>693</v>
      </c>
    </row>
    <row r="6440" spans="1:6">
      <c r="A6440" t="s">
        <v>6428</v>
      </c>
      <c r="B6440" t="str">
        <f t="shared" si="268"/>
        <v>0.00046%</v>
      </c>
      <c r="C6440" t="s">
        <v>10</v>
      </c>
      <c r="D6440" t="s">
        <v>10</v>
      </c>
      <c r="E6440" t="str">
        <f>"$ 3,530"</f>
        <v>$ 3,530</v>
      </c>
      <c r="F6440">
        <v>130</v>
      </c>
    </row>
    <row r="6441" spans="1:6">
      <c r="A6441" t="s">
        <v>6429</v>
      </c>
      <c r="B6441" t="str">
        <f t="shared" si="268"/>
        <v>0.00046%</v>
      </c>
      <c r="C6441" t="s">
        <v>10</v>
      </c>
      <c r="D6441" t="s">
        <v>10</v>
      </c>
      <c r="E6441" t="str">
        <f>"$ 3,554"</f>
        <v>$ 3,554</v>
      </c>
      <c r="F6441" s="1">
        <v>2208</v>
      </c>
    </row>
    <row r="6442" spans="1:6">
      <c r="A6442" t="s">
        <v>6430</v>
      </c>
      <c r="B6442" t="str">
        <f t="shared" si="268"/>
        <v>0.00046%</v>
      </c>
      <c r="C6442" t="s">
        <v>10</v>
      </c>
      <c r="D6442" t="s">
        <v>10</v>
      </c>
      <c r="E6442" t="str">
        <f>"$ 3,550"</f>
        <v>$ 3,550</v>
      </c>
      <c r="F6442" s="1">
        <v>1199</v>
      </c>
    </row>
    <row r="6443" spans="1:6">
      <c r="A6443" t="s">
        <v>6431</v>
      </c>
      <c r="B6443" t="str">
        <f t="shared" si="268"/>
        <v>0.00046%</v>
      </c>
      <c r="C6443" t="s">
        <v>10</v>
      </c>
      <c r="D6443" t="s">
        <v>10</v>
      </c>
      <c r="E6443" t="str">
        <f>"$ 3,545"</f>
        <v>$ 3,545</v>
      </c>
      <c r="F6443" s="1">
        <v>2832</v>
      </c>
    </row>
    <row r="6444" spans="1:6">
      <c r="A6444" t="s">
        <v>6432</v>
      </c>
      <c r="B6444" t="str">
        <f t="shared" si="268"/>
        <v>0.00046%</v>
      </c>
      <c r="C6444" t="s">
        <v>10</v>
      </c>
      <c r="D6444" t="s">
        <v>10</v>
      </c>
      <c r="E6444" t="str">
        <f>"$ 3,537"</f>
        <v>$ 3,537</v>
      </c>
      <c r="F6444">
        <v>77</v>
      </c>
    </row>
    <row r="6445" spans="1:6">
      <c r="A6445" t="s">
        <v>6433</v>
      </c>
      <c r="B6445" t="str">
        <f t="shared" si="268"/>
        <v>0.00046%</v>
      </c>
      <c r="C6445" t="s">
        <v>10</v>
      </c>
      <c r="D6445" t="s">
        <v>10</v>
      </c>
      <c r="E6445" t="str">
        <f>"$ 3,572"</f>
        <v>$ 3,572</v>
      </c>
      <c r="F6445">
        <v>175</v>
      </c>
    </row>
    <row r="6446" spans="1:6">
      <c r="A6446" t="s">
        <v>6434</v>
      </c>
      <c r="B6446" t="str">
        <f t="shared" si="268"/>
        <v>0.00046%</v>
      </c>
      <c r="C6446" t="s">
        <v>10</v>
      </c>
      <c r="D6446" t="s">
        <v>10</v>
      </c>
      <c r="E6446" t="str">
        <f>"$ 3,536"</f>
        <v>$ 3,536</v>
      </c>
      <c r="F6446">
        <v>93</v>
      </c>
    </row>
    <row r="6447" spans="1:6">
      <c r="A6447" t="s">
        <v>6435</v>
      </c>
      <c r="B6447" t="str">
        <f t="shared" si="268"/>
        <v>0.00046%</v>
      </c>
      <c r="C6447" t="s">
        <v>10</v>
      </c>
      <c r="D6447" t="s">
        <v>10</v>
      </c>
      <c r="E6447" t="str">
        <f>"$ 3,575"</f>
        <v>$ 3,575</v>
      </c>
      <c r="F6447">
        <v>477</v>
      </c>
    </row>
    <row r="6448" spans="1:6">
      <c r="A6448" t="s">
        <v>6436</v>
      </c>
      <c r="B6448" t="str">
        <f t="shared" si="268"/>
        <v>0.00046%</v>
      </c>
      <c r="C6448" t="s">
        <v>10</v>
      </c>
      <c r="D6448" t="s">
        <v>10</v>
      </c>
      <c r="E6448" t="str">
        <f>"$ 3,544"</f>
        <v>$ 3,544</v>
      </c>
      <c r="F6448">
        <v>631</v>
      </c>
    </row>
    <row r="6449" spans="1:6">
      <c r="A6449" t="s">
        <v>6437</v>
      </c>
      <c r="B6449" t="str">
        <f t="shared" si="268"/>
        <v>0.00046%</v>
      </c>
      <c r="C6449" t="s">
        <v>10</v>
      </c>
      <c r="D6449" t="s">
        <v>10</v>
      </c>
      <c r="E6449" t="str">
        <f>"$ 3,575"</f>
        <v>$ 3,575</v>
      </c>
      <c r="F6449">
        <v>254</v>
      </c>
    </row>
    <row r="6450" spans="1:6">
      <c r="A6450" t="s">
        <v>6438</v>
      </c>
      <c r="B6450" t="str">
        <f t="shared" si="268"/>
        <v>0.00046%</v>
      </c>
      <c r="C6450" t="s">
        <v>10</v>
      </c>
      <c r="D6450" t="s">
        <v>10</v>
      </c>
      <c r="E6450" t="str">
        <f>"$ 3,532"</f>
        <v>$ 3,532</v>
      </c>
      <c r="F6450">
        <v>127</v>
      </c>
    </row>
    <row r="6451" spans="1:6">
      <c r="A6451" t="s">
        <v>6439</v>
      </c>
      <c r="B6451" t="str">
        <f t="shared" si="268"/>
        <v>0.00046%</v>
      </c>
      <c r="C6451" t="s">
        <v>10</v>
      </c>
      <c r="D6451" t="s">
        <v>10</v>
      </c>
      <c r="E6451" t="str">
        <f>"$ 3,553"</f>
        <v>$ 3,553</v>
      </c>
      <c r="F6451">
        <v>147</v>
      </c>
    </row>
    <row r="6452" spans="1:6">
      <c r="A6452" t="s">
        <v>6440</v>
      </c>
      <c r="B6452" t="str">
        <f t="shared" si="268"/>
        <v>0.00046%</v>
      </c>
      <c r="C6452" t="s">
        <v>10</v>
      </c>
      <c r="D6452" t="s">
        <v>10</v>
      </c>
      <c r="E6452" t="str">
        <f>"$ 3,550"</f>
        <v>$ 3,550</v>
      </c>
      <c r="F6452">
        <v>66</v>
      </c>
    </row>
    <row r="6453" spans="1:6">
      <c r="A6453" t="s">
        <v>6441</v>
      </c>
      <c r="B6453" t="str">
        <f t="shared" si="268"/>
        <v>0.00046%</v>
      </c>
      <c r="C6453" t="s">
        <v>10</v>
      </c>
      <c r="D6453" t="s">
        <v>10</v>
      </c>
      <c r="E6453" t="str">
        <f>"$ 3,576"</f>
        <v>$ 3,576</v>
      </c>
      <c r="F6453" s="1">
        <v>2957</v>
      </c>
    </row>
    <row r="6454" spans="1:6">
      <c r="A6454" t="s">
        <v>6442</v>
      </c>
      <c r="B6454" t="str">
        <f t="shared" si="268"/>
        <v>0.00046%</v>
      </c>
      <c r="C6454" t="s">
        <v>10</v>
      </c>
      <c r="D6454" t="s">
        <v>10</v>
      </c>
      <c r="E6454" t="str">
        <f>"$ 3,514"</f>
        <v>$ 3,514</v>
      </c>
      <c r="F6454">
        <v>502</v>
      </c>
    </row>
    <row r="6455" spans="1:6">
      <c r="A6455" t="s">
        <v>6443</v>
      </c>
      <c r="B6455" t="str">
        <f t="shared" si="268"/>
        <v>0.00046%</v>
      </c>
      <c r="C6455" t="s">
        <v>10</v>
      </c>
      <c r="D6455" t="s">
        <v>10</v>
      </c>
      <c r="E6455" t="str">
        <f>"$ 3,580"</f>
        <v>$ 3,580</v>
      </c>
      <c r="F6455">
        <v>99</v>
      </c>
    </row>
    <row r="6456" spans="1:6">
      <c r="A6456" t="s">
        <v>6444</v>
      </c>
      <c r="B6456" t="str">
        <f t="shared" ref="B6456:B6484" si="269">"0.00045%"</f>
        <v>0.00045%</v>
      </c>
      <c r="C6456" t="s">
        <v>10</v>
      </c>
      <c r="D6456" t="s">
        <v>10</v>
      </c>
      <c r="E6456" t="str">
        <f>"$ 3,444"</f>
        <v>$ 3,444</v>
      </c>
      <c r="F6456" s="1">
        <v>7393</v>
      </c>
    </row>
    <row r="6457" spans="1:6">
      <c r="A6457" t="s">
        <v>6445</v>
      </c>
      <c r="B6457" t="str">
        <f t="shared" si="269"/>
        <v>0.00045%</v>
      </c>
      <c r="C6457" t="s">
        <v>10</v>
      </c>
      <c r="D6457" t="s">
        <v>10</v>
      </c>
      <c r="E6457" t="str">
        <f>"$ 3,441"</f>
        <v>$ 3,441</v>
      </c>
      <c r="F6457">
        <v>248</v>
      </c>
    </row>
    <row r="6458" spans="1:6">
      <c r="A6458" t="s">
        <v>6446</v>
      </c>
      <c r="B6458" t="str">
        <f t="shared" si="269"/>
        <v>0.00045%</v>
      </c>
      <c r="C6458" t="s">
        <v>10</v>
      </c>
      <c r="D6458" t="s">
        <v>10</v>
      </c>
      <c r="E6458" t="str">
        <f>"$ 3,436"</f>
        <v>$ 3,436</v>
      </c>
      <c r="F6458" s="1">
        <v>2535</v>
      </c>
    </row>
    <row r="6459" spans="1:6">
      <c r="A6459" t="s">
        <v>6447</v>
      </c>
      <c r="B6459" t="str">
        <f t="shared" si="269"/>
        <v>0.00045%</v>
      </c>
      <c r="C6459" t="s">
        <v>10</v>
      </c>
      <c r="D6459" t="s">
        <v>10</v>
      </c>
      <c r="E6459" t="str">
        <f>"$ 3,469"</f>
        <v>$ 3,469</v>
      </c>
      <c r="F6459">
        <v>67</v>
      </c>
    </row>
    <row r="6460" spans="1:6">
      <c r="A6460" t="s">
        <v>6448</v>
      </c>
      <c r="B6460" t="str">
        <f t="shared" si="269"/>
        <v>0.00045%</v>
      </c>
      <c r="C6460" t="s">
        <v>10</v>
      </c>
      <c r="D6460" t="s">
        <v>10</v>
      </c>
      <c r="E6460" t="str">
        <f>"$ 3,449"</f>
        <v>$ 3,449</v>
      </c>
      <c r="F6460" s="1">
        <v>4877</v>
      </c>
    </row>
    <row r="6461" spans="1:6">
      <c r="A6461" t="s">
        <v>6449</v>
      </c>
      <c r="B6461" t="str">
        <f t="shared" si="269"/>
        <v>0.00045%</v>
      </c>
      <c r="C6461" t="s">
        <v>10</v>
      </c>
      <c r="D6461" t="s">
        <v>10</v>
      </c>
      <c r="E6461" t="str">
        <f>"$ 3,449"</f>
        <v>$ 3,449</v>
      </c>
      <c r="F6461" s="1">
        <v>10754</v>
      </c>
    </row>
    <row r="6462" spans="1:6">
      <c r="A6462" t="s">
        <v>6450</v>
      </c>
      <c r="B6462" t="str">
        <f t="shared" si="269"/>
        <v>0.00045%</v>
      </c>
      <c r="C6462" t="s">
        <v>10</v>
      </c>
      <c r="D6462" t="s">
        <v>10</v>
      </c>
      <c r="E6462" t="str">
        <f>"$ 3,484"</f>
        <v>$ 3,484</v>
      </c>
      <c r="F6462" s="1">
        <v>6865</v>
      </c>
    </row>
    <row r="6463" spans="1:6">
      <c r="A6463" t="s">
        <v>6451</v>
      </c>
      <c r="B6463" t="str">
        <f t="shared" si="269"/>
        <v>0.00045%</v>
      </c>
      <c r="C6463" t="s">
        <v>10</v>
      </c>
      <c r="D6463" t="s">
        <v>10</v>
      </c>
      <c r="E6463" t="str">
        <f>"$ 3,460"</f>
        <v>$ 3,460</v>
      </c>
      <c r="F6463">
        <v>211</v>
      </c>
    </row>
    <row r="6464" spans="1:6">
      <c r="A6464" t="s">
        <v>6452</v>
      </c>
      <c r="B6464" t="str">
        <f t="shared" si="269"/>
        <v>0.00045%</v>
      </c>
      <c r="C6464" t="s">
        <v>10</v>
      </c>
      <c r="D6464" t="s">
        <v>10</v>
      </c>
      <c r="E6464" t="str">
        <f>"$ 3,498"</f>
        <v>$ 3,498</v>
      </c>
      <c r="F6464">
        <v>547</v>
      </c>
    </row>
    <row r="6465" spans="1:6">
      <c r="A6465" t="s">
        <v>6453</v>
      </c>
      <c r="B6465" t="str">
        <f t="shared" si="269"/>
        <v>0.00045%</v>
      </c>
      <c r="C6465" t="s">
        <v>10</v>
      </c>
      <c r="D6465" t="s">
        <v>10</v>
      </c>
      <c r="E6465" t="str">
        <f>"$ 3,474"</f>
        <v>$ 3,474</v>
      </c>
      <c r="F6465">
        <v>96</v>
      </c>
    </row>
    <row r="6466" spans="1:6">
      <c r="A6466" t="s">
        <v>6454</v>
      </c>
      <c r="B6466" t="str">
        <f t="shared" si="269"/>
        <v>0.00045%</v>
      </c>
      <c r="C6466" t="s">
        <v>10</v>
      </c>
      <c r="D6466" t="s">
        <v>10</v>
      </c>
      <c r="E6466" t="str">
        <f>"$ 3,497"</f>
        <v>$ 3,497</v>
      </c>
      <c r="F6466" s="1">
        <v>1356</v>
      </c>
    </row>
    <row r="6467" spans="1:6">
      <c r="A6467" t="s">
        <v>6455</v>
      </c>
      <c r="B6467" t="str">
        <f t="shared" si="269"/>
        <v>0.00045%</v>
      </c>
      <c r="C6467" t="s">
        <v>10</v>
      </c>
      <c r="D6467" t="s">
        <v>10</v>
      </c>
      <c r="E6467" t="str">
        <f>"$ 3,447"</f>
        <v>$ 3,447</v>
      </c>
      <c r="F6467">
        <v>194</v>
      </c>
    </row>
    <row r="6468" spans="1:6">
      <c r="A6468" t="s">
        <v>6456</v>
      </c>
      <c r="B6468" t="str">
        <f t="shared" si="269"/>
        <v>0.00045%</v>
      </c>
      <c r="C6468" t="s">
        <v>10</v>
      </c>
      <c r="D6468" t="s">
        <v>10</v>
      </c>
      <c r="E6468" t="str">
        <f>"$ 3,492"</f>
        <v>$ 3,492</v>
      </c>
      <c r="F6468">
        <v>302</v>
      </c>
    </row>
    <row r="6469" spans="1:6">
      <c r="A6469" t="s">
        <v>6457</v>
      </c>
      <c r="B6469" t="str">
        <f t="shared" si="269"/>
        <v>0.00045%</v>
      </c>
      <c r="C6469" t="s">
        <v>10</v>
      </c>
      <c r="D6469" t="s">
        <v>10</v>
      </c>
      <c r="E6469" t="str">
        <f>"$ 3,442"</f>
        <v>$ 3,442</v>
      </c>
      <c r="F6469" s="1">
        <v>12194</v>
      </c>
    </row>
    <row r="6470" spans="1:6">
      <c r="A6470" t="s">
        <v>6458</v>
      </c>
      <c r="B6470" t="str">
        <f t="shared" si="269"/>
        <v>0.00045%</v>
      </c>
      <c r="C6470" t="s">
        <v>10</v>
      </c>
      <c r="D6470" t="s">
        <v>10</v>
      </c>
      <c r="E6470" t="str">
        <f>"$ 3,441"</f>
        <v>$ 3,441</v>
      </c>
      <c r="F6470">
        <v>260</v>
      </c>
    </row>
    <row r="6471" spans="1:6">
      <c r="A6471" t="s">
        <v>6459</v>
      </c>
      <c r="B6471" t="str">
        <f t="shared" si="269"/>
        <v>0.00045%</v>
      </c>
      <c r="C6471" t="s">
        <v>10</v>
      </c>
      <c r="D6471" t="s">
        <v>10</v>
      </c>
      <c r="E6471" t="str">
        <f>"$ 3,498"</f>
        <v>$ 3,498</v>
      </c>
      <c r="F6471">
        <v>882</v>
      </c>
    </row>
    <row r="6472" spans="1:6">
      <c r="A6472" t="s">
        <v>6460</v>
      </c>
      <c r="B6472" t="str">
        <f t="shared" si="269"/>
        <v>0.00045%</v>
      </c>
      <c r="C6472" t="s">
        <v>10</v>
      </c>
      <c r="D6472" t="s">
        <v>10</v>
      </c>
      <c r="E6472" t="str">
        <f>"$ 3,480"</f>
        <v>$ 3,480</v>
      </c>
      <c r="F6472">
        <v>213</v>
      </c>
    </row>
    <row r="6473" spans="1:6">
      <c r="A6473" t="s">
        <v>6461</v>
      </c>
      <c r="B6473" t="str">
        <f t="shared" si="269"/>
        <v>0.00045%</v>
      </c>
      <c r="C6473" t="s">
        <v>10</v>
      </c>
      <c r="D6473" t="s">
        <v>10</v>
      </c>
      <c r="E6473" t="str">
        <f>"$ 3,498"</f>
        <v>$ 3,498</v>
      </c>
      <c r="F6473">
        <v>133</v>
      </c>
    </row>
    <row r="6474" spans="1:6">
      <c r="A6474" t="s">
        <v>6462</v>
      </c>
      <c r="B6474" t="str">
        <f t="shared" si="269"/>
        <v>0.00045%</v>
      </c>
      <c r="C6474" t="s">
        <v>10</v>
      </c>
      <c r="D6474" t="s">
        <v>10</v>
      </c>
      <c r="E6474" t="str">
        <f>"$ 3,501"</f>
        <v>$ 3,501</v>
      </c>
      <c r="F6474">
        <v>508</v>
      </c>
    </row>
    <row r="6475" spans="1:6">
      <c r="A6475" t="s">
        <v>6463</v>
      </c>
      <c r="B6475" t="str">
        <f t="shared" si="269"/>
        <v>0.00045%</v>
      </c>
      <c r="C6475" t="s">
        <v>10</v>
      </c>
      <c r="D6475" t="s">
        <v>10</v>
      </c>
      <c r="E6475" t="str">
        <f>"$ 3,461"</f>
        <v>$ 3,461</v>
      </c>
      <c r="F6475">
        <v>244</v>
      </c>
    </row>
    <row r="6476" spans="1:6">
      <c r="A6476" t="s">
        <v>6464</v>
      </c>
      <c r="B6476" t="str">
        <f t="shared" si="269"/>
        <v>0.00045%</v>
      </c>
      <c r="C6476" t="s">
        <v>10</v>
      </c>
      <c r="D6476" t="s">
        <v>10</v>
      </c>
      <c r="E6476" t="str">
        <f>"$ 3,474"</f>
        <v>$ 3,474</v>
      </c>
      <c r="F6476">
        <v>125</v>
      </c>
    </row>
    <row r="6477" spans="1:6">
      <c r="A6477" t="s">
        <v>6465</v>
      </c>
      <c r="B6477" t="str">
        <f t="shared" si="269"/>
        <v>0.00045%</v>
      </c>
      <c r="C6477" t="s">
        <v>10</v>
      </c>
      <c r="D6477" t="s">
        <v>10</v>
      </c>
      <c r="E6477" t="str">
        <f>"$ 3,467"</f>
        <v>$ 3,467</v>
      </c>
      <c r="F6477" s="1">
        <v>6500</v>
      </c>
    </row>
    <row r="6478" spans="1:6">
      <c r="A6478" t="s">
        <v>6466</v>
      </c>
      <c r="B6478" t="str">
        <f t="shared" si="269"/>
        <v>0.00045%</v>
      </c>
      <c r="C6478" t="s">
        <v>10</v>
      </c>
      <c r="D6478" t="s">
        <v>10</v>
      </c>
      <c r="E6478" t="str">
        <f>"$ 3,463"</f>
        <v>$ 3,463</v>
      </c>
      <c r="F6478" s="1">
        <v>2188</v>
      </c>
    </row>
    <row r="6479" spans="1:6">
      <c r="A6479" t="s">
        <v>6467</v>
      </c>
      <c r="B6479" t="str">
        <f t="shared" si="269"/>
        <v>0.00045%</v>
      </c>
      <c r="C6479" t="s">
        <v>10</v>
      </c>
      <c r="D6479" t="s">
        <v>10</v>
      </c>
      <c r="E6479" t="str">
        <f>"$ 3,478"</f>
        <v>$ 3,478</v>
      </c>
      <c r="F6479" s="1">
        <v>5995</v>
      </c>
    </row>
    <row r="6480" spans="1:6">
      <c r="A6480" t="s">
        <v>6468</v>
      </c>
      <c r="B6480" t="str">
        <f t="shared" si="269"/>
        <v>0.00045%</v>
      </c>
      <c r="C6480" t="s">
        <v>10</v>
      </c>
      <c r="D6480" t="s">
        <v>10</v>
      </c>
      <c r="E6480" t="str">
        <f>"$ 3,471"</f>
        <v>$ 3,471</v>
      </c>
      <c r="F6480">
        <v>149</v>
      </c>
    </row>
    <row r="6481" spans="1:6">
      <c r="A6481" t="s">
        <v>6469</v>
      </c>
      <c r="B6481" t="str">
        <f t="shared" si="269"/>
        <v>0.00045%</v>
      </c>
      <c r="C6481" t="s">
        <v>10</v>
      </c>
      <c r="D6481" t="s">
        <v>10</v>
      </c>
      <c r="E6481" t="str">
        <f>"$ 3,504"</f>
        <v>$ 3,504</v>
      </c>
      <c r="F6481">
        <v>92</v>
      </c>
    </row>
    <row r="6482" spans="1:6">
      <c r="A6482" t="s">
        <v>6470</v>
      </c>
      <c r="B6482" t="str">
        <f t="shared" si="269"/>
        <v>0.00045%</v>
      </c>
      <c r="C6482" t="s">
        <v>10</v>
      </c>
      <c r="D6482" t="s">
        <v>10</v>
      </c>
      <c r="E6482" t="str">
        <f>"$ 3,438"</f>
        <v>$ 3,438</v>
      </c>
      <c r="F6482">
        <v>985</v>
      </c>
    </row>
    <row r="6483" spans="1:6">
      <c r="A6483" t="s">
        <v>6471</v>
      </c>
      <c r="B6483" t="str">
        <f t="shared" si="269"/>
        <v>0.00045%</v>
      </c>
      <c r="C6483" t="s">
        <v>10</v>
      </c>
      <c r="D6483" t="s">
        <v>10</v>
      </c>
      <c r="E6483" t="str">
        <f>"$ 3,474"</f>
        <v>$ 3,474</v>
      </c>
      <c r="F6483">
        <v>85</v>
      </c>
    </row>
    <row r="6484" spans="1:6">
      <c r="A6484" t="s">
        <v>6472</v>
      </c>
      <c r="B6484" t="str">
        <f t="shared" si="269"/>
        <v>0.00045%</v>
      </c>
      <c r="C6484" t="s">
        <v>10</v>
      </c>
      <c r="D6484" t="s">
        <v>10</v>
      </c>
      <c r="E6484" t="str">
        <f>"$ 3,513"</f>
        <v>$ 3,513</v>
      </c>
      <c r="F6484">
        <v>958</v>
      </c>
    </row>
    <row r="6485" spans="1:6">
      <c r="A6485" t="s">
        <v>6473</v>
      </c>
      <c r="B6485" t="str">
        <f t="shared" ref="B6485:B6516" si="270">"0.00044%"</f>
        <v>0.00044%</v>
      </c>
      <c r="C6485" t="s">
        <v>10</v>
      </c>
      <c r="D6485" t="s">
        <v>10</v>
      </c>
      <c r="E6485" t="str">
        <f>"$ 3,436"</f>
        <v>$ 3,436</v>
      </c>
      <c r="F6485">
        <v>849</v>
      </c>
    </row>
    <row r="6486" spans="1:6">
      <c r="A6486" t="s">
        <v>6474</v>
      </c>
      <c r="B6486" t="str">
        <f t="shared" si="270"/>
        <v>0.00044%</v>
      </c>
      <c r="C6486" t="s">
        <v>10</v>
      </c>
      <c r="D6486" t="s">
        <v>10</v>
      </c>
      <c r="E6486" t="str">
        <f>"$ 3,370"</f>
        <v>$ 3,370</v>
      </c>
      <c r="F6486">
        <v>200</v>
      </c>
    </row>
    <row r="6487" spans="1:6">
      <c r="A6487" t="s">
        <v>6475</v>
      </c>
      <c r="B6487" t="str">
        <f t="shared" si="270"/>
        <v>0.00044%</v>
      </c>
      <c r="C6487" t="s">
        <v>10</v>
      </c>
      <c r="D6487" t="s">
        <v>10</v>
      </c>
      <c r="E6487" t="str">
        <f>"$ 3,422"</f>
        <v>$ 3,422</v>
      </c>
      <c r="F6487">
        <v>107</v>
      </c>
    </row>
    <row r="6488" spans="1:6">
      <c r="A6488" t="s">
        <v>6476</v>
      </c>
      <c r="B6488" t="str">
        <f t="shared" si="270"/>
        <v>0.00044%</v>
      </c>
      <c r="C6488" t="s">
        <v>10</v>
      </c>
      <c r="D6488" t="s">
        <v>10</v>
      </c>
      <c r="E6488" t="str">
        <f>"$ 3,429"</f>
        <v>$ 3,429</v>
      </c>
      <c r="F6488" s="1">
        <v>8391</v>
      </c>
    </row>
    <row r="6489" spans="1:6">
      <c r="A6489" t="s">
        <v>6477</v>
      </c>
      <c r="B6489" t="str">
        <f t="shared" si="270"/>
        <v>0.00044%</v>
      </c>
      <c r="C6489" t="s">
        <v>10</v>
      </c>
      <c r="D6489" t="s">
        <v>10</v>
      </c>
      <c r="E6489" t="str">
        <f>"$ 3,399"</f>
        <v>$ 3,399</v>
      </c>
      <c r="F6489" s="1">
        <v>3547</v>
      </c>
    </row>
    <row r="6490" spans="1:6">
      <c r="A6490" t="s">
        <v>6478</v>
      </c>
      <c r="B6490" t="str">
        <f t="shared" si="270"/>
        <v>0.00044%</v>
      </c>
      <c r="C6490" t="s">
        <v>10</v>
      </c>
      <c r="D6490" t="s">
        <v>10</v>
      </c>
      <c r="E6490" t="str">
        <f>"$ 3,370"</f>
        <v>$ 3,370</v>
      </c>
      <c r="F6490" s="1">
        <v>14905</v>
      </c>
    </row>
    <row r="6491" spans="1:6">
      <c r="A6491" t="s">
        <v>6479</v>
      </c>
      <c r="B6491" t="str">
        <f t="shared" si="270"/>
        <v>0.00044%</v>
      </c>
      <c r="C6491" t="s">
        <v>10</v>
      </c>
      <c r="D6491" t="s">
        <v>10</v>
      </c>
      <c r="E6491" t="str">
        <f>"$ 3,436"</f>
        <v>$ 3,436</v>
      </c>
      <c r="F6491">
        <v>445</v>
      </c>
    </row>
    <row r="6492" spans="1:6">
      <c r="A6492" t="s">
        <v>6480</v>
      </c>
      <c r="B6492" t="str">
        <f t="shared" si="270"/>
        <v>0.00044%</v>
      </c>
      <c r="C6492" t="s">
        <v>10</v>
      </c>
      <c r="D6492" t="s">
        <v>10</v>
      </c>
      <c r="E6492" t="str">
        <f>"$ 3,383"</f>
        <v>$ 3,383</v>
      </c>
      <c r="F6492">
        <v>50</v>
      </c>
    </row>
    <row r="6493" spans="1:6">
      <c r="A6493" t="s">
        <v>6481</v>
      </c>
      <c r="B6493" t="str">
        <f t="shared" si="270"/>
        <v>0.00044%</v>
      </c>
      <c r="C6493" t="s">
        <v>10</v>
      </c>
      <c r="D6493" t="s">
        <v>10</v>
      </c>
      <c r="E6493" t="str">
        <f>"$ 3,386"</f>
        <v>$ 3,386</v>
      </c>
      <c r="F6493">
        <v>757</v>
      </c>
    </row>
    <row r="6494" spans="1:6">
      <c r="A6494" t="s">
        <v>6482</v>
      </c>
      <c r="B6494" t="str">
        <f t="shared" si="270"/>
        <v>0.00044%</v>
      </c>
      <c r="C6494" t="s">
        <v>10</v>
      </c>
      <c r="D6494" t="s">
        <v>10</v>
      </c>
      <c r="E6494" t="str">
        <f>"$ 3,382"</f>
        <v>$ 3,382</v>
      </c>
      <c r="F6494" s="1">
        <v>1360</v>
      </c>
    </row>
    <row r="6495" spans="1:6">
      <c r="A6495" t="s">
        <v>6483</v>
      </c>
      <c r="B6495" t="str">
        <f t="shared" si="270"/>
        <v>0.00044%</v>
      </c>
      <c r="C6495" t="s">
        <v>10</v>
      </c>
      <c r="D6495" t="s">
        <v>10</v>
      </c>
      <c r="E6495" t="str">
        <f>"$ 3,375"</f>
        <v>$ 3,375</v>
      </c>
      <c r="F6495" s="1">
        <v>78913</v>
      </c>
    </row>
    <row r="6496" spans="1:6">
      <c r="A6496" t="s">
        <v>6484</v>
      </c>
      <c r="B6496" t="str">
        <f t="shared" si="270"/>
        <v>0.00044%</v>
      </c>
      <c r="C6496" t="s">
        <v>10</v>
      </c>
      <c r="D6496" t="s">
        <v>10</v>
      </c>
      <c r="E6496" t="str">
        <f>"$ 3,367"</f>
        <v>$ 3,367</v>
      </c>
      <c r="F6496">
        <v>69</v>
      </c>
    </row>
    <row r="6497" spans="1:6">
      <c r="A6497" t="s">
        <v>6485</v>
      </c>
      <c r="B6497" t="str">
        <f t="shared" si="270"/>
        <v>0.00044%</v>
      </c>
      <c r="C6497" t="s">
        <v>10</v>
      </c>
      <c r="D6497" t="s">
        <v>10</v>
      </c>
      <c r="E6497" t="str">
        <f>"$ 3,389"</f>
        <v>$ 3,389</v>
      </c>
      <c r="F6497">
        <v>49</v>
      </c>
    </row>
    <row r="6498" spans="1:6">
      <c r="A6498" t="s">
        <v>6486</v>
      </c>
      <c r="B6498" t="str">
        <f t="shared" si="270"/>
        <v>0.00044%</v>
      </c>
      <c r="C6498" t="s">
        <v>10</v>
      </c>
      <c r="D6498" t="s">
        <v>10</v>
      </c>
      <c r="E6498" t="str">
        <f>"$ 3,384"</f>
        <v>$ 3,384</v>
      </c>
      <c r="F6498" s="1">
        <v>4792</v>
      </c>
    </row>
    <row r="6499" spans="1:6">
      <c r="A6499" t="s">
        <v>6487</v>
      </c>
      <c r="B6499" t="str">
        <f t="shared" si="270"/>
        <v>0.00044%</v>
      </c>
      <c r="C6499" t="s">
        <v>10</v>
      </c>
      <c r="D6499" t="s">
        <v>10</v>
      </c>
      <c r="E6499" t="str">
        <f>"$ 3,420"</f>
        <v>$ 3,420</v>
      </c>
      <c r="F6499">
        <v>67</v>
      </c>
    </row>
    <row r="6500" spans="1:6">
      <c r="A6500" t="s">
        <v>6488</v>
      </c>
      <c r="B6500" t="str">
        <f t="shared" si="270"/>
        <v>0.00044%</v>
      </c>
      <c r="C6500" t="s">
        <v>10</v>
      </c>
      <c r="D6500" t="s">
        <v>10</v>
      </c>
      <c r="E6500" t="str">
        <f>"$ 3,420"</f>
        <v>$ 3,420</v>
      </c>
      <c r="F6500">
        <v>308</v>
      </c>
    </row>
    <row r="6501" spans="1:6">
      <c r="A6501" t="s">
        <v>6489</v>
      </c>
      <c r="B6501" t="str">
        <f t="shared" si="270"/>
        <v>0.00044%</v>
      </c>
      <c r="C6501" t="s">
        <v>10</v>
      </c>
      <c r="D6501" t="s">
        <v>10</v>
      </c>
      <c r="E6501" t="str">
        <f>"$ 3,416"</f>
        <v>$ 3,416</v>
      </c>
      <c r="F6501" s="1">
        <v>1882</v>
      </c>
    </row>
    <row r="6502" spans="1:6">
      <c r="A6502" t="s">
        <v>6490</v>
      </c>
      <c r="B6502" t="str">
        <f t="shared" si="270"/>
        <v>0.00044%</v>
      </c>
      <c r="C6502" t="s">
        <v>10</v>
      </c>
      <c r="D6502" t="s">
        <v>10</v>
      </c>
      <c r="E6502" t="str">
        <f>"$ 3,408"</f>
        <v>$ 3,408</v>
      </c>
      <c r="F6502">
        <v>89</v>
      </c>
    </row>
    <row r="6503" spans="1:6">
      <c r="A6503" t="s">
        <v>6491</v>
      </c>
      <c r="B6503" t="str">
        <f t="shared" si="270"/>
        <v>0.00044%</v>
      </c>
      <c r="C6503" t="s">
        <v>10</v>
      </c>
      <c r="D6503" t="s">
        <v>10</v>
      </c>
      <c r="E6503" t="str">
        <f>"$ 3,371"</f>
        <v>$ 3,371</v>
      </c>
      <c r="F6503">
        <v>181</v>
      </c>
    </row>
    <row r="6504" spans="1:6">
      <c r="A6504" t="s">
        <v>6492</v>
      </c>
      <c r="B6504" t="str">
        <f t="shared" si="270"/>
        <v>0.00044%</v>
      </c>
      <c r="C6504" t="s">
        <v>10</v>
      </c>
      <c r="D6504" t="s">
        <v>10</v>
      </c>
      <c r="E6504" t="str">
        <f>"$ 3,412"</f>
        <v>$ 3,412</v>
      </c>
      <c r="F6504">
        <v>71</v>
      </c>
    </row>
    <row r="6505" spans="1:6">
      <c r="A6505" t="s">
        <v>6493</v>
      </c>
      <c r="B6505" t="str">
        <f t="shared" si="270"/>
        <v>0.00044%</v>
      </c>
      <c r="C6505" t="s">
        <v>10</v>
      </c>
      <c r="D6505" t="s">
        <v>10</v>
      </c>
      <c r="E6505" t="str">
        <f>"$ 3,415"</f>
        <v>$ 3,415</v>
      </c>
      <c r="F6505" s="1">
        <v>36478</v>
      </c>
    </row>
    <row r="6506" spans="1:6">
      <c r="A6506" t="s">
        <v>6494</v>
      </c>
      <c r="B6506" t="str">
        <f t="shared" si="270"/>
        <v>0.00044%</v>
      </c>
      <c r="C6506" t="s">
        <v>10</v>
      </c>
      <c r="D6506" t="s">
        <v>10</v>
      </c>
      <c r="E6506" t="str">
        <f>"$ 3,424"</f>
        <v>$ 3,424</v>
      </c>
      <c r="F6506" s="1">
        <v>46203</v>
      </c>
    </row>
    <row r="6507" spans="1:6">
      <c r="A6507" t="s">
        <v>6495</v>
      </c>
      <c r="B6507" t="str">
        <f t="shared" si="270"/>
        <v>0.00044%</v>
      </c>
      <c r="C6507" t="s">
        <v>10</v>
      </c>
      <c r="D6507" t="s">
        <v>10</v>
      </c>
      <c r="E6507" t="str">
        <f>"$ 3,398"</f>
        <v>$ 3,398</v>
      </c>
      <c r="F6507">
        <v>156</v>
      </c>
    </row>
    <row r="6508" spans="1:6">
      <c r="A6508" t="s">
        <v>6496</v>
      </c>
      <c r="B6508" t="str">
        <f t="shared" si="270"/>
        <v>0.00044%</v>
      </c>
      <c r="C6508" t="s">
        <v>10</v>
      </c>
      <c r="D6508" t="s">
        <v>10</v>
      </c>
      <c r="E6508" t="str">
        <f>"$ 3,418"</f>
        <v>$ 3,418</v>
      </c>
      <c r="F6508">
        <v>62</v>
      </c>
    </row>
    <row r="6509" spans="1:6">
      <c r="A6509" t="s">
        <v>6497</v>
      </c>
      <c r="B6509" t="str">
        <f t="shared" si="270"/>
        <v>0.00044%</v>
      </c>
      <c r="C6509" t="s">
        <v>10</v>
      </c>
      <c r="D6509" t="s">
        <v>10</v>
      </c>
      <c r="E6509" t="str">
        <f>"$ 3,408"</f>
        <v>$ 3,408</v>
      </c>
      <c r="F6509">
        <v>132</v>
      </c>
    </row>
    <row r="6510" spans="1:6">
      <c r="A6510" t="s">
        <v>6498</v>
      </c>
      <c r="B6510" t="str">
        <f t="shared" si="270"/>
        <v>0.00044%</v>
      </c>
      <c r="C6510" t="s">
        <v>10</v>
      </c>
      <c r="D6510" t="s">
        <v>10</v>
      </c>
      <c r="E6510" t="str">
        <f>"$ 3,365"</f>
        <v>$ 3,365</v>
      </c>
      <c r="F6510" s="1">
        <v>109311</v>
      </c>
    </row>
    <row r="6511" spans="1:6">
      <c r="A6511" t="s">
        <v>6499</v>
      </c>
      <c r="B6511" t="str">
        <f t="shared" si="270"/>
        <v>0.00044%</v>
      </c>
      <c r="C6511" t="s">
        <v>10</v>
      </c>
      <c r="D6511" t="s">
        <v>10</v>
      </c>
      <c r="E6511" t="str">
        <f>"$ 3,388"</f>
        <v>$ 3,388</v>
      </c>
      <c r="F6511" s="1">
        <v>7912</v>
      </c>
    </row>
    <row r="6512" spans="1:6">
      <c r="A6512" t="s">
        <v>6500</v>
      </c>
      <c r="B6512" t="str">
        <f t="shared" si="270"/>
        <v>0.00044%</v>
      </c>
      <c r="C6512" t="s">
        <v>10</v>
      </c>
      <c r="D6512" t="s">
        <v>10</v>
      </c>
      <c r="E6512" t="str">
        <f>"$ 3,383"</f>
        <v>$ 3,383</v>
      </c>
      <c r="F6512">
        <v>194</v>
      </c>
    </row>
    <row r="6513" spans="1:6">
      <c r="A6513" t="s">
        <v>4808</v>
      </c>
      <c r="B6513" t="str">
        <f t="shared" si="270"/>
        <v>0.00044%</v>
      </c>
      <c r="C6513" t="s">
        <v>10</v>
      </c>
      <c r="D6513" t="s">
        <v>10</v>
      </c>
      <c r="E6513" t="str">
        <f>"$ 3,415"</f>
        <v>$ 3,415</v>
      </c>
      <c r="F6513">
        <v>910</v>
      </c>
    </row>
    <row r="6514" spans="1:6">
      <c r="A6514" t="s">
        <v>6501</v>
      </c>
      <c r="B6514" t="str">
        <f t="shared" si="270"/>
        <v>0.00044%</v>
      </c>
      <c r="C6514" t="s">
        <v>10</v>
      </c>
      <c r="D6514" t="s">
        <v>10</v>
      </c>
      <c r="E6514" t="str">
        <f>"$ 3,412"</f>
        <v>$ 3,412</v>
      </c>
      <c r="F6514">
        <v>234</v>
      </c>
    </row>
    <row r="6515" spans="1:6">
      <c r="A6515" t="s">
        <v>6502</v>
      </c>
      <c r="B6515" t="str">
        <f t="shared" si="270"/>
        <v>0.00044%</v>
      </c>
      <c r="C6515" t="s">
        <v>10</v>
      </c>
      <c r="D6515" t="s">
        <v>10</v>
      </c>
      <c r="E6515" t="str">
        <f>"$ 3,384"</f>
        <v>$ 3,384</v>
      </c>
      <c r="F6515">
        <v>396</v>
      </c>
    </row>
    <row r="6516" spans="1:6">
      <c r="A6516" t="s">
        <v>6503</v>
      </c>
      <c r="B6516" t="str">
        <f t="shared" si="270"/>
        <v>0.00044%</v>
      </c>
      <c r="C6516" t="s">
        <v>10</v>
      </c>
      <c r="D6516" t="s">
        <v>10</v>
      </c>
      <c r="E6516" t="str">
        <f>"$ 3,394"</f>
        <v>$ 3,394</v>
      </c>
      <c r="F6516">
        <v>132</v>
      </c>
    </row>
    <row r="6517" spans="1:6">
      <c r="A6517" t="s">
        <v>6504</v>
      </c>
      <c r="B6517" t="str">
        <f t="shared" ref="B6517:B6552" si="271">"0.00043%"</f>
        <v>0.00043%</v>
      </c>
      <c r="C6517" t="s">
        <v>10</v>
      </c>
      <c r="D6517" t="s">
        <v>10</v>
      </c>
      <c r="E6517" t="str">
        <f>"$ 3,310"</f>
        <v>$ 3,310</v>
      </c>
      <c r="F6517">
        <v>477</v>
      </c>
    </row>
    <row r="6518" spans="1:6">
      <c r="A6518" t="s">
        <v>6505</v>
      </c>
      <c r="B6518" t="str">
        <f t="shared" si="271"/>
        <v>0.00043%</v>
      </c>
      <c r="C6518" t="s">
        <v>10</v>
      </c>
      <c r="D6518" t="s">
        <v>10</v>
      </c>
      <c r="E6518" t="str">
        <f>"$ 3,302"</f>
        <v>$ 3,302</v>
      </c>
      <c r="F6518">
        <v>150</v>
      </c>
    </row>
    <row r="6519" spans="1:6">
      <c r="A6519" t="s">
        <v>6506</v>
      </c>
      <c r="B6519" t="str">
        <f t="shared" si="271"/>
        <v>0.00043%</v>
      </c>
      <c r="C6519" t="s">
        <v>10</v>
      </c>
      <c r="D6519" t="s">
        <v>10</v>
      </c>
      <c r="E6519" t="str">
        <f>"$ 3,291"</f>
        <v>$ 3,291</v>
      </c>
      <c r="F6519" s="1">
        <v>2875</v>
      </c>
    </row>
    <row r="6520" spans="1:6">
      <c r="A6520" t="s">
        <v>6507</v>
      </c>
      <c r="B6520" t="str">
        <f t="shared" si="271"/>
        <v>0.00043%</v>
      </c>
      <c r="C6520" t="s">
        <v>10</v>
      </c>
      <c r="D6520" t="s">
        <v>10</v>
      </c>
      <c r="E6520" t="str">
        <f>"$ 3,294"</f>
        <v>$ 3,294</v>
      </c>
      <c r="F6520">
        <v>167</v>
      </c>
    </row>
    <row r="6521" spans="1:6">
      <c r="A6521" t="s">
        <v>6508</v>
      </c>
      <c r="B6521" t="str">
        <f t="shared" si="271"/>
        <v>0.00043%</v>
      </c>
      <c r="C6521" t="s">
        <v>10</v>
      </c>
      <c r="D6521" t="s">
        <v>10</v>
      </c>
      <c r="E6521" t="str">
        <f>"$ 3,314"</f>
        <v>$ 3,314</v>
      </c>
      <c r="F6521">
        <v>396</v>
      </c>
    </row>
    <row r="6522" spans="1:6">
      <c r="A6522" t="s">
        <v>6509</v>
      </c>
      <c r="B6522" t="str">
        <f t="shared" si="271"/>
        <v>0.00043%</v>
      </c>
      <c r="C6522" t="s">
        <v>10</v>
      </c>
      <c r="D6522" t="s">
        <v>10</v>
      </c>
      <c r="E6522" t="str">
        <f>"$ 3,299"</f>
        <v>$ 3,299</v>
      </c>
      <c r="F6522" s="1">
        <v>2691</v>
      </c>
    </row>
    <row r="6523" spans="1:6">
      <c r="A6523" t="s">
        <v>6510</v>
      </c>
      <c r="B6523" t="str">
        <f t="shared" si="271"/>
        <v>0.00043%</v>
      </c>
      <c r="C6523" t="s">
        <v>10</v>
      </c>
      <c r="D6523" t="s">
        <v>10</v>
      </c>
      <c r="E6523" t="str">
        <f>"$ 3,349"</f>
        <v>$ 3,349</v>
      </c>
      <c r="F6523">
        <v>184</v>
      </c>
    </row>
    <row r="6524" spans="1:6">
      <c r="A6524" t="s">
        <v>6511</v>
      </c>
      <c r="B6524" t="str">
        <f t="shared" si="271"/>
        <v>0.00043%</v>
      </c>
      <c r="C6524" t="s">
        <v>10</v>
      </c>
      <c r="D6524" t="s">
        <v>10</v>
      </c>
      <c r="E6524" t="str">
        <f>"$ 3,352"</f>
        <v>$ 3,352</v>
      </c>
      <c r="F6524" s="1">
        <v>5163</v>
      </c>
    </row>
    <row r="6525" spans="1:6">
      <c r="A6525" t="s">
        <v>6512</v>
      </c>
      <c r="B6525" t="str">
        <f t="shared" si="271"/>
        <v>0.00043%</v>
      </c>
      <c r="C6525" t="s">
        <v>10</v>
      </c>
      <c r="D6525" t="s">
        <v>10</v>
      </c>
      <c r="E6525" t="str">
        <f>"$ 3,299"</f>
        <v>$ 3,299</v>
      </c>
      <c r="F6525" s="1">
        <v>2240</v>
      </c>
    </row>
    <row r="6526" spans="1:6">
      <c r="A6526" t="s">
        <v>6513</v>
      </c>
      <c r="B6526" t="str">
        <f t="shared" si="271"/>
        <v>0.00043%</v>
      </c>
      <c r="C6526" t="s">
        <v>10</v>
      </c>
      <c r="D6526" t="s">
        <v>10</v>
      </c>
      <c r="E6526" t="str">
        <f>"$ 3,297"</f>
        <v>$ 3,297</v>
      </c>
      <c r="F6526">
        <v>74</v>
      </c>
    </row>
    <row r="6527" spans="1:6">
      <c r="A6527" t="s">
        <v>6514</v>
      </c>
      <c r="B6527" t="str">
        <f t="shared" si="271"/>
        <v>0.00043%</v>
      </c>
      <c r="C6527" t="s">
        <v>10</v>
      </c>
      <c r="D6527" t="s">
        <v>10</v>
      </c>
      <c r="E6527" t="str">
        <f>"$ 3,318"</f>
        <v>$ 3,318</v>
      </c>
      <c r="F6527" s="1">
        <v>6427</v>
      </c>
    </row>
    <row r="6528" spans="1:6">
      <c r="A6528" t="s">
        <v>6515</v>
      </c>
      <c r="B6528" t="str">
        <f t="shared" si="271"/>
        <v>0.00043%</v>
      </c>
      <c r="C6528" t="s">
        <v>10</v>
      </c>
      <c r="D6528" t="s">
        <v>10</v>
      </c>
      <c r="E6528" t="str">
        <f>"$ 3,285"</f>
        <v>$ 3,285</v>
      </c>
      <c r="F6528">
        <v>252</v>
      </c>
    </row>
    <row r="6529" spans="1:6">
      <c r="A6529" t="s">
        <v>6516</v>
      </c>
      <c r="B6529" t="str">
        <f t="shared" si="271"/>
        <v>0.00043%</v>
      </c>
      <c r="C6529" t="s">
        <v>10</v>
      </c>
      <c r="D6529" t="s">
        <v>10</v>
      </c>
      <c r="E6529" t="str">
        <f>"$ 3,307"</f>
        <v>$ 3,307</v>
      </c>
      <c r="F6529">
        <v>293</v>
      </c>
    </row>
    <row r="6530" spans="1:6">
      <c r="A6530" t="s">
        <v>6517</v>
      </c>
      <c r="B6530" t="str">
        <f t="shared" si="271"/>
        <v>0.00043%</v>
      </c>
      <c r="C6530" t="s">
        <v>10</v>
      </c>
      <c r="D6530" t="s">
        <v>10</v>
      </c>
      <c r="E6530" t="str">
        <f>"$ 3,340"</f>
        <v>$ 3,340</v>
      </c>
      <c r="F6530">
        <v>63</v>
      </c>
    </row>
    <row r="6531" spans="1:6">
      <c r="A6531" t="s">
        <v>6518</v>
      </c>
      <c r="B6531" t="str">
        <f t="shared" si="271"/>
        <v>0.00043%</v>
      </c>
      <c r="C6531" t="s">
        <v>10</v>
      </c>
      <c r="D6531" t="s">
        <v>10</v>
      </c>
      <c r="E6531" t="str">
        <f>"$ 3,358"</f>
        <v>$ 3,358</v>
      </c>
      <c r="F6531" s="1">
        <v>1301</v>
      </c>
    </row>
    <row r="6532" spans="1:6">
      <c r="A6532" t="s">
        <v>6519</v>
      </c>
      <c r="B6532" t="str">
        <f t="shared" si="271"/>
        <v>0.00043%</v>
      </c>
      <c r="C6532" t="s">
        <v>10</v>
      </c>
      <c r="D6532" t="s">
        <v>10</v>
      </c>
      <c r="E6532" t="str">
        <f>"$ 3,323"</f>
        <v>$ 3,323</v>
      </c>
      <c r="F6532" s="1">
        <v>5636</v>
      </c>
    </row>
    <row r="6533" spans="1:6">
      <c r="A6533" t="s">
        <v>6520</v>
      </c>
      <c r="B6533" t="str">
        <f t="shared" si="271"/>
        <v>0.00043%</v>
      </c>
      <c r="C6533" t="s">
        <v>10</v>
      </c>
      <c r="D6533" t="s">
        <v>10</v>
      </c>
      <c r="E6533" t="str">
        <f>"$ 3,318"</f>
        <v>$ 3,318</v>
      </c>
      <c r="F6533" s="1">
        <v>1323</v>
      </c>
    </row>
    <row r="6534" spans="1:6">
      <c r="A6534" t="s">
        <v>6521</v>
      </c>
      <c r="B6534" t="str">
        <f t="shared" si="271"/>
        <v>0.00043%</v>
      </c>
      <c r="C6534" t="s">
        <v>10</v>
      </c>
      <c r="D6534" t="s">
        <v>10</v>
      </c>
      <c r="E6534" t="str">
        <f>"$ 3,286"</f>
        <v>$ 3,286</v>
      </c>
      <c r="F6534" s="1">
        <v>10341</v>
      </c>
    </row>
    <row r="6535" spans="1:6">
      <c r="A6535" t="s">
        <v>6522</v>
      </c>
      <c r="B6535" t="str">
        <f t="shared" si="271"/>
        <v>0.00043%</v>
      </c>
      <c r="C6535" t="s">
        <v>10</v>
      </c>
      <c r="D6535" t="s">
        <v>10</v>
      </c>
      <c r="E6535" t="str">
        <f>"$ 3,301"</f>
        <v>$ 3,301</v>
      </c>
      <c r="F6535">
        <v>37</v>
      </c>
    </row>
    <row r="6536" spans="1:6">
      <c r="A6536" t="s">
        <v>6523</v>
      </c>
      <c r="B6536" t="str">
        <f t="shared" si="271"/>
        <v>0.00043%</v>
      </c>
      <c r="C6536" t="s">
        <v>10</v>
      </c>
      <c r="D6536" t="s">
        <v>10</v>
      </c>
      <c r="E6536" t="str">
        <f>"$ 3,296"</f>
        <v>$ 3,296</v>
      </c>
      <c r="F6536" s="1">
        <v>12091</v>
      </c>
    </row>
    <row r="6537" spans="1:6">
      <c r="A6537" t="s">
        <v>6524</v>
      </c>
      <c r="B6537" t="str">
        <f t="shared" si="271"/>
        <v>0.00043%</v>
      </c>
      <c r="C6537" t="s">
        <v>10</v>
      </c>
      <c r="D6537" t="s">
        <v>10</v>
      </c>
      <c r="E6537" t="str">
        <f>"$ 3,285"</f>
        <v>$ 3,285</v>
      </c>
      <c r="F6537">
        <v>284</v>
      </c>
    </row>
    <row r="6538" spans="1:6">
      <c r="A6538" t="s">
        <v>6525</v>
      </c>
      <c r="B6538" t="str">
        <f t="shared" si="271"/>
        <v>0.00043%</v>
      </c>
      <c r="C6538" t="s">
        <v>10</v>
      </c>
      <c r="D6538" t="s">
        <v>10</v>
      </c>
      <c r="E6538" t="str">
        <f>"$ 3,353"</f>
        <v>$ 3,353</v>
      </c>
      <c r="F6538" s="1">
        <v>3064</v>
      </c>
    </row>
    <row r="6539" spans="1:6">
      <c r="A6539" t="s">
        <v>6526</v>
      </c>
      <c r="B6539" t="str">
        <f t="shared" si="271"/>
        <v>0.00043%</v>
      </c>
      <c r="C6539" t="s">
        <v>10</v>
      </c>
      <c r="D6539" t="s">
        <v>10</v>
      </c>
      <c r="E6539" t="str">
        <f>"$ 3,299"</f>
        <v>$ 3,299</v>
      </c>
      <c r="F6539">
        <v>71</v>
      </c>
    </row>
    <row r="6540" spans="1:6">
      <c r="A6540" t="s">
        <v>6527</v>
      </c>
      <c r="B6540" t="str">
        <f t="shared" si="271"/>
        <v>0.00043%</v>
      </c>
      <c r="C6540" t="s">
        <v>10</v>
      </c>
      <c r="D6540" t="s">
        <v>10</v>
      </c>
      <c r="E6540" t="str">
        <f>"$ 3,325"</f>
        <v>$ 3,325</v>
      </c>
      <c r="F6540">
        <v>74</v>
      </c>
    </row>
    <row r="6541" spans="1:6">
      <c r="A6541" t="s">
        <v>6528</v>
      </c>
      <c r="B6541" t="str">
        <f t="shared" si="271"/>
        <v>0.00043%</v>
      </c>
      <c r="C6541" t="s">
        <v>10</v>
      </c>
      <c r="D6541" t="s">
        <v>10</v>
      </c>
      <c r="E6541" t="str">
        <f>"$ 3,332"</f>
        <v>$ 3,332</v>
      </c>
      <c r="F6541">
        <v>53</v>
      </c>
    </row>
    <row r="6542" spans="1:6">
      <c r="A6542" t="s">
        <v>6529</v>
      </c>
      <c r="B6542" t="str">
        <f t="shared" si="271"/>
        <v>0.00043%</v>
      </c>
      <c r="C6542" t="s">
        <v>10</v>
      </c>
      <c r="D6542" t="s">
        <v>10</v>
      </c>
      <c r="E6542" t="str">
        <f>"$ 3,336"</f>
        <v>$ 3,336</v>
      </c>
      <c r="F6542">
        <v>81</v>
      </c>
    </row>
    <row r="6543" spans="1:6">
      <c r="A6543" t="s">
        <v>6530</v>
      </c>
      <c r="B6543" t="str">
        <f t="shared" si="271"/>
        <v>0.00043%</v>
      </c>
      <c r="C6543" t="s">
        <v>10</v>
      </c>
      <c r="D6543" t="s">
        <v>10</v>
      </c>
      <c r="E6543" t="str">
        <f>"$ 3,323"</f>
        <v>$ 3,323</v>
      </c>
      <c r="F6543" s="1">
        <v>87404</v>
      </c>
    </row>
    <row r="6544" spans="1:6">
      <c r="A6544" t="s">
        <v>6531</v>
      </c>
      <c r="B6544" t="str">
        <f t="shared" si="271"/>
        <v>0.00043%</v>
      </c>
      <c r="C6544" t="s">
        <v>10</v>
      </c>
      <c r="D6544" t="s">
        <v>10</v>
      </c>
      <c r="E6544" t="str">
        <f>"$ 3,316"</f>
        <v>$ 3,316</v>
      </c>
      <c r="F6544" s="1">
        <v>15042</v>
      </c>
    </row>
    <row r="6545" spans="1:6">
      <c r="A6545" t="s">
        <v>6532</v>
      </c>
      <c r="B6545" t="str">
        <f t="shared" si="271"/>
        <v>0.00043%</v>
      </c>
      <c r="C6545" t="s">
        <v>10</v>
      </c>
      <c r="D6545" t="s">
        <v>10</v>
      </c>
      <c r="E6545" t="str">
        <f>"$ 3,285"</f>
        <v>$ 3,285</v>
      </c>
      <c r="F6545">
        <v>131</v>
      </c>
    </row>
    <row r="6546" spans="1:6">
      <c r="A6546" t="s">
        <v>6533</v>
      </c>
      <c r="B6546" t="str">
        <f t="shared" si="271"/>
        <v>0.00043%</v>
      </c>
      <c r="C6546" t="s">
        <v>10</v>
      </c>
      <c r="D6546" t="s">
        <v>10</v>
      </c>
      <c r="E6546" t="str">
        <f>"$ 3,315"</f>
        <v>$ 3,315</v>
      </c>
      <c r="F6546" s="1">
        <v>1056</v>
      </c>
    </row>
    <row r="6547" spans="1:6">
      <c r="A6547" t="s">
        <v>6534</v>
      </c>
      <c r="B6547" t="str">
        <f t="shared" si="271"/>
        <v>0.00043%</v>
      </c>
      <c r="C6547" t="s">
        <v>10</v>
      </c>
      <c r="D6547" t="s">
        <v>10</v>
      </c>
      <c r="E6547" t="str">
        <f>"$ 3,343"</f>
        <v>$ 3,343</v>
      </c>
      <c r="F6547" s="1">
        <v>8804</v>
      </c>
    </row>
    <row r="6548" spans="1:6">
      <c r="A6548" t="s">
        <v>6535</v>
      </c>
      <c r="B6548" t="str">
        <f t="shared" si="271"/>
        <v>0.00043%</v>
      </c>
      <c r="C6548" t="s">
        <v>10</v>
      </c>
      <c r="D6548" t="s">
        <v>10</v>
      </c>
      <c r="E6548" t="str">
        <f>"$ 3,282"</f>
        <v>$ 3,282</v>
      </c>
      <c r="F6548">
        <v>30</v>
      </c>
    </row>
    <row r="6549" spans="1:6">
      <c r="A6549" t="s">
        <v>6536</v>
      </c>
      <c r="B6549" t="str">
        <f t="shared" si="271"/>
        <v>0.00043%</v>
      </c>
      <c r="C6549" t="s">
        <v>10</v>
      </c>
      <c r="D6549" t="s">
        <v>10</v>
      </c>
      <c r="E6549" t="str">
        <f>"$ 3,302"</f>
        <v>$ 3,302</v>
      </c>
      <c r="F6549">
        <v>443</v>
      </c>
    </row>
    <row r="6550" spans="1:6">
      <c r="A6550" t="s">
        <v>6537</v>
      </c>
      <c r="B6550" t="str">
        <f t="shared" si="271"/>
        <v>0.00043%</v>
      </c>
      <c r="C6550" t="s">
        <v>10</v>
      </c>
      <c r="D6550" t="s">
        <v>10</v>
      </c>
      <c r="E6550" t="str">
        <f>"$ 3,346"</f>
        <v>$ 3,346</v>
      </c>
      <c r="F6550">
        <v>67</v>
      </c>
    </row>
    <row r="6551" spans="1:6">
      <c r="A6551" t="s">
        <v>6538</v>
      </c>
      <c r="B6551" t="str">
        <f t="shared" si="271"/>
        <v>0.00043%</v>
      </c>
      <c r="C6551" t="s">
        <v>10</v>
      </c>
      <c r="D6551" t="s">
        <v>10</v>
      </c>
      <c r="E6551" t="str">
        <f>"$ 3,290"</f>
        <v>$ 3,290</v>
      </c>
      <c r="F6551">
        <v>172</v>
      </c>
    </row>
    <row r="6552" spans="1:6">
      <c r="A6552" t="s">
        <v>6539</v>
      </c>
      <c r="B6552" t="str">
        <f t="shared" si="271"/>
        <v>0.00043%</v>
      </c>
      <c r="C6552" t="s">
        <v>10</v>
      </c>
      <c r="D6552" t="s">
        <v>10</v>
      </c>
      <c r="E6552" t="str">
        <f>"$ 3,288"</f>
        <v>$ 3,288</v>
      </c>
      <c r="F6552">
        <v>993</v>
      </c>
    </row>
    <row r="6553" spans="1:6">
      <c r="A6553" t="s">
        <v>6540</v>
      </c>
      <c r="B6553" t="str">
        <f t="shared" ref="B6553:B6578" si="272">"0.00042%"</f>
        <v>0.00042%</v>
      </c>
      <c r="C6553" t="s">
        <v>10</v>
      </c>
      <c r="D6553" t="s">
        <v>10</v>
      </c>
      <c r="E6553" t="str">
        <f>"$ 3,213"</f>
        <v>$ 3,213</v>
      </c>
      <c r="F6553" s="1">
        <v>2960</v>
      </c>
    </row>
    <row r="6554" spans="1:6">
      <c r="A6554" t="s">
        <v>6541</v>
      </c>
      <c r="B6554" t="str">
        <f t="shared" si="272"/>
        <v>0.00042%</v>
      </c>
      <c r="C6554" t="s">
        <v>10</v>
      </c>
      <c r="D6554" t="s">
        <v>10</v>
      </c>
      <c r="E6554" t="str">
        <f>"$ 3,218"</f>
        <v>$ 3,218</v>
      </c>
      <c r="F6554">
        <v>65</v>
      </c>
    </row>
    <row r="6555" spans="1:6">
      <c r="A6555" t="s">
        <v>6542</v>
      </c>
      <c r="B6555" t="str">
        <f t="shared" si="272"/>
        <v>0.00042%</v>
      </c>
      <c r="C6555" t="s">
        <v>10</v>
      </c>
      <c r="D6555" t="s">
        <v>10</v>
      </c>
      <c r="E6555" t="str">
        <f>"$ 3,207"</f>
        <v>$ 3,207</v>
      </c>
      <c r="F6555" s="1">
        <v>4703</v>
      </c>
    </row>
    <row r="6556" spans="1:6">
      <c r="A6556" t="s">
        <v>6543</v>
      </c>
      <c r="B6556" t="str">
        <f t="shared" si="272"/>
        <v>0.00042%</v>
      </c>
      <c r="C6556" t="s">
        <v>10</v>
      </c>
      <c r="D6556" t="s">
        <v>10</v>
      </c>
      <c r="E6556" t="str">
        <f>"$ 3,215"</f>
        <v>$ 3,215</v>
      </c>
      <c r="F6556" s="1">
        <v>11196</v>
      </c>
    </row>
    <row r="6557" spans="1:6">
      <c r="A6557" t="s">
        <v>6544</v>
      </c>
      <c r="B6557" t="str">
        <f t="shared" si="272"/>
        <v>0.00042%</v>
      </c>
      <c r="C6557" t="s">
        <v>10</v>
      </c>
      <c r="D6557" t="s">
        <v>10</v>
      </c>
      <c r="E6557" t="str">
        <f>"$ 3,243"</f>
        <v>$ 3,243</v>
      </c>
      <c r="F6557" s="1">
        <v>1157</v>
      </c>
    </row>
    <row r="6558" spans="1:6">
      <c r="A6558" t="s">
        <v>6545</v>
      </c>
      <c r="B6558" t="str">
        <f t="shared" si="272"/>
        <v>0.00042%</v>
      </c>
      <c r="C6558" t="s">
        <v>10</v>
      </c>
      <c r="D6558" t="s">
        <v>10</v>
      </c>
      <c r="E6558" t="str">
        <f>"$ 3,271"</f>
        <v>$ 3,271</v>
      </c>
      <c r="F6558">
        <v>66</v>
      </c>
    </row>
    <row r="6559" spans="1:6">
      <c r="A6559" t="s">
        <v>6546</v>
      </c>
      <c r="B6559" t="str">
        <f t="shared" si="272"/>
        <v>0.00042%</v>
      </c>
      <c r="C6559" t="s">
        <v>10</v>
      </c>
      <c r="D6559" t="s">
        <v>10</v>
      </c>
      <c r="E6559" t="str">
        <f>"$ 3,279"</f>
        <v>$ 3,279</v>
      </c>
      <c r="F6559">
        <v>530</v>
      </c>
    </row>
    <row r="6560" spans="1:6">
      <c r="A6560" t="s">
        <v>6547</v>
      </c>
      <c r="B6560" t="str">
        <f t="shared" si="272"/>
        <v>0.00042%</v>
      </c>
      <c r="C6560" t="s">
        <v>10</v>
      </c>
      <c r="D6560" t="s">
        <v>10</v>
      </c>
      <c r="E6560" t="str">
        <f>"$ 3,240"</f>
        <v>$ 3,240</v>
      </c>
      <c r="F6560">
        <v>59</v>
      </c>
    </row>
    <row r="6561" spans="1:6">
      <c r="A6561" t="s">
        <v>6548</v>
      </c>
      <c r="B6561" t="str">
        <f t="shared" si="272"/>
        <v>0.00042%</v>
      </c>
      <c r="C6561" t="s">
        <v>10</v>
      </c>
      <c r="D6561" t="s">
        <v>10</v>
      </c>
      <c r="E6561" t="str">
        <f>"$ 3,231"</f>
        <v>$ 3,231</v>
      </c>
      <c r="F6561">
        <v>324</v>
      </c>
    </row>
    <row r="6562" spans="1:6">
      <c r="A6562" t="s">
        <v>6549</v>
      </c>
      <c r="B6562" t="str">
        <f t="shared" si="272"/>
        <v>0.00042%</v>
      </c>
      <c r="C6562" t="s">
        <v>10</v>
      </c>
      <c r="D6562" t="s">
        <v>10</v>
      </c>
      <c r="E6562" t="str">
        <f>"$ 3,234"</f>
        <v>$ 3,234</v>
      </c>
      <c r="F6562" s="1">
        <v>1708</v>
      </c>
    </row>
    <row r="6563" spans="1:6">
      <c r="A6563" t="s">
        <v>6550</v>
      </c>
      <c r="B6563" t="str">
        <f t="shared" si="272"/>
        <v>0.00042%</v>
      </c>
      <c r="C6563" t="s">
        <v>10</v>
      </c>
      <c r="D6563" t="s">
        <v>10</v>
      </c>
      <c r="E6563" t="str">
        <f>"$ 3,242"</f>
        <v>$ 3,242</v>
      </c>
      <c r="F6563">
        <v>145</v>
      </c>
    </row>
    <row r="6564" spans="1:6">
      <c r="A6564" t="s">
        <v>6551</v>
      </c>
      <c r="B6564" t="str">
        <f t="shared" si="272"/>
        <v>0.00042%</v>
      </c>
      <c r="C6564" t="s">
        <v>10</v>
      </c>
      <c r="D6564" t="s">
        <v>10</v>
      </c>
      <c r="E6564" t="str">
        <f>"$ 3,250"</f>
        <v>$ 3,250</v>
      </c>
      <c r="F6564">
        <v>99</v>
      </c>
    </row>
    <row r="6565" spans="1:6">
      <c r="A6565" t="s">
        <v>5760</v>
      </c>
      <c r="B6565" t="str">
        <f t="shared" si="272"/>
        <v>0.00042%</v>
      </c>
      <c r="C6565" t="s">
        <v>10</v>
      </c>
      <c r="D6565" t="s">
        <v>10</v>
      </c>
      <c r="E6565" t="str">
        <f>"$ 3,211"</f>
        <v>$ 3,211</v>
      </c>
      <c r="F6565" s="1">
        <v>2419</v>
      </c>
    </row>
    <row r="6566" spans="1:6">
      <c r="A6566" t="s">
        <v>6552</v>
      </c>
      <c r="B6566" t="str">
        <f t="shared" si="272"/>
        <v>0.00042%</v>
      </c>
      <c r="C6566" t="s">
        <v>10</v>
      </c>
      <c r="D6566" t="s">
        <v>10</v>
      </c>
      <c r="E6566" t="str">
        <f>"$ 3,263"</f>
        <v>$ 3,263</v>
      </c>
      <c r="F6566">
        <v>541</v>
      </c>
    </row>
    <row r="6567" spans="1:6">
      <c r="A6567" t="s">
        <v>6553</v>
      </c>
      <c r="B6567" t="str">
        <f t="shared" si="272"/>
        <v>0.00042%</v>
      </c>
      <c r="C6567" t="s">
        <v>10</v>
      </c>
      <c r="D6567" t="s">
        <v>10</v>
      </c>
      <c r="E6567" t="str">
        <f>"$ 3,205"</f>
        <v>$ 3,205</v>
      </c>
      <c r="F6567">
        <v>119</v>
      </c>
    </row>
    <row r="6568" spans="1:6">
      <c r="A6568" t="s">
        <v>6554</v>
      </c>
      <c r="B6568" t="str">
        <f t="shared" si="272"/>
        <v>0.00042%</v>
      </c>
      <c r="C6568" t="s">
        <v>10</v>
      </c>
      <c r="D6568" t="s">
        <v>10</v>
      </c>
      <c r="E6568" t="str">
        <f>"$ 3,258"</f>
        <v>$ 3,258</v>
      </c>
      <c r="F6568">
        <v>264</v>
      </c>
    </row>
    <row r="6569" spans="1:6">
      <c r="A6569" t="s">
        <v>6555</v>
      </c>
      <c r="B6569" t="str">
        <f t="shared" si="272"/>
        <v>0.00042%</v>
      </c>
      <c r="C6569" t="s">
        <v>10</v>
      </c>
      <c r="D6569" t="s">
        <v>10</v>
      </c>
      <c r="E6569" t="str">
        <f>"$ 3,263"</f>
        <v>$ 3,263</v>
      </c>
      <c r="F6569" s="1">
        <v>10818</v>
      </c>
    </row>
    <row r="6570" spans="1:6">
      <c r="A6570" t="s">
        <v>6556</v>
      </c>
      <c r="B6570" t="str">
        <f t="shared" si="272"/>
        <v>0.00042%</v>
      </c>
      <c r="C6570" t="s">
        <v>10</v>
      </c>
      <c r="D6570" t="s">
        <v>10</v>
      </c>
      <c r="E6570" t="str">
        <f>"$ 3,219"</f>
        <v>$ 3,219</v>
      </c>
      <c r="F6570">
        <v>638</v>
      </c>
    </row>
    <row r="6571" spans="1:6">
      <c r="A6571" t="s">
        <v>6557</v>
      </c>
      <c r="B6571" t="str">
        <f t="shared" si="272"/>
        <v>0.00042%</v>
      </c>
      <c r="C6571" t="s">
        <v>10</v>
      </c>
      <c r="D6571" t="s">
        <v>10</v>
      </c>
      <c r="E6571" t="str">
        <f>"$ 3,251"</f>
        <v>$ 3,251</v>
      </c>
      <c r="F6571">
        <v>222</v>
      </c>
    </row>
    <row r="6572" spans="1:6">
      <c r="A6572" t="s">
        <v>6558</v>
      </c>
      <c r="B6572" t="str">
        <f t="shared" si="272"/>
        <v>0.00042%</v>
      </c>
      <c r="C6572" t="s">
        <v>10</v>
      </c>
      <c r="D6572" t="s">
        <v>10</v>
      </c>
      <c r="E6572" t="str">
        <f>"$ 3,236"</f>
        <v>$ 3,236</v>
      </c>
      <c r="F6572">
        <v>660</v>
      </c>
    </row>
    <row r="6573" spans="1:6">
      <c r="A6573" t="s">
        <v>6559</v>
      </c>
      <c r="B6573" t="str">
        <f t="shared" si="272"/>
        <v>0.00042%</v>
      </c>
      <c r="C6573" t="s">
        <v>10</v>
      </c>
      <c r="D6573" t="s">
        <v>10</v>
      </c>
      <c r="E6573" t="str">
        <f>"$ 3,207"</f>
        <v>$ 3,207</v>
      </c>
      <c r="F6573" s="1">
        <v>11391</v>
      </c>
    </row>
    <row r="6574" spans="1:6">
      <c r="A6574" t="s">
        <v>6560</v>
      </c>
      <c r="B6574" t="str">
        <f t="shared" si="272"/>
        <v>0.00042%</v>
      </c>
      <c r="C6574" t="s">
        <v>10</v>
      </c>
      <c r="D6574" t="s">
        <v>10</v>
      </c>
      <c r="E6574" t="str">
        <f>"$ 3,231"</f>
        <v>$ 3,231</v>
      </c>
      <c r="F6574">
        <v>130</v>
      </c>
    </row>
    <row r="6575" spans="1:6">
      <c r="A6575" t="s">
        <v>6561</v>
      </c>
      <c r="B6575" t="str">
        <f t="shared" si="272"/>
        <v>0.00042%</v>
      </c>
      <c r="C6575" t="s">
        <v>10</v>
      </c>
      <c r="D6575" t="s">
        <v>10</v>
      </c>
      <c r="E6575" t="str">
        <f>"$ 3,260"</f>
        <v>$ 3,260</v>
      </c>
      <c r="F6575">
        <v>187</v>
      </c>
    </row>
    <row r="6576" spans="1:6">
      <c r="A6576" t="s">
        <v>6562</v>
      </c>
      <c r="B6576" t="str">
        <f t="shared" si="272"/>
        <v>0.00042%</v>
      </c>
      <c r="C6576" t="s">
        <v>10</v>
      </c>
      <c r="D6576" t="s">
        <v>10</v>
      </c>
      <c r="E6576" t="str">
        <f>"$ 3,223"</f>
        <v>$ 3,223</v>
      </c>
      <c r="F6576">
        <v>272</v>
      </c>
    </row>
    <row r="6577" spans="1:6">
      <c r="A6577" t="s">
        <v>6563</v>
      </c>
      <c r="B6577" t="str">
        <f t="shared" si="272"/>
        <v>0.00042%</v>
      </c>
      <c r="C6577" t="s">
        <v>10</v>
      </c>
      <c r="D6577" t="s">
        <v>10</v>
      </c>
      <c r="E6577" t="str">
        <f>"$ 3,205"</f>
        <v>$ 3,205</v>
      </c>
      <c r="F6577" s="1">
        <v>2331</v>
      </c>
    </row>
    <row r="6578" spans="1:6">
      <c r="A6578" t="s">
        <v>6564</v>
      </c>
      <c r="B6578" t="str">
        <f t="shared" si="272"/>
        <v>0.00042%</v>
      </c>
      <c r="C6578" t="s">
        <v>10</v>
      </c>
      <c r="D6578" t="s">
        <v>10</v>
      </c>
      <c r="E6578" t="str">
        <f>"$ 3,226"</f>
        <v>$ 3,226</v>
      </c>
      <c r="F6578">
        <v>148</v>
      </c>
    </row>
    <row r="6579" spans="1:6">
      <c r="A6579" t="s">
        <v>6565</v>
      </c>
      <c r="B6579" t="str">
        <f t="shared" ref="B6579:B6607" si="273">"0.00041%"</f>
        <v>0.00041%</v>
      </c>
      <c r="C6579" t="s">
        <v>10</v>
      </c>
      <c r="D6579" t="s">
        <v>10</v>
      </c>
      <c r="E6579" t="str">
        <f>"$ 3,170"</f>
        <v>$ 3,170</v>
      </c>
      <c r="F6579">
        <v>64</v>
      </c>
    </row>
    <row r="6580" spans="1:6">
      <c r="A6580" t="s">
        <v>6566</v>
      </c>
      <c r="B6580" t="str">
        <f t="shared" si="273"/>
        <v>0.00041%</v>
      </c>
      <c r="C6580" t="s">
        <v>10</v>
      </c>
      <c r="D6580" t="s">
        <v>10</v>
      </c>
      <c r="E6580" t="str">
        <f>"$ 3,137"</f>
        <v>$ 3,137</v>
      </c>
      <c r="F6580" s="1">
        <v>1454</v>
      </c>
    </row>
    <row r="6581" spans="1:6">
      <c r="A6581" t="s">
        <v>6567</v>
      </c>
      <c r="B6581" t="str">
        <f t="shared" si="273"/>
        <v>0.00041%</v>
      </c>
      <c r="C6581" t="s">
        <v>10</v>
      </c>
      <c r="D6581" t="s">
        <v>10</v>
      </c>
      <c r="E6581" t="str">
        <f>"$ 3,182"</f>
        <v>$ 3,182</v>
      </c>
      <c r="F6581" s="1">
        <v>1005</v>
      </c>
    </row>
    <row r="6582" spans="1:6">
      <c r="A6582" t="s">
        <v>6568</v>
      </c>
      <c r="B6582" t="str">
        <f t="shared" si="273"/>
        <v>0.00041%</v>
      </c>
      <c r="C6582" t="s">
        <v>10</v>
      </c>
      <c r="D6582" t="s">
        <v>10</v>
      </c>
      <c r="E6582" t="str">
        <f>"$ 3,147"</f>
        <v>$ 3,147</v>
      </c>
      <c r="F6582">
        <v>62</v>
      </c>
    </row>
    <row r="6583" spans="1:6">
      <c r="A6583" t="s">
        <v>6569</v>
      </c>
      <c r="B6583" t="str">
        <f t="shared" si="273"/>
        <v>0.00041%</v>
      </c>
      <c r="C6583" t="s">
        <v>10</v>
      </c>
      <c r="D6583" t="s">
        <v>10</v>
      </c>
      <c r="E6583" t="str">
        <f>"$ 3,200"</f>
        <v>$ 3,200</v>
      </c>
      <c r="F6583">
        <v>158</v>
      </c>
    </row>
    <row r="6584" spans="1:6">
      <c r="A6584" t="s">
        <v>6570</v>
      </c>
      <c r="B6584" t="str">
        <f t="shared" si="273"/>
        <v>0.00041%</v>
      </c>
      <c r="C6584" t="s">
        <v>10</v>
      </c>
      <c r="D6584" t="s">
        <v>10</v>
      </c>
      <c r="E6584" t="str">
        <f>"$ 3,184"</f>
        <v>$ 3,184</v>
      </c>
      <c r="F6584">
        <v>97</v>
      </c>
    </row>
    <row r="6585" spans="1:6">
      <c r="A6585" t="s">
        <v>6571</v>
      </c>
      <c r="B6585" t="str">
        <f t="shared" si="273"/>
        <v>0.00041%</v>
      </c>
      <c r="C6585" t="s">
        <v>10</v>
      </c>
      <c r="D6585" t="s">
        <v>10</v>
      </c>
      <c r="E6585" t="str">
        <f>"$ 3,152"</f>
        <v>$ 3,152</v>
      </c>
      <c r="F6585">
        <v>165</v>
      </c>
    </row>
    <row r="6586" spans="1:6">
      <c r="A6586" t="s">
        <v>6572</v>
      </c>
      <c r="B6586" t="str">
        <f t="shared" si="273"/>
        <v>0.00041%</v>
      </c>
      <c r="C6586" t="s">
        <v>10</v>
      </c>
      <c r="D6586" t="s">
        <v>10</v>
      </c>
      <c r="E6586" t="str">
        <f>"$ 3,153"</f>
        <v>$ 3,153</v>
      </c>
      <c r="F6586" s="1">
        <v>1923</v>
      </c>
    </row>
    <row r="6587" spans="1:6">
      <c r="A6587" t="s">
        <v>6573</v>
      </c>
      <c r="B6587" t="str">
        <f t="shared" si="273"/>
        <v>0.00041%</v>
      </c>
      <c r="C6587" t="s">
        <v>10</v>
      </c>
      <c r="D6587" t="s">
        <v>10</v>
      </c>
      <c r="E6587" t="str">
        <f>"$ 3,154"</f>
        <v>$ 3,154</v>
      </c>
      <c r="F6587">
        <v>45</v>
      </c>
    </row>
    <row r="6588" spans="1:6">
      <c r="A6588" t="s">
        <v>6574</v>
      </c>
      <c r="B6588" t="str">
        <f t="shared" si="273"/>
        <v>0.00041%</v>
      </c>
      <c r="C6588" t="s">
        <v>10</v>
      </c>
      <c r="D6588" t="s">
        <v>10</v>
      </c>
      <c r="E6588" t="str">
        <f>"$ 3,144"</f>
        <v>$ 3,144</v>
      </c>
      <c r="F6588">
        <v>49</v>
      </c>
    </row>
    <row r="6589" spans="1:6">
      <c r="A6589" t="s">
        <v>6575</v>
      </c>
      <c r="B6589" t="str">
        <f t="shared" si="273"/>
        <v>0.00041%</v>
      </c>
      <c r="C6589" t="s">
        <v>10</v>
      </c>
      <c r="D6589" t="s">
        <v>10</v>
      </c>
      <c r="E6589" t="str">
        <f>"$ 3,160"</f>
        <v>$ 3,160</v>
      </c>
      <c r="F6589">
        <v>235</v>
      </c>
    </row>
    <row r="6590" spans="1:6">
      <c r="A6590" t="s">
        <v>6576</v>
      </c>
      <c r="B6590" t="str">
        <f t="shared" si="273"/>
        <v>0.00041%</v>
      </c>
      <c r="C6590" t="s">
        <v>10</v>
      </c>
      <c r="D6590" t="s">
        <v>10</v>
      </c>
      <c r="E6590" t="str">
        <f>"$ 3,167"</f>
        <v>$ 3,167</v>
      </c>
      <c r="F6590">
        <v>786</v>
      </c>
    </row>
    <row r="6591" spans="1:6">
      <c r="A6591" t="s">
        <v>6577</v>
      </c>
      <c r="B6591" t="str">
        <f t="shared" si="273"/>
        <v>0.00041%</v>
      </c>
      <c r="C6591" t="s">
        <v>10</v>
      </c>
      <c r="D6591" t="s">
        <v>10</v>
      </c>
      <c r="E6591" t="str">
        <f>"$ 3,180"</f>
        <v>$ 3,180</v>
      </c>
      <c r="F6591" s="1">
        <v>3640</v>
      </c>
    </row>
    <row r="6592" spans="1:6">
      <c r="A6592" t="s">
        <v>6578</v>
      </c>
      <c r="B6592" t="str">
        <f t="shared" si="273"/>
        <v>0.00041%</v>
      </c>
      <c r="C6592" t="s">
        <v>10</v>
      </c>
      <c r="D6592" t="s">
        <v>10</v>
      </c>
      <c r="E6592" t="str">
        <f>"$ 3,185"</f>
        <v>$ 3,185</v>
      </c>
      <c r="F6592">
        <v>115</v>
      </c>
    </row>
    <row r="6593" spans="1:6">
      <c r="A6593" t="s">
        <v>6579</v>
      </c>
      <c r="B6593" t="str">
        <f t="shared" si="273"/>
        <v>0.00041%</v>
      </c>
      <c r="C6593" t="s">
        <v>10</v>
      </c>
      <c r="D6593" t="s">
        <v>10</v>
      </c>
      <c r="E6593" t="str">
        <f>"$ 3,192"</f>
        <v>$ 3,192</v>
      </c>
      <c r="F6593" s="1">
        <v>2818</v>
      </c>
    </row>
    <row r="6594" spans="1:6">
      <c r="A6594" t="s">
        <v>6580</v>
      </c>
      <c r="B6594" t="str">
        <f t="shared" si="273"/>
        <v>0.00041%</v>
      </c>
      <c r="C6594" t="s">
        <v>10</v>
      </c>
      <c r="D6594" t="s">
        <v>10</v>
      </c>
      <c r="E6594" t="str">
        <f>"$ 3,189"</f>
        <v>$ 3,189</v>
      </c>
      <c r="F6594">
        <v>885</v>
      </c>
    </row>
    <row r="6595" spans="1:6">
      <c r="A6595" t="s">
        <v>6581</v>
      </c>
      <c r="B6595" t="str">
        <f t="shared" si="273"/>
        <v>0.00041%</v>
      </c>
      <c r="C6595" t="s">
        <v>10</v>
      </c>
      <c r="D6595" t="s">
        <v>10</v>
      </c>
      <c r="E6595" t="str">
        <f>"$ 3,137"</f>
        <v>$ 3,137</v>
      </c>
      <c r="F6595">
        <v>102</v>
      </c>
    </row>
    <row r="6596" spans="1:6">
      <c r="A6596" t="s">
        <v>6582</v>
      </c>
      <c r="B6596" t="str">
        <f t="shared" si="273"/>
        <v>0.00041%</v>
      </c>
      <c r="C6596" t="s">
        <v>10</v>
      </c>
      <c r="D6596" t="s">
        <v>10</v>
      </c>
      <c r="E6596" t="str">
        <f>"$ 3,158"</f>
        <v>$ 3,158</v>
      </c>
      <c r="F6596">
        <v>178</v>
      </c>
    </row>
    <row r="6597" spans="1:6">
      <c r="A6597" t="s">
        <v>6583</v>
      </c>
      <c r="B6597" t="str">
        <f t="shared" si="273"/>
        <v>0.00041%</v>
      </c>
      <c r="C6597" t="s">
        <v>10</v>
      </c>
      <c r="D6597" t="s">
        <v>10</v>
      </c>
      <c r="E6597" t="str">
        <f>"$ 3,141"</f>
        <v>$ 3,141</v>
      </c>
      <c r="F6597" s="1">
        <v>4685</v>
      </c>
    </row>
    <row r="6598" spans="1:6">
      <c r="A6598" t="s">
        <v>6584</v>
      </c>
      <c r="B6598" t="str">
        <f t="shared" si="273"/>
        <v>0.00041%</v>
      </c>
      <c r="C6598" t="s">
        <v>10</v>
      </c>
      <c r="D6598" t="s">
        <v>10</v>
      </c>
      <c r="E6598" t="str">
        <f>"$ 3,178"</f>
        <v>$ 3,178</v>
      </c>
      <c r="F6598" s="1">
        <v>4467</v>
      </c>
    </row>
    <row r="6599" spans="1:6">
      <c r="A6599" t="s">
        <v>6585</v>
      </c>
      <c r="B6599" t="str">
        <f t="shared" si="273"/>
        <v>0.00041%</v>
      </c>
      <c r="C6599" t="s">
        <v>10</v>
      </c>
      <c r="D6599" t="s">
        <v>10</v>
      </c>
      <c r="E6599" t="str">
        <f>"$ 3,141"</f>
        <v>$ 3,141</v>
      </c>
      <c r="F6599">
        <v>85</v>
      </c>
    </row>
    <row r="6600" spans="1:6">
      <c r="A6600" t="s">
        <v>6586</v>
      </c>
      <c r="B6600" t="str">
        <f t="shared" si="273"/>
        <v>0.00041%</v>
      </c>
      <c r="C6600" t="s">
        <v>10</v>
      </c>
      <c r="D6600" t="s">
        <v>10</v>
      </c>
      <c r="E6600" t="str">
        <f>"$ 3,167"</f>
        <v>$ 3,167</v>
      </c>
      <c r="F6600">
        <v>90</v>
      </c>
    </row>
    <row r="6601" spans="1:6">
      <c r="A6601" t="s">
        <v>6587</v>
      </c>
      <c r="B6601" t="str">
        <f t="shared" si="273"/>
        <v>0.00041%</v>
      </c>
      <c r="C6601" t="s">
        <v>10</v>
      </c>
      <c r="D6601" t="s">
        <v>10</v>
      </c>
      <c r="E6601" t="str">
        <f>"$ 3,170"</f>
        <v>$ 3,170</v>
      </c>
      <c r="F6601">
        <v>143</v>
      </c>
    </row>
    <row r="6602" spans="1:6">
      <c r="A6602" t="s">
        <v>6588</v>
      </c>
      <c r="B6602" t="str">
        <f t="shared" si="273"/>
        <v>0.00041%</v>
      </c>
      <c r="C6602" t="s">
        <v>10</v>
      </c>
      <c r="D6602" t="s">
        <v>10</v>
      </c>
      <c r="E6602" t="str">
        <f>"$ 3,162"</f>
        <v>$ 3,162</v>
      </c>
      <c r="F6602" s="1">
        <v>15553</v>
      </c>
    </row>
    <row r="6603" spans="1:6">
      <c r="A6603" t="s">
        <v>6589</v>
      </c>
      <c r="B6603" t="str">
        <f t="shared" si="273"/>
        <v>0.00041%</v>
      </c>
      <c r="C6603" t="s">
        <v>10</v>
      </c>
      <c r="D6603" t="s">
        <v>10</v>
      </c>
      <c r="E6603" t="str">
        <f>"$ 3,151"</f>
        <v>$ 3,151</v>
      </c>
      <c r="F6603" s="1">
        <v>3221</v>
      </c>
    </row>
    <row r="6604" spans="1:6">
      <c r="A6604" t="s">
        <v>6590</v>
      </c>
      <c r="B6604" t="str">
        <f t="shared" si="273"/>
        <v>0.00041%</v>
      </c>
      <c r="C6604" t="s">
        <v>10</v>
      </c>
      <c r="D6604" t="s">
        <v>10</v>
      </c>
      <c r="E6604" t="str">
        <f>"$ 3,157"</f>
        <v>$ 3,157</v>
      </c>
      <c r="F6604">
        <v>426</v>
      </c>
    </row>
    <row r="6605" spans="1:6">
      <c r="A6605" t="s">
        <v>6591</v>
      </c>
      <c r="B6605" t="str">
        <f t="shared" si="273"/>
        <v>0.00041%</v>
      </c>
      <c r="C6605" t="s">
        <v>10</v>
      </c>
      <c r="D6605" t="s">
        <v>10</v>
      </c>
      <c r="E6605" t="str">
        <f>"$ 3,147"</f>
        <v>$ 3,147</v>
      </c>
      <c r="F6605">
        <v>234</v>
      </c>
    </row>
    <row r="6606" spans="1:6">
      <c r="A6606" t="s">
        <v>6592</v>
      </c>
      <c r="B6606" t="str">
        <f t="shared" si="273"/>
        <v>0.00041%</v>
      </c>
      <c r="C6606" t="s">
        <v>10</v>
      </c>
      <c r="D6606" t="s">
        <v>10</v>
      </c>
      <c r="E6606" t="str">
        <f>"$ 3,129"</f>
        <v>$ 3,129</v>
      </c>
      <c r="F6606">
        <v>444</v>
      </c>
    </row>
    <row r="6607" spans="1:6">
      <c r="A6607" t="s">
        <v>6593</v>
      </c>
      <c r="B6607" t="str">
        <f t="shared" si="273"/>
        <v>0.00041%</v>
      </c>
      <c r="C6607" t="s">
        <v>10</v>
      </c>
      <c r="D6607" t="s">
        <v>10</v>
      </c>
      <c r="E6607" t="str">
        <f>"$ 3,185"</f>
        <v>$ 3,185</v>
      </c>
      <c r="F6607" s="1">
        <v>2727</v>
      </c>
    </row>
    <row r="6608" spans="1:6">
      <c r="A6608" t="s">
        <v>6594</v>
      </c>
      <c r="B6608" t="str">
        <f t="shared" ref="B6608:B6652" si="274">"0.00040%"</f>
        <v>0.00040%</v>
      </c>
      <c r="C6608" t="s">
        <v>10</v>
      </c>
      <c r="D6608" t="s">
        <v>10</v>
      </c>
      <c r="E6608" t="str">
        <f>"$ 3,120"</f>
        <v>$ 3,120</v>
      </c>
      <c r="F6608" s="1">
        <v>37739</v>
      </c>
    </row>
    <row r="6609" spans="1:6">
      <c r="A6609" t="s">
        <v>6595</v>
      </c>
      <c r="B6609" t="str">
        <f t="shared" si="274"/>
        <v>0.00040%</v>
      </c>
      <c r="C6609" t="s">
        <v>10</v>
      </c>
      <c r="D6609" t="s">
        <v>10</v>
      </c>
      <c r="E6609" t="str">
        <f>"$ 3,094"</f>
        <v>$ 3,094</v>
      </c>
      <c r="F6609">
        <v>643</v>
      </c>
    </row>
    <row r="6610" spans="1:6">
      <c r="A6610" t="s">
        <v>6596</v>
      </c>
      <c r="B6610" t="str">
        <f t="shared" si="274"/>
        <v>0.00040%</v>
      </c>
      <c r="C6610" t="s">
        <v>10</v>
      </c>
      <c r="D6610" t="s">
        <v>10</v>
      </c>
      <c r="E6610" t="str">
        <f>"$ 3,065"</f>
        <v>$ 3,065</v>
      </c>
      <c r="F6610">
        <v>319</v>
      </c>
    </row>
    <row r="6611" spans="1:6">
      <c r="A6611" t="s">
        <v>6597</v>
      </c>
      <c r="B6611" t="str">
        <f t="shared" si="274"/>
        <v>0.00040%</v>
      </c>
      <c r="C6611" t="s">
        <v>10</v>
      </c>
      <c r="D6611" t="s">
        <v>10</v>
      </c>
      <c r="E6611" t="str">
        <f>"$ 3,127"</f>
        <v>$ 3,127</v>
      </c>
      <c r="F6611" s="1">
        <v>7406</v>
      </c>
    </row>
    <row r="6612" spans="1:6">
      <c r="A6612" t="s">
        <v>6598</v>
      </c>
      <c r="B6612" t="str">
        <f t="shared" si="274"/>
        <v>0.00040%</v>
      </c>
      <c r="C6612" t="s">
        <v>10</v>
      </c>
      <c r="D6612" t="s">
        <v>10</v>
      </c>
      <c r="E6612" t="str">
        <f>"$ 3,112"</f>
        <v>$ 3,112</v>
      </c>
      <c r="F6612">
        <v>498</v>
      </c>
    </row>
    <row r="6613" spans="1:6">
      <c r="A6613" t="s">
        <v>6599</v>
      </c>
      <c r="B6613" t="str">
        <f t="shared" si="274"/>
        <v>0.00040%</v>
      </c>
      <c r="C6613" t="s">
        <v>10</v>
      </c>
      <c r="D6613" t="s">
        <v>10</v>
      </c>
      <c r="E6613" t="str">
        <f>"$ 3,119"</f>
        <v>$ 3,119</v>
      </c>
      <c r="F6613">
        <v>795</v>
      </c>
    </row>
    <row r="6614" spans="1:6">
      <c r="A6614" t="s">
        <v>6600</v>
      </c>
      <c r="B6614" t="str">
        <f t="shared" si="274"/>
        <v>0.00040%</v>
      </c>
      <c r="C6614" t="s">
        <v>10</v>
      </c>
      <c r="D6614" t="s">
        <v>10</v>
      </c>
      <c r="E6614" t="str">
        <f>"$ 3,053"</f>
        <v>$ 3,053</v>
      </c>
      <c r="F6614" s="1">
        <v>2208</v>
      </c>
    </row>
    <row r="6615" spans="1:6">
      <c r="A6615" t="s">
        <v>6601</v>
      </c>
      <c r="B6615" t="str">
        <f t="shared" si="274"/>
        <v>0.00040%</v>
      </c>
      <c r="C6615" t="s">
        <v>10</v>
      </c>
      <c r="D6615" t="s">
        <v>10</v>
      </c>
      <c r="E6615" t="str">
        <f>"$ 3,075"</f>
        <v>$ 3,075</v>
      </c>
      <c r="F6615">
        <v>401</v>
      </c>
    </row>
    <row r="6616" spans="1:6">
      <c r="A6616" t="s">
        <v>6602</v>
      </c>
      <c r="B6616" t="str">
        <f t="shared" si="274"/>
        <v>0.00040%</v>
      </c>
      <c r="C6616" t="s">
        <v>10</v>
      </c>
      <c r="D6616" t="s">
        <v>10</v>
      </c>
      <c r="E6616" t="str">
        <f>"$ 3,096"</f>
        <v>$ 3,096</v>
      </c>
      <c r="F6616">
        <v>110</v>
      </c>
    </row>
    <row r="6617" spans="1:6">
      <c r="A6617" t="s">
        <v>6603</v>
      </c>
      <c r="B6617" t="str">
        <f t="shared" si="274"/>
        <v>0.00040%</v>
      </c>
      <c r="C6617" t="s">
        <v>10</v>
      </c>
      <c r="D6617" t="s">
        <v>10</v>
      </c>
      <c r="E6617" t="str">
        <f>"$ 3,091"</f>
        <v>$ 3,091</v>
      </c>
      <c r="F6617" s="1">
        <v>2702</v>
      </c>
    </row>
    <row r="6618" spans="1:6">
      <c r="A6618" t="s">
        <v>6604</v>
      </c>
      <c r="B6618" t="str">
        <f t="shared" si="274"/>
        <v>0.00040%</v>
      </c>
      <c r="C6618" t="s">
        <v>10</v>
      </c>
      <c r="D6618" t="s">
        <v>10</v>
      </c>
      <c r="E6618" t="str">
        <f>"$ 3,073"</f>
        <v>$ 3,073</v>
      </c>
      <c r="F6618" s="1">
        <v>1647</v>
      </c>
    </row>
    <row r="6619" spans="1:6">
      <c r="A6619" t="s">
        <v>6605</v>
      </c>
      <c r="B6619" t="str">
        <f t="shared" si="274"/>
        <v>0.00040%</v>
      </c>
      <c r="C6619" t="s">
        <v>10</v>
      </c>
      <c r="D6619" t="s">
        <v>10</v>
      </c>
      <c r="E6619" t="str">
        <f>"$ 3,053"</f>
        <v>$ 3,053</v>
      </c>
      <c r="F6619" s="1">
        <v>26346</v>
      </c>
    </row>
    <row r="6620" spans="1:6">
      <c r="A6620" t="s">
        <v>6606</v>
      </c>
      <c r="B6620" t="str">
        <f t="shared" si="274"/>
        <v>0.00040%</v>
      </c>
      <c r="C6620" t="s">
        <v>10</v>
      </c>
      <c r="D6620" t="s">
        <v>10</v>
      </c>
      <c r="E6620" t="str">
        <f>"$ 3,111"</f>
        <v>$ 3,111</v>
      </c>
      <c r="F6620" s="1">
        <v>4335</v>
      </c>
    </row>
    <row r="6621" spans="1:6">
      <c r="A6621" t="s">
        <v>6607</v>
      </c>
      <c r="B6621" t="str">
        <f t="shared" si="274"/>
        <v>0.00040%</v>
      </c>
      <c r="C6621" t="s">
        <v>10</v>
      </c>
      <c r="D6621" t="s">
        <v>10</v>
      </c>
      <c r="E6621" t="str">
        <f>"$ 3,106"</f>
        <v>$ 3,106</v>
      </c>
      <c r="F6621" s="1">
        <v>7423</v>
      </c>
    </row>
    <row r="6622" spans="1:6">
      <c r="A6622" t="s">
        <v>6608</v>
      </c>
      <c r="B6622" t="str">
        <f t="shared" si="274"/>
        <v>0.00040%</v>
      </c>
      <c r="C6622" t="s">
        <v>10</v>
      </c>
      <c r="D6622" t="s">
        <v>10</v>
      </c>
      <c r="E6622" t="str">
        <f>"$ 3,126"</f>
        <v>$ 3,126</v>
      </c>
      <c r="F6622" s="1">
        <v>1128</v>
      </c>
    </row>
    <row r="6623" spans="1:6">
      <c r="A6623" t="s">
        <v>6609</v>
      </c>
      <c r="B6623" t="str">
        <f t="shared" si="274"/>
        <v>0.00040%</v>
      </c>
      <c r="C6623" t="s">
        <v>10</v>
      </c>
      <c r="D6623" t="s">
        <v>10</v>
      </c>
      <c r="E6623" t="str">
        <f>"$ 3,111"</f>
        <v>$ 3,111</v>
      </c>
      <c r="F6623" s="1">
        <v>1950</v>
      </c>
    </row>
    <row r="6624" spans="1:6">
      <c r="A6624" t="s">
        <v>6610</v>
      </c>
      <c r="B6624" t="str">
        <f t="shared" si="274"/>
        <v>0.00040%</v>
      </c>
      <c r="C6624" t="s">
        <v>10</v>
      </c>
      <c r="D6624" t="s">
        <v>10</v>
      </c>
      <c r="E6624" t="str">
        <f>"$ 3,118"</f>
        <v>$ 3,118</v>
      </c>
      <c r="F6624">
        <v>438</v>
      </c>
    </row>
    <row r="6625" spans="1:6">
      <c r="A6625" t="s">
        <v>6611</v>
      </c>
      <c r="B6625" t="str">
        <f t="shared" si="274"/>
        <v>0.00040%</v>
      </c>
      <c r="C6625" t="s">
        <v>10</v>
      </c>
      <c r="D6625" t="s">
        <v>10</v>
      </c>
      <c r="E6625" t="str">
        <f>"$ 3,064"</f>
        <v>$ 3,064</v>
      </c>
      <c r="F6625" s="1">
        <v>4530</v>
      </c>
    </row>
    <row r="6626" spans="1:6">
      <c r="A6626" t="s">
        <v>6612</v>
      </c>
      <c r="B6626" t="str">
        <f t="shared" si="274"/>
        <v>0.00040%</v>
      </c>
      <c r="C6626" t="s">
        <v>10</v>
      </c>
      <c r="D6626" t="s">
        <v>10</v>
      </c>
      <c r="E6626" t="str">
        <f>"$ 3,123"</f>
        <v>$ 3,123</v>
      </c>
      <c r="F6626">
        <v>82</v>
      </c>
    </row>
    <row r="6627" spans="1:6">
      <c r="A6627" t="s">
        <v>6613</v>
      </c>
      <c r="B6627" t="str">
        <f t="shared" si="274"/>
        <v>0.00040%</v>
      </c>
      <c r="C6627" t="s">
        <v>10</v>
      </c>
      <c r="D6627" t="s">
        <v>10</v>
      </c>
      <c r="E6627" t="str">
        <f>"$ 3,098"</f>
        <v>$ 3,098</v>
      </c>
      <c r="F6627">
        <v>319</v>
      </c>
    </row>
    <row r="6628" spans="1:6">
      <c r="A6628" t="s">
        <v>6614</v>
      </c>
      <c r="B6628" t="str">
        <f t="shared" si="274"/>
        <v>0.00040%</v>
      </c>
      <c r="C6628" t="s">
        <v>10</v>
      </c>
      <c r="D6628" t="s">
        <v>10</v>
      </c>
      <c r="E6628" t="str">
        <f>"$ 3,084"</f>
        <v>$ 3,084</v>
      </c>
      <c r="F6628">
        <v>40</v>
      </c>
    </row>
    <row r="6629" spans="1:6">
      <c r="A6629" t="s">
        <v>6615</v>
      </c>
      <c r="B6629" t="str">
        <f t="shared" si="274"/>
        <v>0.00040%</v>
      </c>
      <c r="C6629" t="s">
        <v>10</v>
      </c>
      <c r="D6629" t="s">
        <v>10</v>
      </c>
      <c r="E6629" t="str">
        <f>"$ 3,078"</f>
        <v>$ 3,078</v>
      </c>
      <c r="F6629">
        <v>130</v>
      </c>
    </row>
    <row r="6630" spans="1:6">
      <c r="A6630" t="s">
        <v>6616</v>
      </c>
      <c r="B6630" t="str">
        <f t="shared" si="274"/>
        <v>0.00040%</v>
      </c>
      <c r="C6630" t="s">
        <v>10</v>
      </c>
      <c r="D6630" t="s">
        <v>10</v>
      </c>
      <c r="E6630" t="str">
        <f>"$ 3,082"</f>
        <v>$ 3,082</v>
      </c>
      <c r="F6630" s="1">
        <v>1264</v>
      </c>
    </row>
    <row r="6631" spans="1:6">
      <c r="A6631" t="s">
        <v>6617</v>
      </c>
      <c r="B6631" t="str">
        <f t="shared" si="274"/>
        <v>0.00040%</v>
      </c>
      <c r="C6631" t="s">
        <v>10</v>
      </c>
      <c r="D6631" t="s">
        <v>10</v>
      </c>
      <c r="E6631" t="str">
        <f>"$ 3,123"</f>
        <v>$ 3,123</v>
      </c>
      <c r="F6631">
        <v>303</v>
      </c>
    </row>
    <row r="6632" spans="1:6">
      <c r="A6632" t="s">
        <v>6618</v>
      </c>
      <c r="B6632" t="str">
        <f t="shared" si="274"/>
        <v>0.00040%</v>
      </c>
      <c r="C6632" t="s">
        <v>10</v>
      </c>
      <c r="D6632" t="s">
        <v>10</v>
      </c>
      <c r="E6632" t="str">
        <f>"$ 3,073"</f>
        <v>$ 3,073</v>
      </c>
      <c r="F6632">
        <v>84</v>
      </c>
    </row>
    <row r="6633" spans="1:6">
      <c r="A6633" t="s">
        <v>6619</v>
      </c>
      <c r="B6633" t="str">
        <f t="shared" si="274"/>
        <v>0.00040%</v>
      </c>
      <c r="C6633" t="s">
        <v>10</v>
      </c>
      <c r="D6633" t="s">
        <v>10</v>
      </c>
      <c r="E6633" t="str">
        <f>"$ 3,108"</f>
        <v>$ 3,108</v>
      </c>
      <c r="F6633">
        <v>157</v>
      </c>
    </row>
    <row r="6634" spans="1:6">
      <c r="A6634" t="s">
        <v>6620</v>
      </c>
      <c r="B6634" t="str">
        <f t="shared" si="274"/>
        <v>0.00040%</v>
      </c>
      <c r="C6634" t="s">
        <v>10</v>
      </c>
      <c r="D6634" t="s">
        <v>10</v>
      </c>
      <c r="E6634" t="str">
        <f>"$ 3,053"</f>
        <v>$ 3,053</v>
      </c>
      <c r="F6634">
        <v>114</v>
      </c>
    </row>
    <row r="6635" spans="1:6">
      <c r="A6635" t="s">
        <v>6621</v>
      </c>
      <c r="B6635" t="str">
        <f t="shared" si="274"/>
        <v>0.00040%</v>
      </c>
      <c r="C6635" t="s">
        <v>10</v>
      </c>
      <c r="D6635" t="s">
        <v>10</v>
      </c>
      <c r="E6635" t="str">
        <f>"$ 3,096"</f>
        <v>$ 3,096</v>
      </c>
      <c r="F6635" s="1">
        <v>6616</v>
      </c>
    </row>
    <row r="6636" spans="1:6">
      <c r="A6636" t="s">
        <v>6622</v>
      </c>
      <c r="B6636" t="str">
        <f t="shared" si="274"/>
        <v>0.00040%</v>
      </c>
      <c r="C6636" t="s">
        <v>10</v>
      </c>
      <c r="D6636" t="s">
        <v>10</v>
      </c>
      <c r="E6636" t="str">
        <f>"$ 3,082"</f>
        <v>$ 3,082</v>
      </c>
      <c r="F6636">
        <v>95</v>
      </c>
    </row>
    <row r="6637" spans="1:6">
      <c r="A6637" t="s">
        <v>6623</v>
      </c>
      <c r="B6637" t="str">
        <f t="shared" si="274"/>
        <v>0.00040%</v>
      </c>
      <c r="C6637" t="s">
        <v>10</v>
      </c>
      <c r="D6637" t="s">
        <v>10</v>
      </c>
      <c r="E6637" t="str">
        <f>"$ 3,055"</f>
        <v>$ 3,055</v>
      </c>
      <c r="F6637" s="1">
        <v>1913</v>
      </c>
    </row>
    <row r="6638" spans="1:6">
      <c r="A6638" t="s">
        <v>6624</v>
      </c>
      <c r="B6638" t="str">
        <f t="shared" si="274"/>
        <v>0.00040%</v>
      </c>
      <c r="C6638" t="s">
        <v>10</v>
      </c>
      <c r="D6638" t="s">
        <v>10</v>
      </c>
      <c r="E6638" t="str">
        <f>"$ 3,064"</f>
        <v>$ 3,064</v>
      </c>
      <c r="F6638">
        <v>80</v>
      </c>
    </row>
    <row r="6639" spans="1:6">
      <c r="A6639" t="s">
        <v>6625</v>
      </c>
      <c r="B6639" t="str">
        <f t="shared" si="274"/>
        <v>0.00040%</v>
      </c>
      <c r="C6639" t="s">
        <v>10</v>
      </c>
      <c r="D6639" t="s">
        <v>10</v>
      </c>
      <c r="E6639" t="str">
        <f>"$ 3,081"</f>
        <v>$ 3,081</v>
      </c>
      <c r="F6639">
        <v>174</v>
      </c>
    </row>
    <row r="6640" spans="1:6">
      <c r="A6640" t="s">
        <v>6626</v>
      </c>
      <c r="B6640" t="str">
        <f t="shared" si="274"/>
        <v>0.00040%</v>
      </c>
      <c r="C6640" t="s">
        <v>10</v>
      </c>
      <c r="D6640" t="s">
        <v>10</v>
      </c>
      <c r="E6640" t="str">
        <f>"$ 3,078"</f>
        <v>$ 3,078</v>
      </c>
      <c r="F6640">
        <v>84</v>
      </c>
    </row>
    <row r="6641" spans="1:6">
      <c r="A6641" t="s">
        <v>6627</v>
      </c>
      <c r="B6641" t="str">
        <f t="shared" si="274"/>
        <v>0.00040%</v>
      </c>
      <c r="C6641" t="s">
        <v>10</v>
      </c>
      <c r="D6641" t="s">
        <v>10</v>
      </c>
      <c r="E6641" t="str">
        <f>"$ 3,082"</f>
        <v>$ 3,082</v>
      </c>
      <c r="F6641" s="1">
        <v>2196</v>
      </c>
    </row>
    <row r="6642" spans="1:6">
      <c r="A6642" t="s">
        <v>6628</v>
      </c>
      <c r="B6642" t="str">
        <f t="shared" si="274"/>
        <v>0.00040%</v>
      </c>
      <c r="C6642" t="s">
        <v>10</v>
      </c>
      <c r="D6642" t="s">
        <v>10</v>
      </c>
      <c r="E6642" t="str">
        <f>"$ 3,108"</f>
        <v>$ 3,108</v>
      </c>
      <c r="F6642">
        <v>140</v>
      </c>
    </row>
    <row r="6643" spans="1:6">
      <c r="A6643" t="s">
        <v>6399</v>
      </c>
      <c r="B6643" t="str">
        <f t="shared" si="274"/>
        <v>0.00040%</v>
      </c>
      <c r="C6643" t="s">
        <v>10</v>
      </c>
      <c r="D6643" t="s">
        <v>10</v>
      </c>
      <c r="E6643" t="str">
        <f>"$ 3,097"</f>
        <v>$ 3,097</v>
      </c>
      <c r="F6643" s="1">
        <v>2442</v>
      </c>
    </row>
    <row r="6644" spans="1:6">
      <c r="A6644" t="s">
        <v>6629</v>
      </c>
      <c r="B6644" t="str">
        <f t="shared" si="274"/>
        <v>0.00040%</v>
      </c>
      <c r="C6644" t="s">
        <v>10</v>
      </c>
      <c r="D6644" t="s">
        <v>10</v>
      </c>
      <c r="E6644" t="str">
        <f>"$ 3,076"</f>
        <v>$ 3,076</v>
      </c>
      <c r="F6644" s="1">
        <v>3898</v>
      </c>
    </row>
    <row r="6645" spans="1:6">
      <c r="A6645" t="s">
        <v>6630</v>
      </c>
      <c r="B6645" t="str">
        <f t="shared" si="274"/>
        <v>0.00040%</v>
      </c>
      <c r="C6645" t="s">
        <v>10</v>
      </c>
      <c r="D6645" t="s">
        <v>10</v>
      </c>
      <c r="E6645" t="str">
        <f>"$ 3,108"</f>
        <v>$ 3,108</v>
      </c>
      <c r="F6645">
        <v>429</v>
      </c>
    </row>
    <row r="6646" spans="1:6">
      <c r="A6646" t="s">
        <v>6631</v>
      </c>
      <c r="B6646" t="str">
        <f t="shared" si="274"/>
        <v>0.00040%</v>
      </c>
      <c r="C6646" t="s">
        <v>10</v>
      </c>
      <c r="D6646" t="s">
        <v>10</v>
      </c>
      <c r="E6646" t="str">
        <f>"$ 3,100"</f>
        <v>$ 3,100</v>
      </c>
      <c r="F6646">
        <v>134</v>
      </c>
    </row>
    <row r="6647" spans="1:6">
      <c r="A6647" t="s">
        <v>6632</v>
      </c>
      <c r="B6647" t="str">
        <f t="shared" si="274"/>
        <v>0.00040%</v>
      </c>
      <c r="C6647" t="s">
        <v>10</v>
      </c>
      <c r="D6647" t="s">
        <v>10</v>
      </c>
      <c r="E6647" t="str">
        <f>"$ 3,071"</f>
        <v>$ 3,071</v>
      </c>
      <c r="F6647">
        <v>160</v>
      </c>
    </row>
    <row r="6648" spans="1:6">
      <c r="A6648" t="s">
        <v>6633</v>
      </c>
      <c r="B6648" t="str">
        <f t="shared" si="274"/>
        <v>0.00040%</v>
      </c>
      <c r="C6648" t="s">
        <v>10</v>
      </c>
      <c r="D6648" t="s">
        <v>10</v>
      </c>
      <c r="E6648" t="str">
        <f>"$ 3,125"</f>
        <v>$ 3,125</v>
      </c>
      <c r="F6648">
        <v>138</v>
      </c>
    </row>
    <row r="6649" spans="1:6">
      <c r="A6649" t="s">
        <v>6634</v>
      </c>
      <c r="B6649" t="str">
        <f t="shared" si="274"/>
        <v>0.00040%</v>
      </c>
      <c r="C6649" t="s">
        <v>10</v>
      </c>
      <c r="D6649" t="s">
        <v>10</v>
      </c>
      <c r="E6649" t="str">
        <f>"$ 3,116"</f>
        <v>$ 3,116</v>
      </c>
      <c r="F6649">
        <v>99</v>
      </c>
    </row>
    <row r="6650" spans="1:6">
      <c r="A6650" t="s">
        <v>6635</v>
      </c>
      <c r="B6650" t="str">
        <f t="shared" si="274"/>
        <v>0.00040%</v>
      </c>
      <c r="C6650" t="s">
        <v>10</v>
      </c>
      <c r="D6650" t="s">
        <v>10</v>
      </c>
      <c r="E6650" t="str">
        <f>"$ 3,052"</f>
        <v>$ 3,052</v>
      </c>
      <c r="F6650">
        <v>224</v>
      </c>
    </row>
    <row r="6651" spans="1:6">
      <c r="A6651" t="s">
        <v>6636</v>
      </c>
      <c r="B6651" t="str">
        <f t="shared" si="274"/>
        <v>0.00040%</v>
      </c>
      <c r="C6651" t="s">
        <v>10</v>
      </c>
      <c r="D6651" t="s">
        <v>10</v>
      </c>
      <c r="E6651" t="str">
        <f>"$ 3,099"</f>
        <v>$ 3,099</v>
      </c>
      <c r="F6651" s="1">
        <v>10126</v>
      </c>
    </row>
    <row r="6652" spans="1:6">
      <c r="A6652" t="s">
        <v>6637</v>
      </c>
      <c r="B6652" t="str">
        <f t="shared" si="274"/>
        <v>0.00040%</v>
      </c>
      <c r="C6652" t="s">
        <v>10</v>
      </c>
      <c r="D6652" t="s">
        <v>10</v>
      </c>
      <c r="E6652" t="str">
        <f>"$ 3,083"</f>
        <v>$ 3,083</v>
      </c>
      <c r="F6652">
        <v>802</v>
      </c>
    </row>
    <row r="6653" spans="1:6">
      <c r="A6653" t="s">
        <v>6638</v>
      </c>
      <c r="B6653" t="str">
        <f t="shared" ref="B6653:B6684" si="275">"0.00039%"</f>
        <v>0.00039%</v>
      </c>
      <c r="C6653" t="s">
        <v>10</v>
      </c>
      <c r="D6653" t="s">
        <v>10</v>
      </c>
      <c r="E6653" t="str">
        <f>"$ 2,996"</f>
        <v>$ 2,996</v>
      </c>
      <c r="F6653">
        <v>302</v>
      </c>
    </row>
    <row r="6654" spans="1:6">
      <c r="A6654" t="s">
        <v>6639</v>
      </c>
      <c r="B6654" t="str">
        <f t="shared" si="275"/>
        <v>0.00039%</v>
      </c>
      <c r="C6654" t="s">
        <v>10</v>
      </c>
      <c r="D6654" t="s">
        <v>10</v>
      </c>
      <c r="E6654" t="str">
        <f>"$ 3,012"</f>
        <v>$ 3,012</v>
      </c>
      <c r="F6654">
        <v>150</v>
      </c>
    </row>
    <row r="6655" spans="1:6">
      <c r="A6655" t="s">
        <v>6640</v>
      </c>
      <c r="B6655" t="str">
        <f t="shared" si="275"/>
        <v>0.00039%</v>
      </c>
      <c r="C6655" t="s">
        <v>10</v>
      </c>
      <c r="D6655" t="s">
        <v>10</v>
      </c>
      <c r="E6655" t="str">
        <f>"$ 3,020"</f>
        <v>$ 3,020</v>
      </c>
      <c r="F6655" s="1">
        <v>10752</v>
      </c>
    </row>
    <row r="6656" spans="1:6">
      <c r="A6656" t="s">
        <v>6641</v>
      </c>
      <c r="B6656" t="str">
        <f t="shared" si="275"/>
        <v>0.00039%</v>
      </c>
      <c r="C6656" t="s">
        <v>10</v>
      </c>
      <c r="D6656" t="s">
        <v>10</v>
      </c>
      <c r="E6656" t="str">
        <f>"$ 2,987"</f>
        <v>$ 2,987</v>
      </c>
      <c r="F6656">
        <v>599</v>
      </c>
    </row>
    <row r="6657" spans="1:6">
      <c r="A6657" t="s">
        <v>6642</v>
      </c>
      <c r="B6657" t="str">
        <f t="shared" si="275"/>
        <v>0.00039%</v>
      </c>
      <c r="C6657" t="s">
        <v>10</v>
      </c>
      <c r="D6657" t="s">
        <v>10</v>
      </c>
      <c r="E6657" t="str">
        <f>"$ 3,013"</f>
        <v>$ 3,013</v>
      </c>
      <c r="F6657">
        <v>222</v>
      </c>
    </row>
    <row r="6658" spans="1:6">
      <c r="A6658" t="s">
        <v>6643</v>
      </c>
      <c r="B6658" t="str">
        <f t="shared" si="275"/>
        <v>0.00039%</v>
      </c>
      <c r="C6658" t="s">
        <v>10</v>
      </c>
      <c r="D6658" t="s">
        <v>10</v>
      </c>
      <c r="E6658" t="str">
        <f>"$ 3,016"</f>
        <v>$ 3,016</v>
      </c>
      <c r="F6658" s="1">
        <v>2281</v>
      </c>
    </row>
    <row r="6659" spans="1:6">
      <c r="A6659" t="s">
        <v>6644</v>
      </c>
      <c r="B6659" t="str">
        <f t="shared" si="275"/>
        <v>0.00039%</v>
      </c>
      <c r="C6659" t="s">
        <v>10</v>
      </c>
      <c r="D6659" t="s">
        <v>10</v>
      </c>
      <c r="E6659" t="str">
        <f>"$ 2,984"</f>
        <v>$ 2,984</v>
      </c>
      <c r="F6659" s="1">
        <v>6397</v>
      </c>
    </row>
    <row r="6660" spans="1:6">
      <c r="A6660" t="s">
        <v>6645</v>
      </c>
      <c r="B6660" t="str">
        <f t="shared" si="275"/>
        <v>0.00039%</v>
      </c>
      <c r="C6660" t="s">
        <v>10</v>
      </c>
      <c r="D6660" t="s">
        <v>10</v>
      </c>
      <c r="E6660" t="str">
        <f>"$ 3,007"</f>
        <v>$ 3,007</v>
      </c>
      <c r="F6660">
        <v>481</v>
      </c>
    </row>
    <row r="6661" spans="1:6">
      <c r="A6661" t="s">
        <v>3691</v>
      </c>
      <c r="B6661" t="str">
        <f t="shared" si="275"/>
        <v>0.00039%</v>
      </c>
      <c r="C6661" t="s">
        <v>10</v>
      </c>
      <c r="D6661" t="s">
        <v>10</v>
      </c>
      <c r="E6661" t="str">
        <f>"$ 2,981"</f>
        <v>$ 2,981</v>
      </c>
      <c r="F6661">
        <v>457</v>
      </c>
    </row>
    <row r="6662" spans="1:6">
      <c r="A6662" t="s">
        <v>6646</v>
      </c>
      <c r="B6662" t="str">
        <f t="shared" si="275"/>
        <v>0.00039%</v>
      </c>
      <c r="C6662" t="s">
        <v>10</v>
      </c>
      <c r="D6662" t="s">
        <v>10</v>
      </c>
      <c r="E6662" t="str">
        <f>"$ 2,979"</f>
        <v>$ 2,979</v>
      </c>
      <c r="F6662" s="1">
        <v>1026</v>
      </c>
    </row>
    <row r="6663" spans="1:6">
      <c r="A6663" t="s">
        <v>6647</v>
      </c>
      <c r="B6663" t="str">
        <f t="shared" si="275"/>
        <v>0.00039%</v>
      </c>
      <c r="C6663" t="s">
        <v>10</v>
      </c>
      <c r="D6663" t="s">
        <v>10</v>
      </c>
      <c r="E6663" t="str">
        <f>"$ 2,999"</f>
        <v>$ 2,999</v>
      </c>
      <c r="F6663">
        <v>373</v>
      </c>
    </row>
    <row r="6664" spans="1:6">
      <c r="A6664" t="s">
        <v>6648</v>
      </c>
      <c r="B6664" t="str">
        <f t="shared" si="275"/>
        <v>0.00039%</v>
      </c>
      <c r="C6664" t="s">
        <v>10</v>
      </c>
      <c r="D6664" t="s">
        <v>10</v>
      </c>
      <c r="E6664" t="str">
        <f>"$ 3,020"</f>
        <v>$ 3,020</v>
      </c>
      <c r="F6664">
        <v>99</v>
      </c>
    </row>
    <row r="6665" spans="1:6">
      <c r="A6665" t="s">
        <v>6649</v>
      </c>
      <c r="B6665" t="str">
        <f t="shared" si="275"/>
        <v>0.00039%</v>
      </c>
      <c r="C6665" t="s">
        <v>10</v>
      </c>
      <c r="D6665" t="s">
        <v>10</v>
      </c>
      <c r="E6665" t="str">
        <f>"$ 3,046"</f>
        <v>$ 3,046</v>
      </c>
      <c r="F6665">
        <v>148</v>
      </c>
    </row>
    <row r="6666" spans="1:6">
      <c r="A6666" t="s">
        <v>6118</v>
      </c>
      <c r="B6666" t="str">
        <f t="shared" si="275"/>
        <v>0.00039%</v>
      </c>
      <c r="C6666" t="s">
        <v>10</v>
      </c>
      <c r="D6666" t="s">
        <v>10</v>
      </c>
      <c r="E6666" t="str">
        <f>"$ 3,008"</f>
        <v>$ 3,008</v>
      </c>
      <c r="F6666">
        <v>214</v>
      </c>
    </row>
    <row r="6667" spans="1:6">
      <c r="A6667" t="s">
        <v>6650</v>
      </c>
      <c r="B6667" t="str">
        <f t="shared" si="275"/>
        <v>0.00039%</v>
      </c>
      <c r="C6667" t="s">
        <v>10</v>
      </c>
      <c r="D6667" t="s">
        <v>10</v>
      </c>
      <c r="E6667" t="str">
        <f>"$ 3,045"</f>
        <v>$ 3,045</v>
      </c>
      <c r="F6667">
        <v>125</v>
      </c>
    </row>
    <row r="6668" spans="1:6">
      <c r="A6668" t="s">
        <v>6651</v>
      </c>
      <c r="B6668" t="str">
        <f t="shared" si="275"/>
        <v>0.00039%</v>
      </c>
      <c r="C6668" t="s">
        <v>10</v>
      </c>
      <c r="D6668" t="s">
        <v>10</v>
      </c>
      <c r="E6668" t="str">
        <f>"$ 3,046"</f>
        <v>$ 3,046</v>
      </c>
      <c r="F6668">
        <v>53</v>
      </c>
    </row>
    <row r="6669" spans="1:6">
      <c r="A6669" t="s">
        <v>6652</v>
      </c>
      <c r="B6669" t="str">
        <f t="shared" si="275"/>
        <v>0.00039%</v>
      </c>
      <c r="C6669" t="s">
        <v>10</v>
      </c>
      <c r="D6669" t="s">
        <v>10</v>
      </c>
      <c r="E6669" t="str">
        <f>"$ 2,979"</f>
        <v>$ 2,979</v>
      </c>
      <c r="F6669">
        <v>82</v>
      </c>
    </row>
    <row r="6670" spans="1:6">
      <c r="A6670" t="s">
        <v>6653</v>
      </c>
      <c r="B6670" t="str">
        <f t="shared" si="275"/>
        <v>0.00039%</v>
      </c>
      <c r="C6670" t="s">
        <v>10</v>
      </c>
      <c r="D6670" t="s">
        <v>10</v>
      </c>
      <c r="E6670" t="str">
        <f>"$ 3,000"</f>
        <v>$ 3,000</v>
      </c>
      <c r="F6670">
        <v>132</v>
      </c>
    </row>
    <row r="6671" spans="1:6">
      <c r="A6671" t="s">
        <v>6654</v>
      </c>
      <c r="B6671" t="str">
        <f t="shared" si="275"/>
        <v>0.00039%</v>
      </c>
      <c r="C6671" t="s">
        <v>10</v>
      </c>
      <c r="D6671" t="s">
        <v>10</v>
      </c>
      <c r="E6671" t="str">
        <f>"$ 2,984"</f>
        <v>$ 2,984</v>
      </c>
      <c r="F6671">
        <v>25</v>
      </c>
    </row>
    <row r="6672" spans="1:6">
      <c r="A6672" t="s">
        <v>6655</v>
      </c>
      <c r="B6672" t="str">
        <f t="shared" si="275"/>
        <v>0.00039%</v>
      </c>
      <c r="C6672" t="s">
        <v>10</v>
      </c>
      <c r="D6672" t="s">
        <v>10</v>
      </c>
      <c r="E6672" t="str">
        <f>"$ 2,974"</f>
        <v>$ 2,974</v>
      </c>
      <c r="F6672">
        <v>864</v>
      </c>
    </row>
    <row r="6673" spans="1:6">
      <c r="A6673" t="s">
        <v>5487</v>
      </c>
      <c r="B6673" t="str">
        <f t="shared" si="275"/>
        <v>0.00039%</v>
      </c>
      <c r="C6673" t="s">
        <v>10</v>
      </c>
      <c r="D6673" t="s">
        <v>10</v>
      </c>
      <c r="E6673" t="str">
        <f>"$ 3,015"</f>
        <v>$ 3,015</v>
      </c>
      <c r="F6673">
        <v>488</v>
      </c>
    </row>
    <row r="6674" spans="1:6">
      <c r="A6674" t="s">
        <v>6656</v>
      </c>
      <c r="B6674" t="str">
        <f t="shared" si="275"/>
        <v>0.00039%</v>
      </c>
      <c r="C6674" t="s">
        <v>10</v>
      </c>
      <c r="D6674" t="s">
        <v>10</v>
      </c>
      <c r="E6674" t="str">
        <f>"$ 3,014"</f>
        <v>$ 3,014</v>
      </c>
      <c r="F6674">
        <v>287</v>
      </c>
    </row>
    <row r="6675" spans="1:6">
      <c r="A6675" t="s">
        <v>6657</v>
      </c>
      <c r="B6675" t="str">
        <f t="shared" si="275"/>
        <v>0.00039%</v>
      </c>
      <c r="C6675" t="s">
        <v>10</v>
      </c>
      <c r="D6675" t="s">
        <v>10</v>
      </c>
      <c r="E6675" t="str">
        <f>"$ 3,020"</f>
        <v>$ 3,020</v>
      </c>
      <c r="F6675" s="1">
        <v>1208</v>
      </c>
    </row>
    <row r="6676" spans="1:6">
      <c r="A6676" t="s">
        <v>6658</v>
      </c>
      <c r="B6676" t="str">
        <f t="shared" si="275"/>
        <v>0.00039%</v>
      </c>
      <c r="C6676" t="s">
        <v>10</v>
      </c>
      <c r="D6676" t="s">
        <v>10</v>
      </c>
      <c r="E6676" t="str">
        <f>"$ 3,050"</f>
        <v>$ 3,050</v>
      </c>
      <c r="F6676" s="1">
        <v>1145</v>
      </c>
    </row>
    <row r="6677" spans="1:6">
      <c r="A6677" t="s">
        <v>6658</v>
      </c>
      <c r="B6677" t="str">
        <f t="shared" si="275"/>
        <v>0.00039%</v>
      </c>
      <c r="C6677" t="s">
        <v>10</v>
      </c>
      <c r="D6677" t="s">
        <v>10</v>
      </c>
      <c r="E6677" t="str">
        <f>"$ 3,042"</f>
        <v>$ 3,042</v>
      </c>
      <c r="F6677" s="1">
        <v>1142</v>
      </c>
    </row>
    <row r="6678" spans="1:6">
      <c r="A6678" t="s">
        <v>6659</v>
      </c>
      <c r="B6678" t="str">
        <f t="shared" si="275"/>
        <v>0.00039%</v>
      </c>
      <c r="C6678" t="s">
        <v>10</v>
      </c>
      <c r="D6678" t="s">
        <v>10</v>
      </c>
      <c r="E6678" t="str">
        <f>"$ 2,977"</f>
        <v>$ 2,977</v>
      </c>
      <c r="F6678">
        <v>75</v>
      </c>
    </row>
    <row r="6679" spans="1:6">
      <c r="A6679" t="s">
        <v>6660</v>
      </c>
      <c r="B6679" t="str">
        <f t="shared" si="275"/>
        <v>0.00039%</v>
      </c>
      <c r="C6679" t="s">
        <v>10</v>
      </c>
      <c r="D6679" t="s">
        <v>10</v>
      </c>
      <c r="E6679" t="str">
        <f>"$ 3,002"</f>
        <v>$ 3,002</v>
      </c>
      <c r="F6679" s="1">
        <v>4182</v>
      </c>
    </row>
    <row r="6680" spans="1:6">
      <c r="A6680" t="s">
        <v>6661</v>
      </c>
      <c r="B6680" t="str">
        <f t="shared" si="275"/>
        <v>0.00039%</v>
      </c>
      <c r="C6680" t="s">
        <v>10</v>
      </c>
      <c r="D6680" t="s">
        <v>10</v>
      </c>
      <c r="E6680" t="str">
        <f>"$ 2,984"</f>
        <v>$ 2,984</v>
      </c>
      <c r="F6680" s="1">
        <v>1127</v>
      </c>
    </row>
    <row r="6681" spans="1:6">
      <c r="A6681" t="s">
        <v>6662</v>
      </c>
      <c r="B6681" t="str">
        <f t="shared" si="275"/>
        <v>0.00039%</v>
      </c>
      <c r="C6681" t="s">
        <v>10</v>
      </c>
      <c r="D6681" t="s">
        <v>10</v>
      </c>
      <c r="E6681" t="str">
        <f>"$ 2,997"</f>
        <v>$ 2,997</v>
      </c>
      <c r="F6681">
        <v>149</v>
      </c>
    </row>
    <row r="6682" spans="1:6">
      <c r="A6682" t="s">
        <v>6663</v>
      </c>
      <c r="B6682" t="str">
        <f t="shared" si="275"/>
        <v>0.00039%</v>
      </c>
      <c r="C6682" t="s">
        <v>10</v>
      </c>
      <c r="D6682" t="s">
        <v>10</v>
      </c>
      <c r="E6682" t="str">
        <f>"$ 3,021"</f>
        <v>$ 3,021</v>
      </c>
      <c r="F6682">
        <v>27</v>
      </c>
    </row>
    <row r="6683" spans="1:6">
      <c r="A6683" t="s">
        <v>6664</v>
      </c>
      <c r="B6683" t="str">
        <f t="shared" si="275"/>
        <v>0.00039%</v>
      </c>
      <c r="C6683" t="s">
        <v>10</v>
      </c>
      <c r="D6683" t="s">
        <v>10</v>
      </c>
      <c r="E6683" t="str">
        <f>"$ 2,982"</f>
        <v>$ 2,982</v>
      </c>
      <c r="F6683">
        <v>103</v>
      </c>
    </row>
    <row r="6684" spans="1:6">
      <c r="A6684" t="s">
        <v>6665</v>
      </c>
      <c r="B6684" t="str">
        <f t="shared" si="275"/>
        <v>0.00039%</v>
      </c>
      <c r="C6684" t="s">
        <v>10</v>
      </c>
      <c r="D6684" t="s">
        <v>10</v>
      </c>
      <c r="E6684" t="str">
        <f>"$ 3,002"</f>
        <v>$ 3,002</v>
      </c>
      <c r="F6684">
        <v>200</v>
      </c>
    </row>
    <row r="6685" spans="1:6">
      <c r="A6685" t="s">
        <v>6666</v>
      </c>
      <c r="B6685" t="str">
        <f t="shared" ref="B6685:B6708" si="276">"0.00039%"</f>
        <v>0.00039%</v>
      </c>
      <c r="C6685" t="s">
        <v>10</v>
      </c>
      <c r="D6685" t="s">
        <v>10</v>
      </c>
      <c r="E6685" t="str">
        <f>"$ 3,012"</f>
        <v>$ 3,012</v>
      </c>
      <c r="F6685">
        <v>28</v>
      </c>
    </row>
    <row r="6686" spans="1:6">
      <c r="A6686" t="s">
        <v>6667</v>
      </c>
      <c r="B6686" t="str">
        <f t="shared" si="276"/>
        <v>0.00039%</v>
      </c>
      <c r="C6686" t="s">
        <v>10</v>
      </c>
      <c r="D6686" t="s">
        <v>10</v>
      </c>
      <c r="E6686" t="str">
        <f>"$ 3,042"</f>
        <v>$ 3,042</v>
      </c>
      <c r="F6686" s="1">
        <v>1466</v>
      </c>
    </row>
    <row r="6687" spans="1:6">
      <c r="A6687" t="s">
        <v>6668</v>
      </c>
      <c r="B6687" t="str">
        <f t="shared" si="276"/>
        <v>0.00039%</v>
      </c>
      <c r="C6687" t="s">
        <v>10</v>
      </c>
      <c r="D6687" t="s">
        <v>10</v>
      </c>
      <c r="E6687" t="str">
        <f>"$ 2,982"</f>
        <v>$ 2,982</v>
      </c>
      <c r="F6687">
        <v>158</v>
      </c>
    </row>
    <row r="6688" spans="1:6">
      <c r="A6688" t="s">
        <v>6669</v>
      </c>
      <c r="B6688" t="str">
        <f t="shared" si="276"/>
        <v>0.00039%</v>
      </c>
      <c r="C6688" t="s">
        <v>10</v>
      </c>
      <c r="D6688" t="s">
        <v>10</v>
      </c>
      <c r="E6688" t="str">
        <f>"$ 3,045"</f>
        <v>$ 3,045</v>
      </c>
      <c r="F6688" s="1">
        <v>5080</v>
      </c>
    </row>
    <row r="6689" spans="1:6">
      <c r="A6689" t="s">
        <v>6670</v>
      </c>
      <c r="B6689" t="str">
        <f t="shared" si="276"/>
        <v>0.00039%</v>
      </c>
      <c r="C6689" t="s">
        <v>10</v>
      </c>
      <c r="D6689" t="s">
        <v>10</v>
      </c>
      <c r="E6689" t="str">
        <f>"$ 3,015"</f>
        <v>$ 3,015</v>
      </c>
      <c r="F6689">
        <v>231</v>
      </c>
    </row>
    <row r="6690" spans="1:6">
      <c r="A6690" t="s">
        <v>6671</v>
      </c>
      <c r="B6690" t="str">
        <f t="shared" si="276"/>
        <v>0.00039%</v>
      </c>
      <c r="C6690" t="s">
        <v>10</v>
      </c>
      <c r="D6690" t="s">
        <v>10</v>
      </c>
      <c r="E6690" t="str">
        <f>"$ 3,049"</f>
        <v>$ 3,049</v>
      </c>
      <c r="F6690">
        <v>535</v>
      </c>
    </row>
    <row r="6691" spans="1:6">
      <c r="A6691" t="s">
        <v>6672</v>
      </c>
      <c r="B6691" t="str">
        <f t="shared" si="276"/>
        <v>0.00039%</v>
      </c>
      <c r="C6691" t="s">
        <v>10</v>
      </c>
      <c r="D6691" t="s">
        <v>10</v>
      </c>
      <c r="E6691" t="str">
        <f>"$ 3,039"</f>
        <v>$ 3,039</v>
      </c>
      <c r="F6691">
        <v>931</v>
      </c>
    </row>
    <row r="6692" spans="1:6">
      <c r="A6692" t="s">
        <v>6673</v>
      </c>
      <c r="B6692" t="str">
        <f t="shared" si="276"/>
        <v>0.00039%</v>
      </c>
      <c r="C6692" t="s">
        <v>10</v>
      </c>
      <c r="D6692" t="s">
        <v>10</v>
      </c>
      <c r="E6692" t="str">
        <f>"$ 3,007"</f>
        <v>$ 3,007</v>
      </c>
      <c r="F6692">
        <v>143</v>
      </c>
    </row>
    <row r="6693" spans="1:6">
      <c r="A6693" t="s">
        <v>6674</v>
      </c>
      <c r="B6693" t="str">
        <f t="shared" si="276"/>
        <v>0.00039%</v>
      </c>
      <c r="C6693" t="s">
        <v>10</v>
      </c>
      <c r="D6693" t="s">
        <v>10</v>
      </c>
      <c r="E6693" t="str">
        <f>"$ 2,987"</f>
        <v>$ 2,987</v>
      </c>
      <c r="F6693">
        <v>99</v>
      </c>
    </row>
    <row r="6694" spans="1:6">
      <c r="A6694" t="s">
        <v>6675</v>
      </c>
      <c r="B6694" t="str">
        <f t="shared" si="276"/>
        <v>0.00039%</v>
      </c>
      <c r="C6694" t="s">
        <v>10</v>
      </c>
      <c r="D6694" t="s">
        <v>10</v>
      </c>
      <c r="E6694" t="str">
        <f>"$ 3,048"</f>
        <v>$ 3,048</v>
      </c>
      <c r="F6694">
        <v>49</v>
      </c>
    </row>
    <row r="6695" spans="1:6">
      <c r="A6695" t="s">
        <v>6676</v>
      </c>
      <c r="B6695" t="str">
        <f t="shared" si="276"/>
        <v>0.00039%</v>
      </c>
      <c r="C6695" t="s">
        <v>10</v>
      </c>
      <c r="D6695" t="s">
        <v>10</v>
      </c>
      <c r="E6695" t="str">
        <f>"$ 3,037"</f>
        <v>$ 3,037</v>
      </c>
      <c r="F6695" s="1">
        <v>2179</v>
      </c>
    </row>
    <row r="6696" spans="1:6">
      <c r="A6696" t="s">
        <v>6677</v>
      </c>
      <c r="B6696" t="str">
        <f t="shared" si="276"/>
        <v>0.00039%</v>
      </c>
      <c r="C6696" t="s">
        <v>10</v>
      </c>
      <c r="D6696" t="s">
        <v>10</v>
      </c>
      <c r="E6696" t="str">
        <f>"$ 3,046"</f>
        <v>$ 3,046</v>
      </c>
      <c r="F6696">
        <v>79</v>
      </c>
    </row>
    <row r="6697" spans="1:6">
      <c r="A6697" t="s">
        <v>6678</v>
      </c>
      <c r="B6697" t="str">
        <f t="shared" si="276"/>
        <v>0.00039%</v>
      </c>
      <c r="C6697" t="s">
        <v>10</v>
      </c>
      <c r="D6697" t="s">
        <v>10</v>
      </c>
      <c r="E6697" t="str">
        <f>"$ 2,993"</f>
        <v>$ 2,993</v>
      </c>
      <c r="F6697">
        <v>90</v>
      </c>
    </row>
    <row r="6698" spans="1:6">
      <c r="A6698" t="s">
        <v>6679</v>
      </c>
      <c r="B6698" t="str">
        <f t="shared" si="276"/>
        <v>0.00039%</v>
      </c>
      <c r="C6698" t="s">
        <v>10</v>
      </c>
      <c r="D6698" t="s">
        <v>10</v>
      </c>
      <c r="E6698" t="str">
        <f>"$ 3,038"</f>
        <v>$ 3,038</v>
      </c>
      <c r="F6698" s="1">
        <v>6310</v>
      </c>
    </row>
    <row r="6699" spans="1:6">
      <c r="A6699" t="s">
        <v>6680</v>
      </c>
      <c r="B6699" t="str">
        <f t="shared" si="276"/>
        <v>0.00039%</v>
      </c>
      <c r="C6699" t="s">
        <v>10</v>
      </c>
      <c r="D6699" t="s">
        <v>10</v>
      </c>
      <c r="E6699" t="str">
        <f>"$ 3,013"</f>
        <v>$ 3,013</v>
      </c>
      <c r="F6699" s="1">
        <v>24147</v>
      </c>
    </row>
    <row r="6700" spans="1:6">
      <c r="A6700" t="s">
        <v>6681</v>
      </c>
      <c r="B6700" t="str">
        <f t="shared" si="276"/>
        <v>0.00039%</v>
      </c>
      <c r="C6700" t="s">
        <v>10</v>
      </c>
      <c r="D6700" t="s">
        <v>10</v>
      </c>
      <c r="E6700" t="str">
        <f>"$ 2,975"</f>
        <v>$ 2,975</v>
      </c>
      <c r="F6700" s="1">
        <v>2235</v>
      </c>
    </row>
    <row r="6701" spans="1:6">
      <c r="A6701" t="s">
        <v>6682</v>
      </c>
      <c r="B6701" t="str">
        <f t="shared" si="276"/>
        <v>0.00039%</v>
      </c>
      <c r="C6701" t="s">
        <v>10</v>
      </c>
      <c r="D6701" t="s">
        <v>10</v>
      </c>
      <c r="E6701" t="str">
        <f>"$ 3,046"</f>
        <v>$ 3,046</v>
      </c>
      <c r="F6701">
        <v>323</v>
      </c>
    </row>
    <row r="6702" spans="1:6">
      <c r="A6702" t="s">
        <v>6683</v>
      </c>
      <c r="B6702" t="str">
        <f t="shared" si="276"/>
        <v>0.00039%</v>
      </c>
      <c r="C6702" t="s">
        <v>10</v>
      </c>
      <c r="D6702" t="s">
        <v>10</v>
      </c>
      <c r="E6702" t="str">
        <f>"$ 3,009"</f>
        <v>$ 3,009</v>
      </c>
      <c r="F6702">
        <v>286</v>
      </c>
    </row>
    <row r="6703" spans="1:6">
      <c r="A6703" t="s">
        <v>6684</v>
      </c>
      <c r="B6703" t="str">
        <f t="shared" si="276"/>
        <v>0.00039%</v>
      </c>
      <c r="C6703" t="s">
        <v>10</v>
      </c>
      <c r="D6703" t="s">
        <v>10</v>
      </c>
      <c r="E6703" t="str">
        <f>"$ 3,034"</f>
        <v>$ 3,034</v>
      </c>
      <c r="F6703" s="1">
        <v>1225</v>
      </c>
    </row>
    <row r="6704" spans="1:6">
      <c r="A6704" t="s">
        <v>6685</v>
      </c>
      <c r="B6704" t="str">
        <f t="shared" si="276"/>
        <v>0.00039%</v>
      </c>
      <c r="C6704" t="s">
        <v>10</v>
      </c>
      <c r="D6704" t="s">
        <v>10</v>
      </c>
      <c r="E6704" t="str">
        <f>"$ 3,009"</f>
        <v>$ 3,009</v>
      </c>
      <c r="F6704">
        <v>246</v>
      </c>
    </row>
    <row r="6705" spans="1:6">
      <c r="A6705" t="s">
        <v>6686</v>
      </c>
      <c r="B6705" t="str">
        <f t="shared" si="276"/>
        <v>0.00039%</v>
      </c>
      <c r="C6705" t="s">
        <v>10</v>
      </c>
      <c r="D6705" t="s">
        <v>10</v>
      </c>
      <c r="E6705" t="str">
        <f>"$ 3,004"</f>
        <v>$ 3,004</v>
      </c>
      <c r="F6705">
        <v>66</v>
      </c>
    </row>
    <row r="6706" spans="1:6">
      <c r="A6706" t="s">
        <v>6687</v>
      </c>
      <c r="B6706" t="str">
        <f t="shared" si="276"/>
        <v>0.00039%</v>
      </c>
      <c r="C6706" t="s">
        <v>10</v>
      </c>
      <c r="D6706" t="s">
        <v>10</v>
      </c>
      <c r="E6706" t="str">
        <f>"$ 3,003"</f>
        <v>$ 3,003</v>
      </c>
      <c r="F6706">
        <v>269</v>
      </c>
    </row>
    <row r="6707" spans="1:6">
      <c r="A6707" t="s">
        <v>6688</v>
      </c>
      <c r="B6707" t="str">
        <f t="shared" si="276"/>
        <v>0.00039%</v>
      </c>
      <c r="C6707" t="s">
        <v>10</v>
      </c>
      <c r="D6707" t="s">
        <v>10</v>
      </c>
      <c r="E6707" t="str">
        <f>"$ 3,024"</f>
        <v>$ 3,024</v>
      </c>
      <c r="F6707">
        <v>174</v>
      </c>
    </row>
    <row r="6708" spans="1:6">
      <c r="A6708" t="s">
        <v>6689</v>
      </c>
      <c r="B6708" t="str">
        <f t="shared" si="276"/>
        <v>0.00039%</v>
      </c>
      <c r="C6708" t="s">
        <v>10</v>
      </c>
      <c r="D6708" t="s">
        <v>10</v>
      </c>
      <c r="E6708" t="str">
        <f>"$ 3,026"</f>
        <v>$ 3,026</v>
      </c>
      <c r="F6708">
        <v>99</v>
      </c>
    </row>
    <row r="6709" spans="1:6">
      <c r="A6709" t="s">
        <v>6690</v>
      </c>
      <c r="B6709" t="str">
        <f t="shared" ref="B6709:B6735" si="277">"0.00038%"</f>
        <v>0.00038%</v>
      </c>
      <c r="C6709" t="s">
        <v>10</v>
      </c>
      <c r="D6709" t="s">
        <v>10</v>
      </c>
      <c r="E6709" t="str">
        <f>"$ 2,954"</f>
        <v>$ 2,954</v>
      </c>
      <c r="F6709" s="1">
        <v>5428</v>
      </c>
    </row>
    <row r="6710" spans="1:6">
      <c r="A6710" t="s">
        <v>6691</v>
      </c>
      <c r="B6710" t="str">
        <f t="shared" si="277"/>
        <v>0.00038%</v>
      </c>
      <c r="C6710" t="s">
        <v>10</v>
      </c>
      <c r="D6710" t="s">
        <v>10</v>
      </c>
      <c r="E6710" t="str">
        <f>"$ 2,908"</f>
        <v>$ 2,908</v>
      </c>
      <c r="F6710" s="1">
        <v>2603</v>
      </c>
    </row>
    <row r="6711" spans="1:6">
      <c r="A6711" t="s">
        <v>6692</v>
      </c>
      <c r="B6711" t="str">
        <f t="shared" si="277"/>
        <v>0.00038%</v>
      </c>
      <c r="C6711" t="s">
        <v>10</v>
      </c>
      <c r="D6711" t="s">
        <v>10</v>
      </c>
      <c r="E6711" t="str">
        <f>"$ 2,906"</f>
        <v>$ 2,906</v>
      </c>
      <c r="F6711" s="1">
        <v>6478</v>
      </c>
    </row>
    <row r="6712" spans="1:6">
      <c r="A6712" t="s">
        <v>6693</v>
      </c>
      <c r="B6712" t="str">
        <f t="shared" si="277"/>
        <v>0.00038%</v>
      </c>
      <c r="C6712" t="s">
        <v>10</v>
      </c>
      <c r="D6712" t="s">
        <v>10</v>
      </c>
      <c r="E6712" t="str">
        <f>"$ 2,961"</f>
        <v>$ 2,961</v>
      </c>
      <c r="F6712" s="1">
        <v>3269</v>
      </c>
    </row>
    <row r="6713" spans="1:6">
      <c r="A6713" t="s">
        <v>6694</v>
      </c>
      <c r="B6713" t="str">
        <f t="shared" si="277"/>
        <v>0.00038%</v>
      </c>
      <c r="C6713" t="s">
        <v>10</v>
      </c>
      <c r="D6713" t="s">
        <v>10</v>
      </c>
      <c r="E6713" t="str">
        <f>"$ 2,939"</f>
        <v>$ 2,939</v>
      </c>
      <c r="F6713" s="1">
        <v>2383</v>
      </c>
    </row>
    <row r="6714" spans="1:6">
      <c r="A6714" t="s">
        <v>6695</v>
      </c>
      <c r="B6714" t="str">
        <f t="shared" si="277"/>
        <v>0.00038%</v>
      </c>
      <c r="C6714" t="s">
        <v>10</v>
      </c>
      <c r="D6714" t="s">
        <v>10</v>
      </c>
      <c r="E6714" t="str">
        <f>"$ 2,913"</f>
        <v>$ 2,913</v>
      </c>
      <c r="F6714">
        <v>183</v>
      </c>
    </row>
    <row r="6715" spans="1:6">
      <c r="A6715" t="s">
        <v>6696</v>
      </c>
      <c r="B6715" t="str">
        <f t="shared" si="277"/>
        <v>0.00038%</v>
      </c>
      <c r="C6715" t="s">
        <v>10</v>
      </c>
      <c r="D6715" t="s">
        <v>10</v>
      </c>
      <c r="E6715" t="str">
        <f>"$ 2,959"</f>
        <v>$ 2,959</v>
      </c>
      <c r="F6715">
        <v>1</v>
      </c>
    </row>
    <row r="6716" spans="1:6">
      <c r="A6716" t="s">
        <v>6697</v>
      </c>
      <c r="B6716" t="str">
        <f t="shared" si="277"/>
        <v>0.00038%</v>
      </c>
      <c r="C6716" t="s">
        <v>10</v>
      </c>
      <c r="D6716" t="s">
        <v>10</v>
      </c>
      <c r="E6716" t="str">
        <f>"$ 2,943"</f>
        <v>$ 2,943</v>
      </c>
      <c r="F6716">
        <v>96</v>
      </c>
    </row>
    <row r="6717" spans="1:6">
      <c r="A6717" t="s">
        <v>6698</v>
      </c>
      <c r="B6717" t="str">
        <f t="shared" si="277"/>
        <v>0.00038%</v>
      </c>
      <c r="C6717" t="s">
        <v>10</v>
      </c>
      <c r="D6717" t="s">
        <v>10</v>
      </c>
      <c r="E6717" t="str">
        <f>"$ 2,933"</f>
        <v>$ 2,933</v>
      </c>
      <c r="F6717">
        <v>448</v>
      </c>
    </row>
    <row r="6718" spans="1:6">
      <c r="A6718" t="s">
        <v>6699</v>
      </c>
      <c r="B6718" t="str">
        <f t="shared" si="277"/>
        <v>0.00038%</v>
      </c>
      <c r="C6718" t="s">
        <v>10</v>
      </c>
      <c r="D6718" t="s">
        <v>10</v>
      </c>
      <c r="E6718" t="str">
        <f>"$ 2,896"</f>
        <v>$ 2,896</v>
      </c>
      <c r="F6718">
        <v>49</v>
      </c>
    </row>
    <row r="6719" spans="1:6">
      <c r="A6719" t="s">
        <v>6700</v>
      </c>
      <c r="B6719" t="str">
        <f t="shared" si="277"/>
        <v>0.00038%</v>
      </c>
      <c r="C6719" t="s">
        <v>10</v>
      </c>
      <c r="D6719" t="s">
        <v>10</v>
      </c>
      <c r="E6719" t="str">
        <f>"$ 2,940"</f>
        <v>$ 2,940</v>
      </c>
      <c r="F6719">
        <v>164</v>
      </c>
    </row>
    <row r="6720" spans="1:6">
      <c r="A6720" t="s">
        <v>6701</v>
      </c>
      <c r="B6720" t="str">
        <f t="shared" si="277"/>
        <v>0.00038%</v>
      </c>
      <c r="C6720" t="s">
        <v>10</v>
      </c>
      <c r="D6720" t="s">
        <v>10</v>
      </c>
      <c r="E6720" t="str">
        <f>"$ 2,960"</f>
        <v>$ 2,960</v>
      </c>
      <c r="F6720">
        <v>588</v>
      </c>
    </row>
    <row r="6721" spans="1:6">
      <c r="A6721" t="s">
        <v>6702</v>
      </c>
      <c r="B6721" t="str">
        <f t="shared" si="277"/>
        <v>0.00038%</v>
      </c>
      <c r="C6721" t="s">
        <v>10</v>
      </c>
      <c r="D6721" t="s">
        <v>10</v>
      </c>
      <c r="E6721" t="str">
        <f>"$ 2,915"</f>
        <v>$ 2,915</v>
      </c>
      <c r="F6721">
        <v>420</v>
      </c>
    </row>
    <row r="6722" spans="1:6">
      <c r="A6722" t="s">
        <v>6703</v>
      </c>
      <c r="B6722" t="str">
        <f t="shared" si="277"/>
        <v>0.00038%</v>
      </c>
      <c r="C6722" t="s">
        <v>10</v>
      </c>
      <c r="D6722" t="s">
        <v>10</v>
      </c>
      <c r="E6722" t="str">
        <f>"$ 2,911"</f>
        <v>$ 2,911</v>
      </c>
      <c r="F6722" s="1">
        <v>1095</v>
      </c>
    </row>
    <row r="6723" spans="1:6">
      <c r="A6723" t="s">
        <v>6704</v>
      </c>
      <c r="B6723" t="str">
        <f t="shared" si="277"/>
        <v>0.00038%</v>
      </c>
      <c r="C6723" t="s">
        <v>10</v>
      </c>
      <c r="D6723" t="s">
        <v>10</v>
      </c>
      <c r="E6723" t="str">
        <f>"$ 2,904"</f>
        <v>$ 2,904</v>
      </c>
      <c r="F6723">
        <v>156</v>
      </c>
    </row>
    <row r="6724" spans="1:6">
      <c r="A6724" t="s">
        <v>6705</v>
      </c>
      <c r="B6724" t="str">
        <f t="shared" si="277"/>
        <v>0.00038%</v>
      </c>
      <c r="C6724" t="s">
        <v>10</v>
      </c>
      <c r="D6724" t="s">
        <v>10</v>
      </c>
      <c r="E6724" t="str">
        <f>"$ 2,971"</f>
        <v>$ 2,971</v>
      </c>
      <c r="F6724">
        <v>26</v>
      </c>
    </row>
    <row r="6725" spans="1:6">
      <c r="A6725" t="s">
        <v>6706</v>
      </c>
      <c r="B6725" t="str">
        <f t="shared" si="277"/>
        <v>0.00038%</v>
      </c>
      <c r="C6725" t="s">
        <v>10</v>
      </c>
      <c r="D6725" t="s">
        <v>10</v>
      </c>
      <c r="E6725" t="str">
        <f>"$ 2,901"</f>
        <v>$ 2,901</v>
      </c>
      <c r="F6725">
        <v>115</v>
      </c>
    </row>
    <row r="6726" spans="1:6">
      <c r="A6726" t="s">
        <v>6707</v>
      </c>
      <c r="B6726" t="str">
        <f t="shared" si="277"/>
        <v>0.00038%</v>
      </c>
      <c r="C6726" t="s">
        <v>10</v>
      </c>
      <c r="D6726" t="s">
        <v>10</v>
      </c>
      <c r="E6726" t="str">
        <f>"$ 2,918"</f>
        <v>$ 2,918</v>
      </c>
      <c r="F6726" s="1">
        <v>1956</v>
      </c>
    </row>
    <row r="6727" spans="1:6">
      <c r="A6727" t="s">
        <v>6708</v>
      </c>
      <c r="B6727" t="str">
        <f t="shared" si="277"/>
        <v>0.00038%</v>
      </c>
      <c r="C6727" t="s">
        <v>10</v>
      </c>
      <c r="D6727" t="s">
        <v>10</v>
      </c>
      <c r="E6727" t="str">
        <f>"$ 2,928"</f>
        <v>$ 2,928</v>
      </c>
      <c r="F6727" s="1">
        <v>15327</v>
      </c>
    </row>
    <row r="6728" spans="1:6">
      <c r="A6728" t="s">
        <v>6709</v>
      </c>
      <c r="B6728" t="str">
        <f t="shared" si="277"/>
        <v>0.00038%</v>
      </c>
      <c r="C6728" t="s">
        <v>10</v>
      </c>
      <c r="D6728" t="s">
        <v>10</v>
      </c>
      <c r="E6728" t="str">
        <f>"$ 2,965"</f>
        <v>$ 2,965</v>
      </c>
      <c r="F6728" s="1">
        <v>1797</v>
      </c>
    </row>
    <row r="6729" spans="1:6">
      <c r="A6729" t="s">
        <v>6710</v>
      </c>
      <c r="B6729" t="str">
        <f t="shared" si="277"/>
        <v>0.00038%</v>
      </c>
      <c r="C6729" t="s">
        <v>10</v>
      </c>
      <c r="D6729" t="s">
        <v>10</v>
      </c>
      <c r="E6729" t="str">
        <f>"$ 2,918"</f>
        <v>$ 2,918</v>
      </c>
      <c r="F6729">
        <v>911</v>
      </c>
    </row>
    <row r="6730" spans="1:6">
      <c r="A6730" t="s">
        <v>6711</v>
      </c>
      <c r="B6730" t="str">
        <f t="shared" si="277"/>
        <v>0.00038%</v>
      </c>
      <c r="C6730" t="s">
        <v>10</v>
      </c>
      <c r="D6730" t="s">
        <v>10</v>
      </c>
      <c r="E6730" t="str">
        <f>"$ 2,910"</f>
        <v>$ 2,910</v>
      </c>
      <c r="F6730" s="1">
        <v>1760</v>
      </c>
    </row>
    <row r="6731" spans="1:6">
      <c r="A6731" t="s">
        <v>6712</v>
      </c>
      <c r="B6731" t="str">
        <f t="shared" si="277"/>
        <v>0.00038%</v>
      </c>
      <c r="C6731" t="s">
        <v>10</v>
      </c>
      <c r="D6731" t="s">
        <v>10</v>
      </c>
      <c r="E6731" t="str">
        <f>"$ 2,970"</f>
        <v>$ 2,970</v>
      </c>
      <c r="F6731">
        <v>383</v>
      </c>
    </row>
    <row r="6732" spans="1:6">
      <c r="A6732" t="s">
        <v>6713</v>
      </c>
      <c r="B6732" t="str">
        <f t="shared" si="277"/>
        <v>0.00038%</v>
      </c>
      <c r="C6732" t="s">
        <v>10</v>
      </c>
      <c r="D6732" t="s">
        <v>10</v>
      </c>
      <c r="E6732" t="str">
        <f>"$ 2,910"</f>
        <v>$ 2,910</v>
      </c>
      <c r="F6732">
        <v>141</v>
      </c>
    </row>
    <row r="6733" spans="1:6">
      <c r="A6733" t="s">
        <v>6714</v>
      </c>
      <c r="B6733" t="str">
        <f t="shared" si="277"/>
        <v>0.00038%</v>
      </c>
      <c r="C6733" t="s">
        <v>10</v>
      </c>
      <c r="D6733" t="s">
        <v>10</v>
      </c>
      <c r="E6733" t="str">
        <f>"$ 2,971"</f>
        <v>$ 2,971</v>
      </c>
      <c r="F6733">
        <v>148</v>
      </c>
    </row>
    <row r="6734" spans="1:6">
      <c r="A6734" t="s">
        <v>6715</v>
      </c>
      <c r="B6734" t="str">
        <f t="shared" si="277"/>
        <v>0.00038%</v>
      </c>
      <c r="C6734" t="s">
        <v>10</v>
      </c>
      <c r="D6734" t="s">
        <v>10</v>
      </c>
      <c r="E6734" t="str">
        <f>"$ 2,936"</f>
        <v>$ 2,936</v>
      </c>
      <c r="F6734">
        <v>187</v>
      </c>
    </row>
    <row r="6735" spans="1:6">
      <c r="A6735" t="s">
        <v>6716</v>
      </c>
      <c r="B6735" t="str">
        <f t="shared" si="277"/>
        <v>0.00038%</v>
      </c>
      <c r="C6735" t="s">
        <v>10</v>
      </c>
      <c r="D6735" t="s">
        <v>10</v>
      </c>
      <c r="E6735" t="str">
        <f>"$ 2,898"</f>
        <v>$ 2,898</v>
      </c>
      <c r="F6735">
        <v>168</v>
      </c>
    </row>
    <row r="6736" spans="1:6">
      <c r="A6736" t="s">
        <v>6717</v>
      </c>
      <c r="B6736" t="str">
        <f t="shared" ref="B6736:B6779" si="278">"0.00037%"</f>
        <v>0.00037%</v>
      </c>
      <c r="C6736" t="s">
        <v>10</v>
      </c>
      <c r="D6736" t="s">
        <v>10</v>
      </c>
      <c r="E6736" t="str">
        <f>"$ 2,854"</f>
        <v>$ 2,854</v>
      </c>
      <c r="F6736">
        <v>609</v>
      </c>
    </row>
    <row r="6737" spans="1:6">
      <c r="A6737" t="s">
        <v>6718</v>
      </c>
      <c r="B6737" t="str">
        <f t="shared" si="278"/>
        <v>0.00037%</v>
      </c>
      <c r="C6737" t="s">
        <v>10</v>
      </c>
      <c r="D6737" t="s">
        <v>10</v>
      </c>
      <c r="E6737" t="str">
        <f>"$ 2,876"</f>
        <v>$ 2,876</v>
      </c>
      <c r="F6737" s="1">
        <v>5230</v>
      </c>
    </row>
    <row r="6738" spans="1:6">
      <c r="A6738" t="s">
        <v>6719</v>
      </c>
      <c r="B6738" t="str">
        <f t="shared" si="278"/>
        <v>0.00037%</v>
      </c>
      <c r="C6738" t="s">
        <v>10</v>
      </c>
      <c r="D6738" t="s">
        <v>10</v>
      </c>
      <c r="E6738" t="str">
        <f>"$ 2,878"</f>
        <v>$ 2,878</v>
      </c>
      <c r="F6738">
        <v>217</v>
      </c>
    </row>
    <row r="6739" spans="1:6">
      <c r="A6739" t="s">
        <v>6720</v>
      </c>
      <c r="B6739" t="str">
        <f t="shared" si="278"/>
        <v>0.00037%</v>
      </c>
      <c r="C6739" t="s">
        <v>10</v>
      </c>
      <c r="D6739" t="s">
        <v>10</v>
      </c>
      <c r="E6739" t="str">
        <f>"$ 2,894"</f>
        <v>$ 2,894</v>
      </c>
      <c r="F6739" s="1">
        <v>4103</v>
      </c>
    </row>
    <row r="6740" spans="1:6">
      <c r="A6740" t="s">
        <v>6721</v>
      </c>
      <c r="B6740" t="str">
        <f t="shared" si="278"/>
        <v>0.00037%</v>
      </c>
      <c r="C6740" t="s">
        <v>10</v>
      </c>
      <c r="D6740" t="s">
        <v>10</v>
      </c>
      <c r="E6740" t="str">
        <f>"$ 2,832"</f>
        <v>$ 2,832</v>
      </c>
      <c r="F6740" s="1">
        <v>1518</v>
      </c>
    </row>
    <row r="6741" spans="1:6">
      <c r="A6741" t="s">
        <v>6722</v>
      </c>
      <c r="B6741" t="str">
        <f t="shared" si="278"/>
        <v>0.00037%</v>
      </c>
      <c r="C6741" t="s">
        <v>10</v>
      </c>
      <c r="D6741" t="s">
        <v>10</v>
      </c>
      <c r="E6741" t="str">
        <f>"$ 2,861"</f>
        <v>$ 2,861</v>
      </c>
      <c r="F6741">
        <v>726</v>
      </c>
    </row>
    <row r="6742" spans="1:6">
      <c r="A6742" t="s">
        <v>6723</v>
      </c>
      <c r="B6742" t="str">
        <f t="shared" si="278"/>
        <v>0.00037%</v>
      </c>
      <c r="C6742" t="s">
        <v>10</v>
      </c>
      <c r="D6742" t="s">
        <v>10</v>
      </c>
      <c r="E6742" t="str">
        <f>"$ 2,880"</f>
        <v>$ 2,880</v>
      </c>
      <c r="F6742" s="1">
        <v>3811</v>
      </c>
    </row>
    <row r="6743" spans="1:6">
      <c r="A6743" t="s">
        <v>6724</v>
      </c>
      <c r="B6743" t="str">
        <f t="shared" si="278"/>
        <v>0.00037%</v>
      </c>
      <c r="C6743" t="s">
        <v>10</v>
      </c>
      <c r="D6743" t="s">
        <v>10</v>
      </c>
      <c r="E6743" t="str">
        <f>"$ 2,870"</f>
        <v>$ 2,870</v>
      </c>
      <c r="F6743" s="1">
        <v>3488</v>
      </c>
    </row>
    <row r="6744" spans="1:6">
      <c r="A6744" t="s">
        <v>6725</v>
      </c>
      <c r="B6744" t="str">
        <f t="shared" si="278"/>
        <v>0.00037%</v>
      </c>
      <c r="C6744" t="s">
        <v>10</v>
      </c>
      <c r="D6744" t="s">
        <v>10</v>
      </c>
      <c r="E6744" t="str">
        <f>"$ 2,875"</f>
        <v>$ 2,875</v>
      </c>
      <c r="F6744">
        <v>132</v>
      </c>
    </row>
    <row r="6745" spans="1:6">
      <c r="A6745" t="s">
        <v>6726</v>
      </c>
      <c r="B6745" t="str">
        <f t="shared" si="278"/>
        <v>0.00037%</v>
      </c>
      <c r="C6745" t="s">
        <v>10</v>
      </c>
      <c r="D6745" t="s">
        <v>10</v>
      </c>
      <c r="E6745" t="str">
        <f>"$ 2,820"</f>
        <v>$ 2,820</v>
      </c>
      <c r="F6745" s="1">
        <v>1716</v>
      </c>
    </row>
    <row r="6746" spans="1:6">
      <c r="A6746" t="s">
        <v>6727</v>
      </c>
      <c r="B6746" t="str">
        <f t="shared" si="278"/>
        <v>0.00037%</v>
      </c>
      <c r="C6746" t="s">
        <v>10</v>
      </c>
      <c r="D6746" t="s">
        <v>10</v>
      </c>
      <c r="E6746" t="str">
        <f>"$ 2,839"</f>
        <v>$ 2,839</v>
      </c>
      <c r="F6746">
        <v>223</v>
      </c>
    </row>
    <row r="6747" spans="1:6">
      <c r="A6747" t="s">
        <v>6728</v>
      </c>
      <c r="B6747" t="str">
        <f t="shared" si="278"/>
        <v>0.00037%</v>
      </c>
      <c r="C6747" t="s">
        <v>10</v>
      </c>
      <c r="D6747" t="s">
        <v>10</v>
      </c>
      <c r="E6747" t="str">
        <f>"$ 2,872"</f>
        <v>$ 2,872</v>
      </c>
      <c r="F6747">
        <v>156</v>
      </c>
    </row>
    <row r="6748" spans="1:6">
      <c r="A6748" t="s">
        <v>6729</v>
      </c>
      <c r="B6748" t="str">
        <f t="shared" si="278"/>
        <v>0.00037%</v>
      </c>
      <c r="C6748" t="s">
        <v>10</v>
      </c>
      <c r="D6748" t="s">
        <v>10</v>
      </c>
      <c r="E6748" t="str">
        <f>"$ 2,878"</f>
        <v>$ 2,878</v>
      </c>
      <c r="F6748" s="1">
        <v>7776</v>
      </c>
    </row>
    <row r="6749" spans="1:6">
      <c r="A6749" t="s">
        <v>6730</v>
      </c>
      <c r="B6749" t="str">
        <f t="shared" si="278"/>
        <v>0.00037%</v>
      </c>
      <c r="C6749" t="s">
        <v>10</v>
      </c>
      <c r="D6749" t="s">
        <v>10</v>
      </c>
      <c r="E6749" t="str">
        <f>"$ 2,871"</f>
        <v>$ 2,871</v>
      </c>
      <c r="F6749" s="1">
        <v>3925</v>
      </c>
    </row>
    <row r="6750" spans="1:6">
      <c r="A6750" t="s">
        <v>6731</v>
      </c>
      <c r="B6750" t="str">
        <f t="shared" si="278"/>
        <v>0.00037%</v>
      </c>
      <c r="C6750" t="s">
        <v>10</v>
      </c>
      <c r="D6750" t="s">
        <v>10</v>
      </c>
      <c r="E6750" t="str">
        <f>"$ 2,858"</f>
        <v>$ 2,858</v>
      </c>
      <c r="F6750">
        <v>282</v>
      </c>
    </row>
    <row r="6751" spans="1:6">
      <c r="A6751" t="s">
        <v>6732</v>
      </c>
      <c r="B6751" t="str">
        <f t="shared" si="278"/>
        <v>0.00037%</v>
      </c>
      <c r="C6751" t="s">
        <v>10</v>
      </c>
      <c r="D6751" t="s">
        <v>10</v>
      </c>
      <c r="E6751" t="str">
        <f>"$ 2,887"</f>
        <v>$ 2,887</v>
      </c>
      <c r="F6751">
        <v>197</v>
      </c>
    </row>
    <row r="6752" spans="1:6">
      <c r="A6752" t="s">
        <v>6655</v>
      </c>
      <c r="B6752" t="str">
        <f t="shared" si="278"/>
        <v>0.00037%</v>
      </c>
      <c r="C6752" t="s">
        <v>10</v>
      </c>
      <c r="D6752" t="s">
        <v>10</v>
      </c>
      <c r="E6752" t="str">
        <f>"$ 2,874"</f>
        <v>$ 2,874</v>
      </c>
      <c r="F6752">
        <v>835</v>
      </c>
    </row>
    <row r="6753" spans="1:6">
      <c r="A6753" t="s">
        <v>6733</v>
      </c>
      <c r="B6753" t="str">
        <f t="shared" si="278"/>
        <v>0.00037%</v>
      </c>
      <c r="C6753" t="s">
        <v>10</v>
      </c>
      <c r="D6753" t="s">
        <v>10</v>
      </c>
      <c r="E6753" t="str">
        <f>"$ 2,860"</f>
        <v>$ 2,860</v>
      </c>
      <c r="F6753">
        <v>161</v>
      </c>
    </row>
    <row r="6754" spans="1:6">
      <c r="A6754" t="s">
        <v>6734</v>
      </c>
      <c r="B6754" t="str">
        <f t="shared" si="278"/>
        <v>0.00037%</v>
      </c>
      <c r="C6754" t="s">
        <v>10</v>
      </c>
      <c r="D6754" t="s">
        <v>10</v>
      </c>
      <c r="E6754" t="str">
        <f>"$ 2,890"</f>
        <v>$ 2,890</v>
      </c>
      <c r="F6754">
        <v>50</v>
      </c>
    </row>
    <row r="6755" spans="1:6">
      <c r="A6755" t="s">
        <v>6735</v>
      </c>
      <c r="B6755" t="str">
        <f t="shared" si="278"/>
        <v>0.00037%</v>
      </c>
      <c r="C6755" t="s">
        <v>10</v>
      </c>
      <c r="D6755" t="s">
        <v>10</v>
      </c>
      <c r="E6755" t="str">
        <f>"$ 2,867"</f>
        <v>$ 2,867</v>
      </c>
      <c r="F6755">
        <v>94</v>
      </c>
    </row>
    <row r="6756" spans="1:6">
      <c r="A6756" t="s">
        <v>6736</v>
      </c>
      <c r="B6756" t="str">
        <f t="shared" si="278"/>
        <v>0.00037%</v>
      </c>
      <c r="C6756" t="s">
        <v>10</v>
      </c>
      <c r="D6756" t="s">
        <v>10</v>
      </c>
      <c r="E6756" t="str">
        <f>"$ 2,869"</f>
        <v>$ 2,869</v>
      </c>
      <c r="F6756">
        <v>85</v>
      </c>
    </row>
    <row r="6757" spans="1:6">
      <c r="A6757" t="s">
        <v>6737</v>
      </c>
      <c r="B6757" t="str">
        <f t="shared" si="278"/>
        <v>0.00037%</v>
      </c>
      <c r="C6757" t="s">
        <v>10</v>
      </c>
      <c r="D6757" t="s">
        <v>10</v>
      </c>
      <c r="E6757" t="str">
        <f>"$ 2,829"</f>
        <v>$ 2,829</v>
      </c>
      <c r="F6757">
        <v>437</v>
      </c>
    </row>
    <row r="6758" spans="1:6">
      <c r="A6758" t="s">
        <v>6738</v>
      </c>
      <c r="B6758" t="str">
        <f t="shared" si="278"/>
        <v>0.00037%</v>
      </c>
      <c r="C6758" t="s">
        <v>10</v>
      </c>
      <c r="D6758" t="s">
        <v>10</v>
      </c>
      <c r="E6758" t="str">
        <f>"$ 2,879"</f>
        <v>$ 2,879</v>
      </c>
      <c r="F6758" s="1">
        <v>2055</v>
      </c>
    </row>
    <row r="6759" spans="1:6">
      <c r="A6759" t="s">
        <v>6739</v>
      </c>
      <c r="B6759" t="str">
        <f t="shared" si="278"/>
        <v>0.00037%</v>
      </c>
      <c r="C6759" t="s">
        <v>10</v>
      </c>
      <c r="D6759" t="s">
        <v>10</v>
      </c>
      <c r="E6759" t="str">
        <f>"$ 2,845"</f>
        <v>$ 2,845</v>
      </c>
      <c r="F6759">
        <v>115</v>
      </c>
    </row>
    <row r="6760" spans="1:6">
      <c r="A6760" t="s">
        <v>6740</v>
      </c>
      <c r="B6760" t="str">
        <f t="shared" si="278"/>
        <v>0.00037%</v>
      </c>
      <c r="C6760" t="s">
        <v>10</v>
      </c>
      <c r="D6760" t="s">
        <v>10</v>
      </c>
      <c r="E6760" t="str">
        <f>"$ 2,819"</f>
        <v>$ 2,819</v>
      </c>
      <c r="F6760">
        <v>738</v>
      </c>
    </row>
    <row r="6761" spans="1:6">
      <c r="A6761" t="s">
        <v>6741</v>
      </c>
      <c r="B6761" t="str">
        <f t="shared" si="278"/>
        <v>0.00037%</v>
      </c>
      <c r="C6761" t="s">
        <v>10</v>
      </c>
      <c r="D6761" t="s">
        <v>10</v>
      </c>
      <c r="E6761" t="str">
        <f>"$ 2,867"</f>
        <v>$ 2,867</v>
      </c>
      <c r="F6761" s="1">
        <v>2992</v>
      </c>
    </row>
    <row r="6762" spans="1:6">
      <c r="A6762" t="s">
        <v>6742</v>
      </c>
      <c r="B6762" t="str">
        <f t="shared" si="278"/>
        <v>0.00037%</v>
      </c>
      <c r="C6762" t="s">
        <v>10</v>
      </c>
      <c r="D6762" t="s">
        <v>10</v>
      </c>
      <c r="E6762" t="str">
        <f>"$ 2,869"</f>
        <v>$ 2,869</v>
      </c>
      <c r="F6762">
        <v>66</v>
      </c>
    </row>
    <row r="6763" spans="1:6">
      <c r="A6763" t="s">
        <v>6743</v>
      </c>
      <c r="B6763" t="str">
        <f t="shared" si="278"/>
        <v>0.00037%</v>
      </c>
      <c r="C6763" t="s">
        <v>10</v>
      </c>
      <c r="D6763" t="s">
        <v>10</v>
      </c>
      <c r="E6763" t="str">
        <f>"$ 2,872"</f>
        <v>$ 2,872</v>
      </c>
      <c r="F6763">
        <v>97</v>
      </c>
    </row>
    <row r="6764" spans="1:6">
      <c r="A6764" t="s">
        <v>6744</v>
      </c>
      <c r="B6764" t="str">
        <f t="shared" si="278"/>
        <v>0.00037%</v>
      </c>
      <c r="C6764" t="s">
        <v>10</v>
      </c>
      <c r="D6764" t="s">
        <v>10</v>
      </c>
      <c r="E6764" t="str">
        <f>"$ 2,836"</f>
        <v>$ 2,836</v>
      </c>
      <c r="F6764">
        <v>111</v>
      </c>
    </row>
    <row r="6765" spans="1:6">
      <c r="A6765" t="s">
        <v>6745</v>
      </c>
      <c r="B6765" t="str">
        <f t="shared" si="278"/>
        <v>0.00037%</v>
      </c>
      <c r="C6765" t="s">
        <v>10</v>
      </c>
      <c r="D6765" t="s">
        <v>10</v>
      </c>
      <c r="E6765" t="str">
        <f>"$ 2,837"</f>
        <v>$ 2,837</v>
      </c>
      <c r="F6765">
        <v>81</v>
      </c>
    </row>
    <row r="6766" spans="1:6">
      <c r="A6766" t="s">
        <v>6746</v>
      </c>
      <c r="B6766" t="str">
        <f t="shared" si="278"/>
        <v>0.00037%</v>
      </c>
      <c r="C6766" t="s">
        <v>10</v>
      </c>
      <c r="D6766" t="s">
        <v>10</v>
      </c>
      <c r="E6766" t="str">
        <f>"$ 2,889"</f>
        <v>$ 2,889</v>
      </c>
      <c r="F6766">
        <v>13</v>
      </c>
    </row>
    <row r="6767" spans="1:6">
      <c r="A6767" t="s">
        <v>6747</v>
      </c>
      <c r="B6767" t="str">
        <f t="shared" si="278"/>
        <v>0.00037%</v>
      </c>
      <c r="C6767" t="s">
        <v>10</v>
      </c>
      <c r="D6767" t="s">
        <v>10</v>
      </c>
      <c r="E6767" t="str">
        <f>"$ 2,894"</f>
        <v>$ 2,894</v>
      </c>
      <c r="F6767">
        <v>35</v>
      </c>
    </row>
    <row r="6768" spans="1:6">
      <c r="A6768" t="s">
        <v>6748</v>
      </c>
      <c r="B6768" t="str">
        <f t="shared" si="278"/>
        <v>0.00037%</v>
      </c>
      <c r="C6768" t="s">
        <v>10</v>
      </c>
      <c r="D6768" t="s">
        <v>10</v>
      </c>
      <c r="E6768" t="str">
        <f>"$ 2,860"</f>
        <v>$ 2,860</v>
      </c>
      <c r="F6768" s="1">
        <v>1460</v>
      </c>
    </row>
    <row r="6769" spans="1:6">
      <c r="A6769" t="s">
        <v>6749</v>
      </c>
      <c r="B6769" t="str">
        <f t="shared" si="278"/>
        <v>0.00037%</v>
      </c>
      <c r="C6769" t="s">
        <v>10</v>
      </c>
      <c r="D6769" t="s">
        <v>10</v>
      </c>
      <c r="E6769" t="str">
        <f>"$ 2,860"</f>
        <v>$ 2,860</v>
      </c>
      <c r="F6769">
        <v>317</v>
      </c>
    </row>
    <row r="6770" spans="1:6">
      <c r="A6770" t="s">
        <v>6750</v>
      </c>
      <c r="B6770" t="str">
        <f t="shared" si="278"/>
        <v>0.00037%</v>
      </c>
      <c r="C6770" t="s">
        <v>10</v>
      </c>
      <c r="D6770" t="s">
        <v>10</v>
      </c>
      <c r="E6770" t="str">
        <f>"$ 2,833"</f>
        <v>$ 2,833</v>
      </c>
      <c r="F6770" s="1">
        <v>1899</v>
      </c>
    </row>
    <row r="6771" spans="1:6">
      <c r="A6771" t="s">
        <v>6751</v>
      </c>
      <c r="B6771" t="str">
        <f t="shared" si="278"/>
        <v>0.00037%</v>
      </c>
      <c r="C6771" t="s">
        <v>10</v>
      </c>
      <c r="D6771" t="s">
        <v>10</v>
      </c>
      <c r="E6771" t="str">
        <f>"$ 2,842"</f>
        <v>$ 2,842</v>
      </c>
      <c r="F6771">
        <v>805</v>
      </c>
    </row>
    <row r="6772" spans="1:6">
      <c r="A6772" t="s">
        <v>6752</v>
      </c>
      <c r="B6772" t="str">
        <f t="shared" si="278"/>
        <v>0.00037%</v>
      </c>
      <c r="C6772" t="s">
        <v>10</v>
      </c>
      <c r="D6772" t="s">
        <v>10</v>
      </c>
      <c r="E6772" t="str">
        <f>"$ 2,824"</f>
        <v>$ 2,824</v>
      </c>
      <c r="F6772">
        <v>49</v>
      </c>
    </row>
    <row r="6773" spans="1:6">
      <c r="A6773" t="s">
        <v>6753</v>
      </c>
      <c r="B6773" t="str">
        <f t="shared" si="278"/>
        <v>0.00037%</v>
      </c>
      <c r="C6773" t="s">
        <v>10</v>
      </c>
      <c r="D6773" t="s">
        <v>10</v>
      </c>
      <c r="E6773" t="str">
        <f>"$ 2,889"</f>
        <v>$ 2,889</v>
      </c>
      <c r="F6773">
        <v>19</v>
      </c>
    </row>
    <row r="6774" spans="1:6">
      <c r="A6774" t="s">
        <v>6754</v>
      </c>
      <c r="B6774" t="str">
        <f t="shared" si="278"/>
        <v>0.00037%</v>
      </c>
      <c r="C6774" t="s">
        <v>10</v>
      </c>
      <c r="D6774" t="s">
        <v>10</v>
      </c>
      <c r="E6774" t="str">
        <f>"$ 2,851"</f>
        <v>$ 2,851</v>
      </c>
      <c r="F6774">
        <v>580</v>
      </c>
    </row>
    <row r="6775" spans="1:6">
      <c r="A6775" t="s">
        <v>6755</v>
      </c>
      <c r="B6775" t="str">
        <f t="shared" si="278"/>
        <v>0.00037%</v>
      </c>
      <c r="C6775" t="s">
        <v>10</v>
      </c>
      <c r="D6775" t="s">
        <v>10</v>
      </c>
      <c r="E6775" t="str">
        <f>"$ 2,877"</f>
        <v>$ 2,877</v>
      </c>
      <c r="F6775">
        <v>379</v>
      </c>
    </row>
    <row r="6776" spans="1:6">
      <c r="A6776" t="s">
        <v>6756</v>
      </c>
      <c r="B6776" t="str">
        <f t="shared" si="278"/>
        <v>0.00037%</v>
      </c>
      <c r="C6776" t="s">
        <v>10</v>
      </c>
      <c r="D6776" t="s">
        <v>10</v>
      </c>
      <c r="E6776" t="str">
        <f>"$ 2,851"</f>
        <v>$ 2,851</v>
      </c>
      <c r="F6776">
        <v>99</v>
      </c>
    </row>
    <row r="6777" spans="1:6">
      <c r="A6777" t="s">
        <v>6757</v>
      </c>
      <c r="B6777" t="str">
        <f t="shared" si="278"/>
        <v>0.00037%</v>
      </c>
      <c r="C6777" t="s">
        <v>10</v>
      </c>
      <c r="D6777" t="s">
        <v>10</v>
      </c>
      <c r="E6777" t="str">
        <f>"$ 2,874"</f>
        <v>$ 2,874</v>
      </c>
      <c r="F6777" s="1">
        <v>1420</v>
      </c>
    </row>
    <row r="6778" spans="1:6">
      <c r="A6778" t="s">
        <v>6758</v>
      </c>
      <c r="B6778" t="str">
        <f t="shared" si="278"/>
        <v>0.00037%</v>
      </c>
      <c r="C6778" t="s">
        <v>10</v>
      </c>
      <c r="D6778" t="s">
        <v>10</v>
      </c>
      <c r="E6778" t="str">
        <f>"$ 2,851"</f>
        <v>$ 2,851</v>
      </c>
      <c r="F6778">
        <v>613</v>
      </c>
    </row>
    <row r="6779" spans="1:6">
      <c r="A6779" t="s">
        <v>6759</v>
      </c>
      <c r="B6779" t="str">
        <f t="shared" si="278"/>
        <v>0.00037%</v>
      </c>
      <c r="C6779" t="s">
        <v>10</v>
      </c>
      <c r="D6779" t="s">
        <v>10</v>
      </c>
      <c r="E6779" t="str">
        <f>"$ 2,836"</f>
        <v>$ 2,836</v>
      </c>
      <c r="F6779" s="1">
        <v>1058</v>
      </c>
    </row>
    <row r="6780" spans="1:6">
      <c r="A6780" t="s">
        <v>6760</v>
      </c>
      <c r="B6780" t="str">
        <f t="shared" ref="B6780:B6822" si="279">"0.00036%"</f>
        <v>0.00036%</v>
      </c>
      <c r="C6780" t="s">
        <v>10</v>
      </c>
      <c r="D6780" t="s">
        <v>10</v>
      </c>
      <c r="E6780" t="str">
        <f>"$ 2,754"</f>
        <v>$ 2,754</v>
      </c>
      <c r="F6780">
        <v>715</v>
      </c>
    </row>
    <row r="6781" spans="1:6">
      <c r="A6781" t="s">
        <v>6761</v>
      </c>
      <c r="B6781" t="str">
        <f t="shared" si="279"/>
        <v>0.00036%</v>
      </c>
      <c r="C6781" t="s">
        <v>10</v>
      </c>
      <c r="D6781" t="s">
        <v>10</v>
      </c>
      <c r="E6781" t="str">
        <f>"$ 2,755"</f>
        <v>$ 2,755</v>
      </c>
      <c r="F6781" s="1">
        <v>2863</v>
      </c>
    </row>
    <row r="6782" spans="1:6">
      <c r="A6782" t="s">
        <v>6762</v>
      </c>
      <c r="B6782" t="str">
        <f t="shared" si="279"/>
        <v>0.00036%</v>
      </c>
      <c r="C6782" t="s">
        <v>10</v>
      </c>
      <c r="D6782" t="s">
        <v>10</v>
      </c>
      <c r="E6782" t="str">
        <f>"$ 2,765"</f>
        <v>$ 2,765</v>
      </c>
      <c r="F6782">
        <v>88</v>
      </c>
    </row>
    <row r="6783" spans="1:6">
      <c r="A6783" t="s">
        <v>6763</v>
      </c>
      <c r="B6783" t="str">
        <f t="shared" si="279"/>
        <v>0.00036%</v>
      </c>
      <c r="C6783" t="s">
        <v>10</v>
      </c>
      <c r="D6783" t="s">
        <v>10</v>
      </c>
      <c r="E6783" t="str">
        <f>"$ 2,783"</f>
        <v>$ 2,783</v>
      </c>
      <c r="F6783" s="1">
        <v>3352</v>
      </c>
    </row>
    <row r="6784" spans="1:6">
      <c r="A6784" t="s">
        <v>6764</v>
      </c>
      <c r="B6784" t="str">
        <f t="shared" si="279"/>
        <v>0.00036%</v>
      </c>
      <c r="C6784" t="s">
        <v>10</v>
      </c>
      <c r="D6784" t="s">
        <v>10</v>
      </c>
      <c r="E6784" t="str">
        <f>"$ 2,813"</f>
        <v>$ 2,813</v>
      </c>
      <c r="F6784" s="1">
        <v>1567</v>
      </c>
    </row>
    <row r="6785" spans="1:6">
      <c r="A6785" t="s">
        <v>6765</v>
      </c>
      <c r="B6785" t="str">
        <f t="shared" si="279"/>
        <v>0.00036%</v>
      </c>
      <c r="C6785" t="s">
        <v>10</v>
      </c>
      <c r="D6785" t="s">
        <v>10</v>
      </c>
      <c r="E6785" t="str">
        <f>"$ 2,768"</f>
        <v>$ 2,768</v>
      </c>
      <c r="F6785" s="1">
        <v>1079</v>
      </c>
    </row>
    <row r="6786" spans="1:6">
      <c r="A6786" t="s">
        <v>6766</v>
      </c>
      <c r="B6786" t="str">
        <f t="shared" si="279"/>
        <v>0.00036%</v>
      </c>
      <c r="C6786" t="s">
        <v>10</v>
      </c>
      <c r="D6786" t="s">
        <v>10</v>
      </c>
      <c r="E6786" t="str">
        <f>"$ 2,764"</f>
        <v>$ 2,764</v>
      </c>
      <c r="F6786">
        <v>99</v>
      </c>
    </row>
    <row r="6787" spans="1:6">
      <c r="A6787" t="s">
        <v>6767</v>
      </c>
      <c r="B6787" t="str">
        <f t="shared" si="279"/>
        <v>0.00036%</v>
      </c>
      <c r="C6787" t="s">
        <v>10</v>
      </c>
      <c r="D6787" t="s">
        <v>10</v>
      </c>
      <c r="E6787" t="str">
        <f>"$ 2,759"</f>
        <v>$ 2,759</v>
      </c>
      <c r="F6787" s="1">
        <v>1577</v>
      </c>
    </row>
    <row r="6788" spans="1:6">
      <c r="A6788" t="s">
        <v>6768</v>
      </c>
      <c r="B6788" t="str">
        <f t="shared" si="279"/>
        <v>0.00036%</v>
      </c>
      <c r="C6788" t="s">
        <v>10</v>
      </c>
      <c r="D6788" t="s">
        <v>10</v>
      </c>
      <c r="E6788" t="str">
        <f>"$ 2,800"</f>
        <v>$ 2,800</v>
      </c>
      <c r="F6788">
        <v>199</v>
      </c>
    </row>
    <row r="6789" spans="1:6">
      <c r="A6789" t="s">
        <v>6769</v>
      </c>
      <c r="B6789" t="str">
        <f t="shared" si="279"/>
        <v>0.00036%</v>
      </c>
      <c r="C6789" t="s">
        <v>10</v>
      </c>
      <c r="D6789" t="s">
        <v>10</v>
      </c>
      <c r="E6789" t="str">
        <f>"$ 2,813"</f>
        <v>$ 2,813</v>
      </c>
      <c r="F6789" s="1">
        <v>2034</v>
      </c>
    </row>
    <row r="6790" spans="1:6">
      <c r="A6790" t="s">
        <v>6770</v>
      </c>
      <c r="B6790" t="str">
        <f t="shared" si="279"/>
        <v>0.00036%</v>
      </c>
      <c r="C6790" t="s">
        <v>10</v>
      </c>
      <c r="D6790" t="s">
        <v>10</v>
      </c>
      <c r="E6790" t="str">
        <f>"$ 2,816"</f>
        <v>$ 2,816</v>
      </c>
      <c r="F6790" s="1">
        <v>19393</v>
      </c>
    </row>
    <row r="6791" spans="1:6">
      <c r="A6791" t="s">
        <v>6771</v>
      </c>
      <c r="B6791" t="str">
        <f t="shared" si="279"/>
        <v>0.00036%</v>
      </c>
      <c r="C6791" t="s">
        <v>10</v>
      </c>
      <c r="D6791" t="s">
        <v>10</v>
      </c>
      <c r="E6791" t="str">
        <f>"$ 2,804"</f>
        <v>$ 2,804</v>
      </c>
      <c r="F6791" s="1">
        <v>2739</v>
      </c>
    </row>
    <row r="6792" spans="1:6">
      <c r="A6792" t="s">
        <v>6772</v>
      </c>
      <c r="B6792" t="str">
        <f t="shared" si="279"/>
        <v>0.00036%</v>
      </c>
      <c r="C6792" t="s">
        <v>10</v>
      </c>
      <c r="D6792" t="s">
        <v>10</v>
      </c>
      <c r="E6792" t="str">
        <f>"$ 2,809"</f>
        <v>$ 2,809</v>
      </c>
      <c r="F6792">
        <v>115</v>
      </c>
    </row>
    <row r="6793" spans="1:6">
      <c r="A6793" t="s">
        <v>6773</v>
      </c>
      <c r="B6793" t="str">
        <f t="shared" si="279"/>
        <v>0.00036%</v>
      </c>
      <c r="C6793" t="s">
        <v>10</v>
      </c>
      <c r="D6793" t="s">
        <v>10</v>
      </c>
      <c r="E6793" t="str">
        <f>"$ 2,748"</f>
        <v>$ 2,748</v>
      </c>
      <c r="F6793">
        <v>586</v>
      </c>
    </row>
    <row r="6794" spans="1:6">
      <c r="A6794" t="s">
        <v>6774</v>
      </c>
      <c r="B6794" t="str">
        <f t="shared" si="279"/>
        <v>0.00036%</v>
      </c>
      <c r="C6794" t="s">
        <v>10</v>
      </c>
      <c r="D6794" t="s">
        <v>10</v>
      </c>
      <c r="E6794" t="str">
        <f>"$ 2,808"</f>
        <v>$ 2,808</v>
      </c>
      <c r="F6794">
        <v>388</v>
      </c>
    </row>
    <row r="6795" spans="1:6">
      <c r="A6795" t="s">
        <v>6775</v>
      </c>
      <c r="B6795" t="str">
        <f t="shared" si="279"/>
        <v>0.00036%</v>
      </c>
      <c r="C6795" t="s">
        <v>10</v>
      </c>
      <c r="D6795" t="s">
        <v>10</v>
      </c>
      <c r="E6795" t="str">
        <f>"$ 2,811"</f>
        <v>$ 2,811</v>
      </c>
      <c r="F6795">
        <v>240</v>
      </c>
    </row>
    <row r="6796" spans="1:6">
      <c r="A6796" t="s">
        <v>6776</v>
      </c>
      <c r="B6796" t="str">
        <f t="shared" si="279"/>
        <v>0.00036%</v>
      </c>
      <c r="C6796" t="s">
        <v>10</v>
      </c>
      <c r="D6796" t="s">
        <v>10</v>
      </c>
      <c r="E6796" t="str">
        <f>"$ 2,805"</f>
        <v>$ 2,805</v>
      </c>
      <c r="F6796">
        <v>92</v>
      </c>
    </row>
    <row r="6797" spans="1:6">
      <c r="A6797" t="s">
        <v>6777</v>
      </c>
      <c r="B6797" t="str">
        <f t="shared" si="279"/>
        <v>0.00036%</v>
      </c>
      <c r="C6797" t="s">
        <v>10</v>
      </c>
      <c r="D6797" t="s">
        <v>10</v>
      </c>
      <c r="E6797" t="str">
        <f>"$ 2,786"</f>
        <v>$ 2,786</v>
      </c>
      <c r="F6797" s="1">
        <v>33843</v>
      </c>
    </row>
    <row r="6798" spans="1:6">
      <c r="A6798" t="s">
        <v>6778</v>
      </c>
      <c r="B6798" t="str">
        <f t="shared" si="279"/>
        <v>0.00036%</v>
      </c>
      <c r="C6798" t="s">
        <v>10</v>
      </c>
      <c r="D6798" t="s">
        <v>10</v>
      </c>
      <c r="E6798" t="str">
        <f>"$ 2,761"</f>
        <v>$ 2,761</v>
      </c>
      <c r="F6798">
        <v>622</v>
      </c>
    </row>
    <row r="6799" spans="1:6">
      <c r="A6799" t="s">
        <v>6779</v>
      </c>
      <c r="B6799" t="str">
        <f t="shared" si="279"/>
        <v>0.00036%</v>
      </c>
      <c r="C6799" t="s">
        <v>10</v>
      </c>
      <c r="D6799" t="s">
        <v>10</v>
      </c>
      <c r="E6799" t="str">
        <f>"$ 2,748"</f>
        <v>$ 2,748</v>
      </c>
      <c r="F6799">
        <v>164</v>
      </c>
    </row>
    <row r="6800" spans="1:6">
      <c r="A6800" t="s">
        <v>6780</v>
      </c>
      <c r="B6800" t="str">
        <f t="shared" si="279"/>
        <v>0.00036%</v>
      </c>
      <c r="C6800" t="s">
        <v>10</v>
      </c>
      <c r="D6800" t="s">
        <v>10</v>
      </c>
      <c r="E6800" t="str">
        <f>"$ 2,743"</f>
        <v>$ 2,743</v>
      </c>
      <c r="F6800" s="1">
        <v>4289</v>
      </c>
    </row>
    <row r="6801" spans="1:6">
      <c r="A6801" t="s">
        <v>6781</v>
      </c>
      <c r="B6801" t="str">
        <f t="shared" si="279"/>
        <v>0.00036%</v>
      </c>
      <c r="C6801" t="s">
        <v>10</v>
      </c>
      <c r="D6801" t="s">
        <v>10</v>
      </c>
      <c r="E6801" t="str">
        <f>"$ 2,767"</f>
        <v>$ 2,767</v>
      </c>
      <c r="F6801">
        <v>118</v>
      </c>
    </row>
    <row r="6802" spans="1:6">
      <c r="A6802" t="s">
        <v>6782</v>
      </c>
      <c r="B6802" t="str">
        <f t="shared" si="279"/>
        <v>0.00036%</v>
      </c>
      <c r="C6802" t="s">
        <v>10</v>
      </c>
      <c r="D6802" t="s">
        <v>10</v>
      </c>
      <c r="E6802" t="str">
        <f>"$ 2,803"</f>
        <v>$ 2,803</v>
      </c>
      <c r="F6802">
        <v>275</v>
      </c>
    </row>
    <row r="6803" spans="1:6">
      <c r="A6803" t="s">
        <v>6783</v>
      </c>
      <c r="B6803" t="str">
        <f t="shared" si="279"/>
        <v>0.00036%</v>
      </c>
      <c r="C6803" t="s">
        <v>10</v>
      </c>
      <c r="D6803" t="s">
        <v>10</v>
      </c>
      <c r="E6803" t="str">
        <f>"$ 2,785"</f>
        <v>$ 2,785</v>
      </c>
      <c r="F6803">
        <v>181</v>
      </c>
    </row>
    <row r="6804" spans="1:6">
      <c r="A6804" t="s">
        <v>6784</v>
      </c>
      <c r="B6804" t="str">
        <f t="shared" si="279"/>
        <v>0.00036%</v>
      </c>
      <c r="C6804" t="s">
        <v>10</v>
      </c>
      <c r="D6804" t="s">
        <v>10</v>
      </c>
      <c r="E6804" t="str">
        <f>"$ 2,789"</f>
        <v>$ 2,789</v>
      </c>
      <c r="F6804">
        <v>82</v>
      </c>
    </row>
    <row r="6805" spans="1:6">
      <c r="A6805" t="s">
        <v>6785</v>
      </c>
      <c r="B6805" t="str">
        <f t="shared" si="279"/>
        <v>0.00036%</v>
      </c>
      <c r="C6805" t="s">
        <v>10</v>
      </c>
      <c r="D6805" t="s">
        <v>10</v>
      </c>
      <c r="E6805" t="str">
        <f>"$ 2,789"</f>
        <v>$ 2,789</v>
      </c>
      <c r="F6805">
        <v>165</v>
      </c>
    </row>
    <row r="6806" spans="1:6">
      <c r="A6806" t="s">
        <v>6786</v>
      </c>
      <c r="B6806" t="str">
        <f t="shared" si="279"/>
        <v>0.00036%</v>
      </c>
      <c r="C6806" t="s">
        <v>10</v>
      </c>
      <c r="D6806" t="s">
        <v>10</v>
      </c>
      <c r="E6806" t="str">
        <f>"$ 2,762"</f>
        <v>$ 2,762</v>
      </c>
      <c r="F6806">
        <v>401</v>
      </c>
    </row>
    <row r="6807" spans="1:6">
      <c r="A6807" t="s">
        <v>6787</v>
      </c>
      <c r="B6807" t="str">
        <f t="shared" si="279"/>
        <v>0.00036%</v>
      </c>
      <c r="C6807" t="s">
        <v>10</v>
      </c>
      <c r="D6807" t="s">
        <v>10</v>
      </c>
      <c r="E6807" t="str">
        <f>"$ 2,766"</f>
        <v>$ 2,766</v>
      </c>
      <c r="F6807">
        <v>210</v>
      </c>
    </row>
    <row r="6808" spans="1:6">
      <c r="A6808" t="s">
        <v>6788</v>
      </c>
      <c r="B6808" t="str">
        <f t="shared" si="279"/>
        <v>0.00036%</v>
      </c>
      <c r="C6808" t="s">
        <v>10</v>
      </c>
      <c r="D6808" t="s">
        <v>10</v>
      </c>
      <c r="E6808" t="str">
        <f>"$ 2,802"</f>
        <v>$ 2,802</v>
      </c>
      <c r="F6808">
        <v>192</v>
      </c>
    </row>
    <row r="6809" spans="1:6">
      <c r="A6809" t="s">
        <v>6789</v>
      </c>
      <c r="B6809" t="str">
        <f t="shared" si="279"/>
        <v>0.00036%</v>
      </c>
      <c r="C6809" t="s">
        <v>10</v>
      </c>
      <c r="D6809" t="s">
        <v>10</v>
      </c>
      <c r="E6809" t="str">
        <f>"$ 2,770"</f>
        <v>$ 2,770</v>
      </c>
      <c r="F6809" s="1">
        <v>10316</v>
      </c>
    </row>
    <row r="6810" spans="1:6">
      <c r="A6810" t="s">
        <v>6790</v>
      </c>
      <c r="B6810" t="str">
        <f t="shared" si="279"/>
        <v>0.00036%</v>
      </c>
      <c r="C6810" t="s">
        <v>10</v>
      </c>
      <c r="D6810" t="s">
        <v>10</v>
      </c>
      <c r="E6810" t="str">
        <f>"$ 2,766"</f>
        <v>$ 2,766</v>
      </c>
      <c r="F6810">
        <v>99</v>
      </c>
    </row>
    <row r="6811" spans="1:6">
      <c r="A6811" t="s">
        <v>6791</v>
      </c>
      <c r="B6811" t="str">
        <f t="shared" si="279"/>
        <v>0.00036%</v>
      </c>
      <c r="C6811" t="s">
        <v>10</v>
      </c>
      <c r="D6811" t="s">
        <v>10</v>
      </c>
      <c r="E6811" t="str">
        <f>"$ 2,804"</f>
        <v>$ 2,804</v>
      </c>
      <c r="F6811">
        <v>378</v>
      </c>
    </row>
    <row r="6812" spans="1:6">
      <c r="A6812" t="s">
        <v>6792</v>
      </c>
      <c r="B6812" t="str">
        <f t="shared" si="279"/>
        <v>0.00036%</v>
      </c>
      <c r="C6812" t="s">
        <v>10</v>
      </c>
      <c r="D6812" t="s">
        <v>10</v>
      </c>
      <c r="E6812" t="str">
        <f>"$ 2,812"</f>
        <v>$ 2,812</v>
      </c>
      <c r="F6812">
        <v>56</v>
      </c>
    </row>
    <row r="6813" spans="1:6">
      <c r="A6813" t="s">
        <v>6793</v>
      </c>
      <c r="B6813" t="str">
        <f t="shared" si="279"/>
        <v>0.00036%</v>
      </c>
      <c r="C6813" t="s">
        <v>10</v>
      </c>
      <c r="D6813" t="s">
        <v>10</v>
      </c>
      <c r="E6813" t="str">
        <f>"$ 2,783"</f>
        <v>$ 2,783</v>
      </c>
      <c r="F6813">
        <v>136</v>
      </c>
    </row>
    <row r="6814" spans="1:6">
      <c r="A6814" t="s">
        <v>6794</v>
      </c>
      <c r="B6814" t="str">
        <f t="shared" si="279"/>
        <v>0.00036%</v>
      </c>
      <c r="C6814" t="s">
        <v>10</v>
      </c>
      <c r="D6814" t="s">
        <v>10</v>
      </c>
      <c r="E6814" t="str">
        <f>"$ 2,809"</f>
        <v>$ 2,809</v>
      </c>
      <c r="F6814" s="1">
        <v>1237</v>
      </c>
    </row>
    <row r="6815" spans="1:6">
      <c r="A6815" t="s">
        <v>6795</v>
      </c>
      <c r="B6815" t="str">
        <f t="shared" si="279"/>
        <v>0.00036%</v>
      </c>
      <c r="C6815" t="s">
        <v>10</v>
      </c>
      <c r="D6815" t="s">
        <v>10</v>
      </c>
      <c r="E6815" t="str">
        <f>"$ 2,807"</f>
        <v>$ 2,807</v>
      </c>
      <c r="F6815">
        <v>41</v>
      </c>
    </row>
    <row r="6816" spans="1:6">
      <c r="A6816" t="s">
        <v>6796</v>
      </c>
      <c r="B6816" t="str">
        <f t="shared" si="279"/>
        <v>0.00036%</v>
      </c>
      <c r="C6816" t="s">
        <v>10</v>
      </c>
      <c r="D6816" t="s">
        <v>10</v>
      </c>
      <c r="E6816" t="str">
        <f>"$ 2,775"</f>
        <v>$ 2,775</v>
      </c>
      <c r="F6816" s="1">
        <v>3695</v>
      </c>
    </row>
    <row r="6817" spans="1:6">
      <c r="A6817" t="s">
        <v>6797</v>
      </c>
      <c r="B6817" t="str">
        <f t="shared" si="279"/>
        <v>0.00036%</v>
      </c>
      <c r="C6817" t="s">
        <v>10</v>
      </c>
      <c r="D6817" t="s">
        <v>10</v>
      </c>
      <c r="E6817" t="str">
        <f>"$ 2,774"</f>
        <v>$ 2,774</v>
      </c>
      <c r="F6817" s="1">
        <v>3019</v>
      </c>
    </row>
    <row r="6818" spans="1:6">
      <c r="A6818" t="s">
        <v>6798</v>
      </c>
      <c r="B6818" t="str">
        <f t="shared" si="279"/>
        <v>0.00036%</v>
      </c>
      <c r="C6818" t="s">
        <v>10</v>
      </c>
      <c r="D6818" t="s">
        <v>10</v>
      </c>
      <c r="E6818" t="str">
        <f>"$ 2,774"</f>
        <v>$ 2,774</v>
      </c>
      <c r="F6818" s="1">
        <v>1065</v>
      </c>
    </row>
    <row r="6819" spans="1:6">
      <c r="A6819" t="s">
        <v>6799</v>
      </c>
      <c r="B6819" t="str">
        <f t="shared" si="279"/>
        <v>0.00036%</v>
      </c>
      <c r="C6819" t="s">
        <v>10</v>
      </c>
      <c r="D6819" t="s">
        <v>10</v>
      </c>
      <c r="E6819" t="str">
        <f>"$ 2,790"</f>
        <v>$ 2,790</v>
      </c>
      <c r="F6819">
        <v>947</v>
      </c>
    </row>
    <row r="6820" spans="1:6">
      <c r="A6820" t="s">
        <v>6800</v>
      </c>
      <c r="B6820" t="str">
        <f t="shared" si="279"/>
        <v>0.00036%</v>
      </c>
      <c r="C6820" t="s">
        <v>10</v>
      </c>
      <c r="D6820" t="s">
        <v>10</v>
      </c>
      <c r="E6820" t="str">
        <f>"$ 2,754"</f>
        <v>$ 2,754</v>
      </c>
      <c r="F6820" s="1">
        <v>11936</v>
      </c>
    </row>
    <row r="6821" spans="1:6">
      <c r="A6821" t="s">
        <v>6801</v>
      </c>
      <c r="B6821" t="str">
        <f t="shared" si="279"/>
        <v>0.00036%</v>
      </c>
      <c r="C6821" t="s">
        <v>10</v>
      </c>
      <c r="D6821" t="s">
        <v>10</v>
      </c>
      <c r="E6821" t="str">
        <f>"$ 2,765"</f>
        <v>$ 2,765</v>
      </c>
      <c r="F6821">
        <v>695</v>
      </c>
    </row>
    <row r="6822" spans="1:6">
      <c r="A6822" t="s">
        <v>6802</v>
      </c>
      <c r="B6822" t="str">
        <f t="shared" si="279"/>
        <v>0.00036%</v>
      </c>
      <c r="C6822" t="s">
        <v>10</v>
      </c>
      <c r="D6822" t="s">
        <v>10</v>
      </c>
      <c r="E6822" t="str">
        <f>"$ 2,770"</f>
        <v>$ 2,770</v>
      </c>
      <c r="F6822" s="1">
        <v>1143</v>
      </c>
    </row>
    <row r="6823" spans="1:6">
      <c r="A6823" t="s">
        <v>6803</v>
      </c>
      <c r="B6823" t="str">
        <f t="shared" ref="B6823:B6854" si="280">"0.00035%"</f>
        <v>0.00035%</v>
      </c>
      <c r="C6823" t="s">
        <v>10</v>
      </c>
      <c r="D6823" t="s">
        <v>10</v>
      </c>
      <c r="E6823" t="str">
        <f>"$ 2,688"</f>
        <v>$ 2,688</v>
      </c>
      <c r="F6823" s="1">
        <v>75089</v>
      </c>
    </row>
    <row r="6824" spans="1:6">
      <c r="A6824" t="s">
        <v>6804</v>
      </c>
      <c r="B6824" t="str">
        <f t="shared" si="280"/>
        <v>0.00035%</v>
      </c>
      <c r="C6824" t="s">
        <v>10</v>
      </c>
      <c r="D6824" t="s">
        <v>10</v>
      </c>
      <c r="E6824" t="str">
        <f>"$ 2,733"</f>
        <v>$ 2,733</v>
      </c>
      <c r="F6824">
        <v>148</v>
      </c>
    </row>
    <row r="6825" spans="1:6">
      <c r="A6825" t="s">
        <v>6805</v>
      </c>
      <c r="B6825" t="str">
        <f t="shared" si="280"/>
        <v>0.00035%</v>
      </c>
      <c r="C6825" t="s">
        <v>10</v>
      </c>
      <c r="D6825" t="s">
        <v>10</v>
      </c>
      <c r="E6825" t="str">
        <f>"$ 2,689"</f>
        <v>$ 2,689</v>
      </c>
      <c r="F6825" s="1">
        <v>3138</v>
      </c>
    </row>
    <row r="6826" spans="1:6">
      <c r="A6826" t="s">
        <v>6806</v>
      </c>
      <c r="B6826" t="str">
        <f t="shared" si="280"/>
        <v>0.00035%</v>
      </c>
      <c r="C6826" t="s">
        <v>10</v>
      </c>
      <c r="D6826" t="s">
        <v>10</v>
      </c>
      <c r="E6826" t="str">
        <f>"$ 2,686"</f>
        <v>$ 2,686</v>
      </c>
      <c r="F6826" s="1">
        <v>5281</v>
      </c>
    </row>
    <row r="6827" spans="1:6">
      <c r="A6827" t="s">
        <v>6807</v>
      </c>
      <c r="B6827" t="str">
        <f t="shared" si="280"/>
        <v>0.00035%</v>
      </c>
      <c r="C6827" t="s">
        <v>10</v>
      </c>
      <c r="D6827" t="s">
        <v>10</v>
      </c>
      <c r="E6827" t="str">
        <f>"$ 2,671"</f>
        <v>$ 2,671</v>
      </c>
      <c r="F6827">
        <v>265</v>
      </c>
    </row>
    <row r="6828" spans="1:6">
      <c r="A6828" t="s">
        <v>6808</v>
      </c>
      <c r="B6828" t="str">
        <f t="shared" si="280"/>
        <v>0.00035%</v>
      </c>
      <c r="C6828" t="s">
        <v>10</v>
      </c>
      <c r="D6828" t="s">
        <v>10</v>
      </c>
      <c r="E6828" t="str">
        <f>"$ 2,704"</f>
        <v>$ 2,704</v>
      </c>
      <c r="F6828">
        <v>153</v>
      </c>
    </row>
    <row r="6829" spans="1:6">
      <c r="A6829" t="s">
        <v>6809</v>
      </c>
      <c r="B6829" t="str">
        <f t="shared" si="280"/>
        <v>0.00035%</v>
      </c>
      <c r="C6829" t="s">
        <v>10</v>
      </c>
      <c r="D6829" t="s">
        <v>10</v>
      </c>
      <c r="E6829" t="str">
        <f>"$ 2,721"</f>
        <v>$ 2,721</v>
      </c>
      <c r="F6829" s="1">
        <v>2514</v>
      </c>
    </row>
    <row r="6830" spans="1:6">
      <c r="A6830" t="s">
        <v>6810</v>
      </c>
      <c r="B6830" t="str">
        <f t="shared" si="280"/>
        <v>0.00035%</v>
      </c>
      <c r="C6830" t="s">
        <v>10</v>
      </c>
      <c r="D6830" t="s">
        <v>10</v>
      </c>
      <c r="E6830" t="str">
        <f>"$ 2,715"</f>
        <v>$ 2,715</v>
      </c>
      <c r="F6830">
        <v>99</v>
      </c>
    </row>
    <row r="6831" spans="1:6">
      <c r="A6831" t="s">
        <v>6811</v>
      </c>
      <c r="B6831" t="str">
        <f t="shared" si="280"/>
        <v>0.00035%</v>
      </c>
      <c r="C6831" t="s">
        <v>10</v>
      </c>
      <c r="D6831" t="s">
        <v>10</v>
      </c>
      <c r="E6831" t="str">
        <f>"$ 2,688"</f>
        <v>$ 2,688</v>
      </c>
      <c r="F6831">
        <v>86</v>
      </c>
    </row>
    <row r="6832" spans="1:6">
      <c r="A6832" t="s">
        <v>6812</v>
      </c>
      <c r="B6832" t="str">
        <f t="shared" si="280"/>
        <v>0.00035%</v>
      </c>
      <c r="C6832" t="s">
        <v>10</v>
      </c>
      <c r="D6832" t="s">
        <v>10</v>
      </c>
      <c r="E6832" t="str">
        <f>"$ 2,730"</f>
        <v>$ 2,730</v>
      </c>
      <c r="F6832">
        <v>214</v>
      </c>
    </row>
    <row r="6833" spans="1:6">
      <c r="A6833" t="s">
        <v>6813</v>
      </c>
      <c r="B6833" t="str">
        <f t="shared" si="280"/>
        <v>0.00035%</v>
      </c>
      <c r="C6833" t="s">
        <v>10</v>
      </c>
      <c r="D6833" t="s">
        <v>10</v>
      </c>
      <c r="E6833" t="str">
        <f>"$ 2,723"</f>
        <v>$ 2,723</v>
      </c>
      <c r="F6833" s="1">
        <v>2030</v>
      </c>
    </row>
    <row r="6834" spans="1:6">
      <c r="A6834" t="s">
        <v>6814</v>
      </c>
      <c r="B6834" t="str">
        <f t="shared" si="280"/>
        <v>0.00035%</v>
      </c>
      <c r="C6834" t="s">
        <v>10</v>
      </c>
      <c r="D6834" t="s">
        <v>10</v>
      </c>
      <c r="E6834" t="str">
        <f>"$ 2,692"</f>
        <v>$ 2,692</v>
      </c>
      <c r="F6834">
        <v>679</v>
      </c>
    </row>
    <row r="6835" spans="1:6">
      <c r="A6835" t="s">
        <v>6815</v>
      </c>
      <c r="B6835" t="str">
        <f t="shared" si="280"/>
        <v>0.00035%</v>
      </c>
      <c r="C6835" t="s">
        <v>10</v>
      </c>
      <c r="D6835" t="s">
        <v>10</v>
      </c>
      <c r="E6835" t="str">
        <f>"$ 2,700"</f>
        <v>$ 2,700</v>
      </c>
      <c r="F6835">
        <v>532</v>
      </c>
    </row>
    <row r="6836" spans="1:6">
      <c r="A6836" t="s">
        <v>6816</v>
      </c>
      <c r="B6836" t="str">
        <f t="shared" si="280"/>
        <v>0.00035%</v>
      </c>
      <c r="C6836" t="s">
        <v>10</v>
      </c>
      <c r="D6836" t="s">
        <v>10</v>
      </c>
      <c r="E6836" t="str">
        <f>"$ 2,679"</f>
        <v>$ 2,679</v>
      </c>
      <c r="F6836">
        <v>215</v>
      </c>
    </row>
    <row r="6837" spans="1:6">
      <c r="A6837" t="s">
        <v>6817</v>
      </c>
      <c r="B6837" t="str">
        <f t="shared" si="280"/>
        <v>0.00035%</v>
      </c>
      <c r="C6837" t="s">
        <v>10</v>
      </c>
      <c r="D6837" t="s">
        <v>10</v>
      </c>
      <c r="E6837" t="str">
        <f>"$ 2,733"</f>
        <v>$ 2,733</v>
      </c>
      <c r="F6837" s="1">
        <v>1121</v>
      </c>
    </row>
    <row r="6838" spans="1:6">
      <c r="A6838" t="s">
        <v>6818</v>
      </c>
      <c r="B6838" t="str">
        <f t="shared" si="280"/>
        <v>0.00035%</v>
      </c>
      <c r="C6838" t="s">
        <v>10</v>
      </c>
      <c r="D6838" t="s">
        <v>10</v>
      </c>
      <c r="E6838" t="str">
        <f>"$ 2,722"</f>
        <v>$ 2,722</v>
      </c>
      <c r="F6838">
        <v>52</v>
      </c>
    </row>
    <row r="6839" spans="1:6">
      <c r="A6839" t="s">
        <v>6381</v>
      </c>
      <c r="B6839" t="str">
        <f t="shared" si="280"/>
        <v>0.00035%</v>
      </c>
      <c r="C6839" t="s">
        <v>10</v>
      </c>
      <c r="D6839" t="s">
        <v>10</v>
      </c>
      <c r="E6839" t="str">
        <f>"$ 2,730"</f>
        <v>$ 2,730</v>
      </c>
      <c r="F6839" s="1">
        <v>1110</v>
      </c>
    </row>
    <row r="6840" spans="1:6">
      <c r="A6840" t="s">
        <v>6819</v>
      </c>
      <c r="B6840" t="str">
        <f t="shared" si="280"/>
        <v>0.00035%</v>
      </c>
      <c r="C6840" t="s">
        <v>10</v>
      </c>
      <c r="D6840" t="s">
        <v>10</v>
      </c>
      <c r="E6840" t="str">
        <f>"$ 2,670"</f>
        <v>$ 2,670</v>
      </c>
      <c r="F6840">
        <v>70</v>
      </c>
    </row>
    <row r="6841" spans="1:6">
      <c r="A6841" t="s">
        <v>6820</v>
      </c>
      <c r="B6841" t="str">
        <f t="shared" si="280"/>
        <v>0.00035%</v>
      </c>
      <c r="C6841" t="s">
        <v>10</v>
      </c>
      <c r="D6841" t="s">
        <v>10</v>
      </c>
      <c r="E6841" t="str">
        <f>"$ 2,710"</f>
        <v>$ 2,710</v>
      </c>
      <c r="F6841" s="1">
        <v>1036</v>
      </c>
    </row>
    <row r="6842" spans="1:6">
      <c r="A6842" t="s">
        <v>6821</v>
      </c>
      <c r="B6842" t="str">
        <f t="shared" si="280"/>
        <v>0.00035%</v>
      </c>
      <c r="C6842" t="s">
        <v>10</v>
      </c>
      <c r="D6842" t="s">
        <v>10</v>
      </c>
      <c r="E6842" t="str">
        <f>"$ 2,667"</f>
        <v>$ 2,667</v>
      </c>
      <c r="F6842" s="1">
        <v>2598</v>
      </c>
    </row>
    <row r="6843" spans="1:6">
      <c r="A6843" t="s">
        <v>6822</v>
      </c>
      <c r="B6843" t="str">
        <f t="shared" si="280"/>
        <v>0.00035%</v>
      </c>
      <c r="C6843" t="s">
        <v>10</v>
      </c>
      <c r="D6843" t="s">
        <v>10</v>
      </c>
      <c r="E6843" t="str">
        <f>"$ 2,707"</f>
        <v>$ 2,707</v>
      </c>
      <c r="F6843" s="1">
        <v>2487</v>
      </c>
    </row>
    <row r="6844" spans="1:6">
      <c r="A6844" t="s">
        <v>6823</v>
      </c>
      <c r="B6844" t="str">
        <f t="shared" si="280"/>
        <v>0.00035%</v>
      </c>
      <c r="C6844" t="s">
        <v>10</v>
      </c>
      <c r="D6844" t="s">
        <v>10</v>
      </c>
      <c r="E6844" t="str">
        <f>"$ 2,702"</f>
        <v>$ 2,702</v>
      </c>
      <c r="F6844">
        <v>33</v>
      </c>
    </row>
    <row r="6845" spans="1:6">
      <c r="A6845" t="s">
        <v>6824</v>
      </c>
      <c r="B6845" t="str">
        <f t="shared" si="280"/>
        <v>0.00035%</v>
      </c>
      <c r="C6845" t="s">
        <v>10</v>
      </c>
      <c r="D6845" t="s">
        <v>10</v>
      </c>
      <c r="E6845" t="str">
        <f>"$ 2,692"</f>
        <v>$ 2,692</v>
      </c>
      <c r="F6845">
        <v>245</v>
      </c>
    </row>
    <row r="6846" spans="1:6">
      <c r="A6846" t="s">
        <v>6825</v>
      </c>
      <c r="B6846" t="str">
        <f t="shared" si="280"/>
        <v>0.00035%</v>
      </c>
      <c r="C6846" t="s">
        <v>10</v>
      </c>
      <c r="D6846" t="s">
        <v>10</v>
      </c>
      <c r="E6846" t="str">
        <f>"$ 2,667"</f>
        <v>$ 2,667</v>
      </c>
      <c r="F6846" s="1">
        <v>1666</v>
      </c>
    </row>
    <row r="6847" spans="1:6">
      <c r="A6847" t="s">
        <v>6826</v>
      </c>
      <c r="B6847" t="str">
        <f t="shared" si="280"/>
        <v>0.00035%</v>
      </c>
      <c r="C6847" t="s">
        <v>10</v>
      </c>
      <c r="D6847" t="s">
        <v>10</v>
      </c>
      <c r="E6847" t="str">
        <f>"$ 2,668"</f>
        <v>$ 2,668</v>
      </c>
      <c r="F6847">
        <v>310</v>
      </c>
    </row>
    <row r="6848" spans="1:6">
      <c r="A6848" t="s">
        <v>6827</v>
      </c>
      <c r="B6848" t="str">
        <f t="shared" si="280"/>
        <v>0.00035%</v>
      </c>
      <c r="C6848" t="s">
        <v>10</v>
      </c>
      <c r="D6848" t="s">
        <v>10</v>
      </c>
      <c r="E6848" t="str">
        <f>"$ 2,670"</f>
        <v>$ 2,670</v>
      </c>
      <c r="F6848">
        <v>226</v>
      </c>
    </row>
    <row r="6849" spans="1:6">
      <c r="A6849" t="s">
        <v>6828</v>
      </c>
      <c r="B6849" t="str">
        <f t="shared" si="280"/>
        <v>0.00035%</v>
      </c>
      <c r="C6849" t="s">
        <v>10</v>
      </c>
      <c r="D6849" t="s">
        <v>10</v>
      </c>
      <c r="E6849" t="str">
        <f>"$ 2,719"</f>
        <v>$ 2,719</v>
      </c>
      <c r="F6849">
        <v>556</v>
      </c>
    </row>
    <row r="6850" spans="1:6">
      <c r="A6850" t="s">
        <v>6829</v>
      </c>
      <c r="B6850" t="str">
        <f t="shared" si="280"/>
        <v>0.00035%</v>
      </c>
      <c r="C6850" t="s">
        <v>10</v>
      </c>
      <c r="D6850" t="s">
        <v>10</v>
      </c>
      <c r="E6850" t="str">
        <f>"$ 2,724"</f>
        <v>$ 2,724</v>
      </c>
      <c r="F6850">
        <v>317</v>
      </c>
    </row>
    <row r="6851" spans="1:6">
      <c r="A6851" t="s">
        <v>6830</v>
      </c>
      <c r="B6851" t="str">
        <f t="shared" si="280"/>
        <v>0.00035%</v>
      </c>
      <c r="C6851" t="s">
        <v>10</v>
      </c>
      <c r="D6851" t="s">
        <v>10</v>
      </c>
      <c r="E6851" t="str">
        <f>"$ 2,727"</f>
        <v>$ 2,727</v>
      </c>
      <c r="F6851">
        <v>441</v>
      </c>
    </row>
    <row r="6852" spans="1:6">
      <c r="A6852" t="s">
        <v>6831</v>
      </c>
      <c r="B6852" t="str">
        <f t="shared" si="280"/>
        <v>0.00035%</v>
      </c>
      <c r="C6852" t="s">
        <v>10</v>
      </c>
      <c r="D6852" t="s">
        <v>10</v>
      </c>
      <c r="E6852" t="str">
        <f>"$ 2,668"</f>
        <v>$ 2,668</v>
      </c>
      <c r="F6852">
        <v>224</v>
      </c>
    </row>
    <row r="6853" spans="1:6">
      <c r="A6853" t="s">
        <v>6832</v>
      </c>
      <c r="B6853" t="str">
        <f t="shared" si="280"/>
        <v>0.00035%</v>
      </c>
      <c r="C6853" t="s">
        <v>10</v>
      </c>
      <c r="D6853" t="s">
        <v>10</v>
      </c>
      <c r="E6853" t="str">
        <f>"$ 2,698"</f>
        <v>$ 2,698</v>
      </c>
      <c r="F6853">
        <v>35</v>
      </c>
    </row>
    <row r="6854" spans="1:6">
      <c r="A6854" t="s">
        <v>6833</v>
      </c>
      <c r="B6854" t="str">
        <f t="shared" si="280"/>
        <v>0.00035%</v>
      </c>
      <c r="C6854" t="s">
        <v>10</v>
      </c>
      <c r="D6854" t="s">
        <v>10</v>
      </c>
      <c r="E6854" t="str">
        <f>"$ 2,717"</f>
        <v>$ 2,717</v>
      </c>
      <c r="F6854">
        <v>110</v>
      </c>
    </row>
    <row r="6855" spans="1:6">
      <c r="A6855" t="s">
        <v>6834</v>
      </c>
      <c r="B6855" t="str">
        <f t="shared" ref="B6855:B6876" si="281">"0.00035%"</f>
        <v>0.00035%</v>
      </c>
      <c r="C6855" t="s">
        <v>10</v>
      </c>
      <c r="D6855" t="s">
        <v>10</v>
      </c>
      <c r="E6855" t="str">
        <f>"$ 2,689"</f>
        <v>$ 2,689</v>
      </c>
      <c r="F6855" s="1">
        <v>6268</v>
      </c>
    </row>
    <row r="6856" spans="1:6">
      <c r="A6856" t="s">
        <v>6835</v>
      </c>
      <c r="B6856" t="str">
        <f t="shared" si="281"/>
        <v>0.00035%</v>
      </c>
      <c r="C6856" t="s">
        <v>10</v>
      </c>
      <c r="D6856" t="s">
        <v>10</v>
      </c>
      <c r="E6856" t="str">
        <f>"$ 2,697"</f>
        <v>$ 2,697</v>
      </c>
      <c r="F6856" s="1">
        <v>30491</v>
      </c>
    </row>
    <row r="6857" spans="1:6">
      <c r="A6857" t="s">
        <v>6836</v>
      </c>
      <c r="B6857" t="str">
        <f t="shared" si="281"/>
        <v>0.00035%</v>
      </c>
      <c r="C6857" t="s">
        <v>10</v>
      </c>
      <c r="D6857" t="s">
        <v>10</v>
      </c>
      <c r="E6857" t="str">
        <f>"$ 2,666"</f>
        <v>$ 2,666</v>
      </c>
      <c r="F6857" s="1">
        <v>6671</v>
      </c>
    </row>
    <row r="6858" spans="1:6">
      <c r="A6858" t="s">
        <v>6837</v>
      </c>
      <c r="B6858" t="str">
        <f t="shared" si="281"/>
        <v>0.00035%</v>
      </c>
      <c r="C6858" t="s">
        <v>10</v>
      </c>
      <c r="D6858" t="s">
        <v>10</v>
      </c>
      <c r="E6858" t="str">
        <f>"$ 2,676"</f>
        <v>$ 2,676</v>
      </c>
      <c r="F6858">
        <v>55</v>
      </c>
    </row>
    <row r="6859" spans="1:6">
      <c r="A6859" t="s">
        <v>6838</v>
      </c>
      <c r="B6859" t="str">
        <f t="shared" si="281"/>
        <v>0.00035%</v>
      </c>
      <c r="C6859" t="s">
        <v>10</v>
      </c>
      <c r="D6859" t="s">
        <v>10</v>
      </c>
      <c r="E6859" t="str">
        <f>"$ 2,673"</f>
        <v>$ 2,673</v>
      </c>
      <c r="F6859">
        <v>133</v>
      </c>
    </row>
    <row r="6860" spans="1:6">
      <c r="A6860" t="s">
        <v>6839</v>
      </c>
      <c r="B6860" t="str">
        <f t="shared" si="281"/>
        <v>0.00035%</v>
      </c>
      <c r="C6860" t="s">
        <v>10</v>
      </c>
      <c r="D6860" t="s">
        <v>10</v>
      </c>
      <c r="E6860" t="str">
        <f>"$ 2,734"</f>
        <v>$ 2,734</v>
      </c>
      <c r="F6860">
        <v>211</v>
      </c>
    </row>
    <row r="6861" spans="1:6">
      <c r="A6861" t="s">
        <v>6840</v>
      </c>
      <c r="B6861" t="str">
        <f t="shared" si="281"/>
        <v>0.00035%</v>
      </c>
      <c r="C6861" t="s">
        <v>10</v>
      </c>
      <c r="D6861" t="s">
        <v>10</v>
      </c>
      <c r="E6861" t="str">
        <f>"$ 2,686"</f>
        <v>$ 2,686</v>
      </c>
      <c r="F6861">
        <v>54</v>
      </c>
    </row>
    <row r="6862" spans="1:6">
      <c r="A6862" t="s">
        <v>6841</v>
      </c>
      <c r="B6862" t="str">
        <f t="shared" si="281"/>
        <v>0.00035%</v>
      </c>
      <c r="C6862" t="s">
        <v>10</v>
      </c>
      <c r="D6862" t="s">
        <v>10</v>
      </c>
      <c r="E6862" t="str">
        <f>"$ 2,682"</f>
        <v>$ 2,682</v>
      </c>
      <c r="F6862">
        <v>80</v>
      </c>
    </row>
    <row r="6863" spans="1:6">
      <c r="A6863" t="s">
        <v>6842</v>
      </c>
      <c r="B6863" t="str">
        <f t="shared" si="281"/>
        <v>0.00035%</v>
      </c>
      <c r="C6863" t="s">
        <v>10</v>
      </c>
      <c r="D6863" t="s">
        <v>10</v>
      </c>
      <c r="E6863" t="str">
        <f>"$ 2,685"</f>
        <v>$ 2,685</v>
      </c>
      <c r="F6863">
        <v>552</v>
      </c>
    </row>
    <row r="6864" spans="1:6">
      <c r="A6864" t="s">
        <v>6843</v>
      </c>
      <c r="B6864" t="str">
        <f t="shared" si="281"/>
        <v>0.00035%</v>
      </c>
      <c r="C6864" t="s">
        <v>10</v>
      </c>
      <c r="D6864" t="s">
        <v>10</v>
      </c>
      <c r="E6864" t="str">
        <f>"$ 2,694"</f>
        <v>$ 2,694</v>
      </c>
      <c r="F6864">
        <v>60</v>
      </c>
    </row>
    <row r="6865" spans="1:6">
      <c r="A6865" t="s">
        <v>6844</v>
      </c>
      <c r="B6865" t="str">
        <f t="shared" si="281"/>
        <v>0.00035%</v>
      </c>
      <c r="C6865" t="s">
        <v>10</v>
      </c>
      <c r="D6865" t="s">
        <v>10</v>
      </c>
      <c r="E6865" t="str">
        <f>"$ 2,722"</f>
        <v>$ 2,722</v>
      </c>
      <c r="F6865">
        <v>270</v>
      </c>
    </row>
    <row r="6866" spans="1:6">
      <c r="A6866" t="s">
        <v>6845</v>
      </c>
      <c r="B6866" t="str">
        <f t="shared" si="281"/>
        <v>0.00035%</v>
      </c>
      <c r="C6866" t="s">
        <v>10</v>
      </c>
      <c r="D6866" t="s">
        <v>10</v>
      </c>
      <c r="E6866" t="str">
        <f>"$ 2,691"</f>
        <v>$ 2,691</v>
      </c>
      <c r="F6866">
        <v>66</v>
      </c>
    </row>
    <row r="6867" spans="1:6">
      <c r="A6867" t="s">
        <v>6846</v>
      </c>
      <c r="B6867" t="str">
        <f t="shared" si="281"/>
        <v>0.00035%</v>
      </c>
      <c r="C6867" t="s">
        <v>10</v>
      </c>
      <c r="D6867" t="s">
        <v>10</v>
      </c>
      <c r="E6867" t="str">
        <f>"$ 2,726"</f>
        <v>$ 2,726</v>
      </c>
      <c r="F6867">
        <v>48</v>
      </c>
    </row>
    <row r="6868" spans="1:6">
      <c r="A6868" t="s">
        <v>6847</v>
      </c>
      <c r="B6868" t="str">
        <f t="shared" si="281"/>
        <v>0.00035%</v>
      </c>
      <c r="C6868" t="s">
        <v>10</v>
      </c>
      <c r="D6868" t="s">
        <v>10</v>
      </c>
      <c r="E6868" t="str">
        <f>"$ 2,672"</f>
        <v>$ 2,672</v>
      </c>
      <c r="F6868">
        <v>280</v>
      </c>
    </row>
    <row r="6869" spans="1:6">
      <c r="A6869" t="s">
        <v>6848</v>
      </c>
      <c r="B6869" t="str">
        <f t="shared" si="281"/>
        <v>0.00035%</v>
      </c>
      <c r="C6869" t="s">
        <v>10</v>
      </c>
      <c r="D6869" t="s">
        <v>10</v>
      </c>
      <c r="E6869" t="str">
        <f>"$ 2,740"</f>
        <v>$ 2,740</v>
      </c>
      <c r="F6869" s="1">
        <v>1353</v>
      </c>
    </row>
    <row r="6870" spans="1:6">
      <c r="A6870" t="s">
        <v>6849</v>
      </c>
      <c r="B6870" t="str">
        <f t="shared" si="281"/>
        <v>0.00035%</v>
      </c>
      <c r="C6870" t="s">
        <v>10</v>
      </c>
      <c r="D6870" t="s">
        <v>10</v>
      </c>
      <c r="E6870" t="str">
        <f>"$ 2,692"</f>
        <v>$ 2,692</v>
      </c>
      <c r="F6870">
        <v>188</v>
      </c>
    </row>
    <row r="6871" spans="1:6">
      <c r="A6871" t="s">
        <v>6850</v>
      </c>
      <c r="B6871" t="str">
        <f t="shared" si="281"/>
        <v>0.00035%</v>
      </c>
      <c r="C6871" t="s">
        <v>10</v>
      </c>
      <c r="D6871" t="s">
        <v>10</v>
      </c>
      <c r="E6871" t="str">
        <f>"$ 2,709"</f>
        <v>$ 2,709</v>
      </c>
      <c r="F6871">
        <v>977</v>
      </c>
    </row>
    <row r="6872" spans="1:6">
      <c r="A6872" t="s">
        <v>6851</v>
      </c>
      <c r="B6872" t="str">
        <f t="shared" si="281"/>
        <v>0.00035%</v>
      </c>
      <c r="C6872" t="s">
        <v>10</v>
      </c>
      <c r="D6872" t="s">
        <v>10</v>
      </c>
      <c r="E6872" t="str">
        <f>"$ 2,697"</f>
        <v>$ 2,697</v>
      </c>
      <c r="F6872">
        <v>147</v>
      </c>
    </row>
    <row r="6873" spans="1:6">
      <c r="A6873" t="s">
        <v>6852</v>
      </c>
      <c r="B6873" t="str">
        <f t="shared" si="281"/>
        <v>0.00035%</v>
      </c>
      <c r="C6873" t="s">
        <v>10</v>
      </c>
      <c r="D6873" t="s">
        <v>10</v>
      </c>
      <c r="E6873" t="str">
        <f>"$ 2,719"</f>
        <v>$ 2,719</v>
      </c>
      <c r="F6873">
        <v>403</v>
      </c>
    </row>
    <row r="6874" spans="1:6">
      <c r="A6874" t="s">
        <v>6853</v>
      </c>
      <c r="B6874" t="str">
        <f t="shared" si="281"/>
        <v>0.00035%</v>
      </c>
      <c r="C6874" t="s">
        <v>10</v>
      </c>
      <c r="D6874" t="s">
        <v>10</v>
      </c>
      <c r="E6874" t="str">
        <f>"$ 2,681"</f>
        <v>$ 2,681</v>
      </c>
      <c r="F6874">
        <v>292</v>
      </c>
    </row>
    <row r="6875" spans="1:6">
      <c r="A6875" t="s">
        <v>6854</v>
      </c>
      <c r="B6875" t="str">
        <f t="shared" si="281"/>
        <v>0.00035%</v>
      </c>
      <c r="C6875" t="s">
        <v>10</v>
      </c>
      <c r="D6875" t="s">
        <v>10</v>
      </c>
      <c r="E6875" t="str">
        <f>"$ 2,726"</f>
        <v>$ 2,726</v>
      </c>
      <c r="F6875" s="1">
        <v>4356</v>
      </c>
    </row>
    <row r="6876" spans="1:6">
      <c r="A6876" t="s">
        <v>6855</v>
      </c>
      <c r="B6876" t="str">
        <f t="shared" si="281"/>
        <v>0.00035%</v>
      </c>
      <c r="C6876" t="s">
        <v>10</v>
      </c>
      <c r="D6876" t="s">
        <v>10</v>
      </c>
      <c r="E6876" t="str">
        <f>"$ 2,720"</f>
        <v>$ 2,720</v>
      </c>
      <c r="F6876">
        <v>602</v>
      </c>
    </row>
    <row r="6877" spans="1:6">
      <c r="A6877" t="s">
        <v>6856</v>
      </c>
      <c r="B6877" t="str">
        <f t="shared" ref="B6877:B6908" si="282">"0.00034%"</f>
        <v>0.00034%</v>
      </c>
      <c r="C6877" t="s">
        <v>10</v>
      </c>
      <c r="D6877" t="s">
        <v>10</v>
      </c>
      <c r="E6877" t="str">
        <f>"$ 2,589"</f>
        <v>$ 2,589</v>
      </c>
      <c r="F6877">
        <v>278</v>
      </c>
    </row>
    <row r="6878" spans="1:6">
      <c r="A6878" t="s">
        <v>6857</v>
      </c>
      <c r="B6878" t="str">
        <f t="shared" si="282"/>
        <v>0.00034%</v>
      </c>
      <c r="C6878" t="s">
        <v>10</v>
      </c>
      <c r="D6878" t="s">
        <v>10</v>
      </c>
      <c r="E6878" t="str">
        <f>"$ 2,612"</f>
        <v>$ 2,612</v>
      </c>
      <c r="F6878">
        <v>344</v>
      </c>
    </row>
    <row r="6879" spans="1:6">
      <c r="A6879" t="s">
        <v>6858</v>
      </c>
      <c r="B6879" t="str">
        <f t="shared" si="282"/>
        <v>0.00034%</v>
      </c>
      <c r="C6879" t="s">
        <v>10</v>
      </c>
      <c r="D6879" t="s">
        <v>10</v>
      </c>
      <c r="E6879" t="str">
        <f>"$ 2,622"</f>
        <v>$ 2,622</v>
      </c>
      <c r="F6879">
        <v>234</v>
      </c>
    </row>
    <row r="6880" spans="1:6">
      <c r="A6880" t="s">
        <v>6859</v>
      </c>
      <c r="B6880" t="str">
        <f t="shared" si="282"/>
        <v>0.00034%</v>
      </c>
      <c r="C6880" t="s">
        <v>10</v>
      </c>
      <c r="D6880" t="s">
        <v>10</v>
      </c>
      <c r="E6880" t="str">
        <f>"$ 2,614"</f>
        <v>$ 2,614</v>
      </c>
      <c r="F6880">
        <v>448</v>
      </c>
    </row>
    <row r="6881" spans="1:6">
      <c r="A6881" t="s">
        <v>6860</v>
      </c>
      <c r="B6881" t="str">
        <f t="shared" si="282"/>
        <v>0.00034%</v>
      </c>
      <c r="C6881" t="s">
        <v>10</v>
      </c>
      <c r="D6881" t="s">
        <v>10</v>
      </c>
      <c r="E6881" t="str">
        <f>"$ 2,606"</f>
        <v>$ 2,606</v>
      </c>
      <c r="F6881">
        <v>354</v>
      </c>
    </row>
    <row r="6882" spans="1:6">
      <c r="A6882" t="s">
        <v>6861</v>
      </c>
      <c r="B6882" t="str">
        <f t="shared" si="282"/>
        <v>0.00034%</v>
      </c>
      <c r="C6882" t="s">
        <v>10</v>
      </c>
      <c r="D6882" t="s">
        <v>10</v>
      </c>
      <c r="E6882" t="str">
        <f>"$ 2,630"</f>
        <v>$ 2,630</v>
      </c>
      <c r="F6882" s="1">
        <v>2635</v>
      </c>
    </row>
    <row r="6883" spans="1:6">
      <c r="A6883" t="s">
        <v>6862</v>
      </c>
      <c r="B6883" t="str">
        <f t="shared" si="282"/>
        <v>0.00034%</v>
      </c>
      <c r="C6883" t="s">
        <v>10</v>
      </c>
      <c r="D6883" t="s">
        <v>10</v>
      </c>
      <c r="E6883" t="str">
        <f>"$ 2,644"</f>
        <v>$ 2,644</v>
      </c>
      <c r="F6883" s="1">
        <v>2516</v>
      </c>
    </row>
    <row r="6884" spans="1:6">
      <c r="A6884" t="s">
        <v>6863</v>
      </c>
      <c r="B6884" t="str">
        <f t="shared" si="282"/>
        <v>0.00034%</v>
      </c>
      <c r="C6884" t="s">
        <v>10</v>
      </c>
      <c r="D6884" t="s">
        <v>10</v>
      </c>
      <c r="E6884" t="str">
        <f>"$ 2,625"</f>
        <v>$ 2,625</v>
      </c>
      <c r="F6884" s="1">
        <v>3809</v>
      </c>
    </row>
    <row r="6885" spans="1:6">
      <c r="A6885" t="s">
        <v>6864</v>
      </c>
      <c r="B6885" t="str">
        <f t="shared" si="282"/>
        <v>0.00034%</v>
      </c>
      <c r="C6885" t="s">
        <v>10</v>
      </c>
      <c r="D6885" t="s">
        <v>10</v>
      </c>
      <c r="E6885" t="str">
        <f>"$ 2,615"</f>
        <v>$ 2,615</v>
      </c>
      <c r="F6885">
        <v>486</v>
      </c>
    </row>
    <row r="6886" spans="1:6">
      <c r="A6886" t="s">
        <v>6865</v>
      </c>
      <c r="B6886" t="str">
        <f t="shared" si="282"/>
        <v>0.00034%</v>
      </c>
      <c r="C6886" t="s">
        <v>10</v>
      </c>
      <c r="D6886" t="s">
        <v>10</v>
      </c>
      <c r="E6886" t="str">
        <f>"$ 2,622"</f>
        <v>$ 2,622</v>
      </c>
      <c r="F6886">
        <v>54</v>
      </c>
    </row>
    <row r="6887" spans="1:6">
      <c r="A6887" t="s">
        <v>6866</v>
      </c>
      <c r="B6887" t="str">
        <f t="shared" si="282"/>
        <v>0.00034%</v>
      </c>
      <c r="C6887" t="s">
        <v>10</v>
      </c>
      <c r="D6887" t="s">
        <v>10</v>
      </c>
      <c r="E6887" t="str">
        <f>"$ 2,631"</f>
        <v>$ 2,631</v>
      </c>
      <c r="F6887" s="1">
        <v>2692</v>
      </c>
    </row>
    <row r="6888" spans="1:6">
      <c r="A6888" t="s">
        <v>6867</v>
      </c>
      <c r="B6888" t="str">
        <f t="shared" si="282"/>
        <v>0.00034%</v>
      </c>
      <c r="C6888" t="s">
        <v>10</v>
      </c>
      <c r="D6888" t="s">
        <v>10</v>
      </c>
      <c r="E6888" t="str">
        <f>"$ 2,587"</f>
        <v>$ 2,587</v>
      </c>
      <c r="F6888">
        <v>255</v>
      </c>
    </row>
    <row r="6889" spans="1:6">
      <c r="A6889" t="s">
        <v>6868</v>
      </c>
      <c r="B6889" t="str">
        <f t="shared" si="282"/>
        <v>0.00034%</v>
      </c>
      <c r="C6889" t="s">
        <v>10</v>
      </c>
      <c r="D6889" t="s">
        <v>10</v>
      </c>
      <c r="E6889" t="str">
        <f>"$ 2,604"</f>
        <v>$ 2,604</v>
      </c>
      <c r="F6889" s="1">
        <v>1257</v>
      </c>
    </row>
    <row r="6890" spans="1:6">
      <c r="A6890" t="s">
        <v>6869</v>
      </c>
      <c r="B6890" t="str">
        <f t="shared" si="282"/>
        <v>0.00034%</v>
      </c>
      <c r="C6890" t="s">
        <v>10</v>
      </c>
      <c r="D6890" t="s">
        <v>10</v>
      </c>
      <c r="E6890" t="str">
        <f>"$ 2,656"</f>
        <v>$ 2,656</v>
      </c>
      <c r="F6890">
        <v>120</v>
      </c>
    </row>
    <row r="6891" spans="1:6">
      <c r="A6891" t="s">
        <v>6870</v>
      </c>
      <c r="B6891" t="str">
        <f t="shared" si="282"/>
        <v>0.00034%</v>
      </c>
      <c r="C6891" t="s">
        <v>10</v>
      </c>
      <c r="D6891" t="s">
        <v>10</v>
      </c>
      <c r="E6891" t="str">
        <f>"$ 2,663"</f>
        <v>$ 2,663</v>
      </c>
      <c r="F6891">
        <v>157</v>
      </c>
    </row>
    <row r="6892" spans="1:6">
      <c r="A6892" t="s">
        <v>6871</v>
      </c>
      <c r="B6892" t="str">
        <f t="shared" si="282"/>
        <v>0.00034%</v>
      </c>
      <c r="C6892" t="s">
        <v>10</v>
      </c>
      <c r="D6892" t="s">
        <v>10</v>
      </c>
      <c r="E6892" t="str">
        <f>"$ 2,661"</f>
        <v>$ 2,661</v>
      </c>
      <c r="F6892">
        <v>142</v>
      </c>
    </row>
    <row r="6893" spans="1:6">
      <c r="A6893" t="s">
        <v>6872</v>
      </c>
      <c r="B6893" t="str">
        <f t="shared" si="282"/>
        <v>0.00034%</v>
      </c>
      <c r="C6893" t="s">
        <v>10</v>
      </c>
      <c r="D6893" t="s">
        <v>10</v>
      </c>
      <c r="E6893" t="str">
        <f>"$ 2,617"</f>
        <v>$ 2,617</v>
      </c>
      <c r="F6893">
        <v>522</v>
      </c>
    </row>
    <row r="6894" spans="1:6">
      <c r="A6894" t="s">
        <v>6873</v>
      </c>
      <c r="B6894" t="str">
        <f t="shared" si="282"/>
        <v>0.00034%</v>
      </c>
      <c r="C6894" t="s">
        <v>10</v>
      </c>
      <c r="D6894" t="s">
        <v>10</v>
      </c>
      <c r="E6894" t="str">
        <f>"$ 2,610"</f>
        <v>$ 2,610</v>
      </c>
      <c r="F6894" s="1">
        <v>9605</v>
      </c>
    </row>
    <row r="6895" spans="1:6">
      <c r="A6895" t="s">
        <v>6874</v>
      </c>
      <c r="B6895" t="str">
        <f t="shared" si="282"/>
        <v>0.00034%</v>
      </c>
      <c r="C6895" t="s">
        <v>10</v>
      </c>
      <c r="D6895" t="s">
        <v>10</v>
      </c>
      <c r="E6895" t="str">
        <f>"$ 2,656"</f>
        <v>$ 2,656</v>
      </c>
      <c r="F6895">
        <v>219</v>
      </c>
    </row>
    <row r="6896" spans="1:6">
      <c r="A6896" t="s">
        <v>6875</v>
      </c>
      <c r="B6896" t="str">
        <f t="shared" si="282"/>
        <v>0.00034%</v>
      </c>
      <c r="C6896" t="s">
        <v>10</v>
      </c>
      <c r="D6896" t="s">
        <v>10</v>
      </c>
      <c r="E6896" t="str">
        <f>"$ 2,646"</f>
        <v>$ 2,646</v>
      </c>
      <c r="F6896" s="1">
        <v>5911</v>
      </c>
    </row>
    <row r="6897" spans="1:6">
      <c r="A6897" t="s">
        <v>6876</v>
      </c>
      <c r="B6897" t="str">
        <f t="shared" si="282"/>
        <v>0.00034%</v>
      </c>
      <c r="C6897" t="s">
        <v>10</v>
      </c>
      <c r="D6897" t="s">
        <v>10</v>
      </c>
      <c r="E6897" t="str">
        <f>"$ 2,606"</f>
        <v>$ 2,606</v>
      </c>
      <c r="F6897">
        <v>33</v>
      </c>
    </row>
    <row r="6898" spans="1:6">
      <c r="A6898" t="s">
        <v>6877</v>
      </c>
      <c r="B6898" t="str">
        <f t="shared" si="282"/>
        <v>0.00034%</v>
      </c>
      <c r="C6898" t="s">
        <v>10</v>
      </c>
      <c r="D6898" t="s">
        <v>10</v>
      </c>
      <c r="E6898" t="str">
        <f>"$ 2,591"</f>
        <v>$ 2,591</v>
      </c>
      <c r="F6898">
        <v>427</v>
      </c>
    </row>
    <row r="6899" spans="1:6">
      <c r="A6899" t="s">
        <v>6878</v>
      </c>
      <c r="B6899" t="str">
        <f t="shared" si="282"/>
        <v>0.00034%</v>
      </c>
      <c r="C6899" t="s">
        <v>10</v>
      </c>
      <c r="D6899" t="s">
        <v>10</v>
      </c>
      <c r="E6899" t="str">
        <f>"$ 2,627"</f>
        <v>$ 2,627</v>
      </c>
      <c r="F6899" s="1">
        <v>1321</v>
      </c>
    </row>
    <row r="6900" spans="1:6">
      <c r="A6900" t="s">
        <v>6879</v>
      </c>
      <c r="B6900" t="str">
        <f t="shared" si="282"/>
        <v>0.00034%</v>
      </c>
      <c r="C6900" t="s">
        <v>10</v>
      </c>
      <c r="D6900" t="s">
        <v>10</v>
      </c>
      <c r="E6900" t="str">
        <f>"$ 2,604"</f>
        <v>$ 2,604</v>
      </c>
      <c r="F6900">
        <v>907</v>
      </c>
    </row>
    <row r="6901" spans="1:6">
      <c r="A6901" t="s">
        <v>6880</v>
      </c>
      <c r="B6901" t="str">
        <f t="shared" si="282"/>
        <v>0.00034%</v>
      </c>
      <c r="C6901" t="s">
        <v>10</v>
      </c>
      <c r="D6901" t="s">
        <v>10</v>
      </c>
      <c r="E6901" t="str">
        <f>"$ 2,622"</f>
        <v>$ 2,622</v>
      </c>
      <c r="F6901" s="1">
        <v>1156</v>
      </c>
    </row>
    <row r="6902" spans="1:6">
      <c r="A6902" t="s">
        <v>6881</v>
      </c>
      <c r="B6902" t="str">
        <f t="shared" si="282"/>
        <v>0.00034%</v>
      </c>
      <c r="C6902" t="s">
        <v>10</v>
      </c>
      <c r="D6902" t="s">
        <v>10</v>
      </c>
      <c r="E6902" t="str">
        <f>"$ 2,590"</f>
        <v>$ 2,590</v>
      </c>
      <c r="F6902">
        <v>25</v>
      </c>
    </row>
    <row r="6903" spans="1:6">
      <c r="A6903" t="s">
        <v>6882</v>
      </c>
      <c r="B6903" t="str">
        <f t="shared" si="282"/>
        <v>0.00034%</v>
      </c>
      <c r="C6903" t="s">
        <v>10</v>
      </c>
      <c r="D6903" t="s">
        <v>10</v>
      </c>
      <c r="E6903" t="str">
        <f>"$ 2,641"</f>
        <v>$ 2,641</v>
      </c>
      <c r="F6903" s="1">
        <v>5053</v>
      </c>
    </row>
    <row r="6904" spans="1:6">
      <c r="A6904" t="s">
        <v>6883</v>
      </c>
      <c r="B6904" t="str">
        <f t="shared" si="282"/>
        <v>0.00034%</v>
      </c>
      <c r="C6904" t="s">
        <v>10</v>
      </c>
      <c r="D6904" t="s">
        <v>10</v>
      </c>
      <c r="E6904" t="str">
        <f>"$ 2,638"</f>
        <v>$ 2,638</v>
      </c>
      <c r="F6904">
        <v>364</v>
      </c>
    </row>
    <row r="6905" spans="1:6">
      <c r="A6905" t="s">
        <v>6884</v>
      </c>
      <c r="B6905" t="str">
        <f t="shared" si="282"/>
        <v>0.00034%</v>
      </c>
      <c r="C6905" t="s">
        <v>10</v>
      </c>
      <c r="D6905" t="s">
        <v>10</v>
      </c>
      <c r="E6905" t="str">
        <f>"$ 2,626"</f>
        <v>$ 2,626</v>
      </c>
      <c r="F6905">
        <v>54</v>
      </c>
    </row>
    <row r="6906" spans="1:6">
      <c r="A6906" t="s">
        <v>6885</v>
      </c>
      <c r="B6906" t="str">
        <f t="shared" si="282"/>
        <v>0.00034%</v>
      </c>
      <c r="C6906" t="s">
        <v>10</v>
      </c>
      <c r="D6906" t="s">
        <v>10</v>
      </c>
      <c r="E6906" t="str">
        <f>"$ 2,637"</f>
        <v>$ 2,637</v>
      </c>
      <c r="F6906">
        <v>256</v>
      </c>
    </row>
    <row r="6907" spans="1:6">
      <c r="A6907" t="s">
        <v>6886</v>
      </c>
      <c r="B6907" t="str">
        <f t="shared" si="282"/>
        <v>0.00034%</v>
      </c>
      <c r="C6907" t="s">
        <v>10</v>
      </c>
      <c r="D6907" t="s">
        <v>10</v>
      </c>
      <c r="E6907" t="str">
        <f>"$ 2,613"</f>
        <v>$ 2,613</v>
      </c>
      <c r="F6907">
        <v>545</v>
      </c>
    </row>
    <row r="6908" spans="1:6">
      <c r="A6908" t="s">
        <v>6887</v>
      </c>
      <c r="B6908" t="str">
        <f t="shared" si="282"/>
        <v>0.00034%</v>
      </c>
      <c r="C6908" t="s">
        <v>10</v>
      </c>
      <c r="D6908" t="s">
        <v>10</v>
      </c>
      <c r="E6908" t="str">
        <f>"$ 2,604"</f>
        <v>$ 2,604</v>
      </c>
      <c r="F6908">
        <v>128</v>
      </c>
    </row>
    <row r="6909" spans="1:6">
      <c r="A6909" t="s">
        <v>6888</v>
      </c>
      <c r="B6909" t="str">
        <f t="shared" ref="B6909:B6933" si="283">"0.00034%"</f>
        <v>0.00034%</v>
      </c>
      <c r="C6909" t="s">
        <v>10</v>
      </c>
      <c r="D6909" t="s">
        <v>10</v>
      </c>
      <c r="E6909" t="str">
        <f>"$ 2,623"</f>
        <v>$ 2,623</v>
      </c>
      <c r="F6909">
        <v>300</v>
      </c>
    </row>
    <row r="6910" spans="1:6">
      <c r="A6910" t="s">
        <v>6889</v>
      </c>
      <c r="B6910" t="str">
        <f t="shared" si="283"/>
        <v>0.00034%</v>
      </c>
      <c r="C6910" t="s">
        <v>10</v>
      </c>
      <c r="D6910" t="s">
        <v>10</v>
      </c>
      <c r="E6910" t="str">
        <f>"$ 2,657"</f>
        <v>$ 2,657</v>
      </c>
      <c r="F6910">
        <v>115</v>
      </c>
    </row>
    <row r="6911" spans="1:6">
      <c r="A6911" t="s">
        <v>6890</v>
      </c>
      <c r="B6911" t="str">
        <f t="shared" si="283"/>
        <v>0.00034%</v>
      </c>
      <c r="C6911" t="s">
        <v>10</v>
      </c>
      <c r="D6911" t="s">
        <v>10</v>
      </c>
      <c r="E6911" t="str">
        <f>"$ 2,626"</f>
        <v>$ 2,626</v>
      </c>
      <c r="F6911">
        <v>153</v>
      </c>
    </row>
    <row r="6912" spans="1:6">
      <c r="A6912" t="s">
        <v>6891</v>
      </c>
      <c r="B6912" t="str">
        <f t="shared" si="283"/>
        <v>0.00034%</v>
      </c>
      <c r="C6912" t="s">
        <v>10</v>
      </c>
      <c r="D6912" t="s">
        <v>10</v>
      </c>
      <c r="E6912" t="str">
        <f>"$ 2,606"</f>
        <v>$ 2,606</v>
      </c>
      <c r="F6912">
        <v>304</v>
      </c>
    </row>
    <row r="6913" spans="1:6">
      <c r="A6913" t="s">
        <v>6892</v>
      </c>
      <c r="B6913" t="str">
        <f t="shared" si="283"/>
        <v>0.00034%</v>
      </c>
      <c r="C6913" t="s">
        <v>10</v>
      </c>
      <c r="D6913" t="s">
        <v>10</v>
      </c>
      <c r="E6913" t="str">
        <f>"$ 2,596"</f>
        <v>$ 2,596</v>
      </c>
      <c r="F6913">
        <v>148</v>
      </c>
    </row>
    <row r="6914" spans="1:6">
      <c r="A6914" t="s">
        <v>6893</v>
      </c>
      <c r="B6914" t="str">
        <f t="shared" si="283"/>
        <v>0.00034%</v>
      </c>
      <c r="C6914" t="s">
        <v>10</v>
      </c>
      <c r="D6914" t="s">
        <v>10</v>
      </c>
      <c r="E6914" t="str">
        <f>"$ 2,627"</f>
        <v>$ 2,627</v>
      </c>
      <c r="F6914">
        <v>139</v>
      </c>
    </row>
    <row r="6915" spans="1:6">
      <c r="A6915" t="s">
        <v>6894</v>
      </c>
      <c r="B6915" t="str">
        <f t="shared" si="283"/>
        <v>0.00034%</v>
      </c>
      <c r="C6915" t="s">
        <v>10</v>
      </c>
      <c r="D6915" t="s">
        <v>10</v>
      </c>
      <c r="E6915" t="str">
        <f>"$ 2,663"</f>
        <v>$ 2,663</v>
      </c>
      <c r="F6915">
        <v>210</v>
      </c>
    </row>
    <row r="6916" spans="1:6">
      <c r="A6916" t="s">
        <v>6895</v>
      </c>
      <c r="B6916" t="str">
        <f t="shared" si="283"/>
        <v>0.00034%</v>
      </c>
      <c r="C6916" t="s">
        <v>10</v>
      </c>
      <c r="D6916" t="s">
        <v>10</v>
      </c>
      <c r="E6916" t="str">
        <f>"$ 2,651"</f>
        <v>$ 2,651</v>
      </c>
      <c r="F6916" s="1">
        <v>9336</v>
      </c>
    </row>
    <row r="6917" spans="1:6">
      <c r="A6917" t="s">
        <v>6896</v>
      </c>
      <c r="B6917" t="str">
        <f t="shared" si="283"/>
        <v>0.00034%</v>
      </c>
      <c r="C6917" t="s">
        <v>10</v>
      </c>
      <c r="D6917" t="s">
        <v>10</v>
      </c>
      <c r="E6917" t="str">
        <f>"$ 2,654"</f>
        <v>$ 2,654</v>
      </c>
      <c r="F6917">
        <v>165</v>
      </c>
    </row>
    <row r="6918" spans="1:6">
      <c r="A6918" t="s">
        <v>6897</v>
      </c>
      <c r="B6918" t="str">
        <f t="shared" si="283"/>
        <v>0.00034%</v>
      </c>
      <c r="C6918" t="s">
        <v>10</v>
      </c>
      <c r="D6918" t="s">
        <v>10</v>
      </c>
      <c r="E6918" t="str">
        <f>"$ 2,616"</f>
        <v>$ 2,616</v>
      </c>
      <c r="F6918">
        <v>741</v>
      </c>
    </row>
    <row r="6919" spans="1:6">
      <c r="A6919" t="s">
        <v>6898</v>
      </c>
      <c r="B6919" t="str">
        <f t="shared" si="283"/>
        <v>0.00034%</v>
      </c>
      <c r="C6919" t="s">
        <v>10</v>
      </c>
      <c r="D6919" t="s">
        <v>10</v>
      </c>
      <c r="E6919" t="str">
        <f>"$ 2,608"</f>
        <v>$ 2,608</v>
      </c>
      <c r="F6919">
        <v>843</v>
      </c>
    </row>
    <row r="6920" spans="1:6">
      <c r="A6920" t="s">
        <v>6899</v>
      </c>
      <c r="B6920" t="str">
        <f t="shared" si="283"/>
        <v>0.00034%</v>
      </c>
      <c r="C6920" t="s">
        <v>10</v>
      </c>
      <c r="D6920" t="s">
        <v>10</v>
      </c>
      <c r="E6920" t="str">
        <f>"$ 2,603"</f>
        <v>$ 2,603</v>
      </c>
      <c r="F6920" s="1">
        <v>2721</v>
      </c>
    </row>
    <row r="6921" spans="1:6">
      <c r="A6921" t="s">
        <v>6900</v>
      </c>
      <c r="B6921" t="str">
        <f t="shared" si="283"/>
        <v>0.00034%</v>
      </c>
      <c r="C6921" t="s">
        <v>10</v>
      </c>
      <c r="D6921" t="s">
        <v>10</v>
      </c>
      <c r="E6921" t="str">
        <f>"$ 2,649"</f>
        <v>$ 2,649</v>
      </c>
      <c r="F6921">
        <v>137</v>
      </c>
    </row>
    <row r="6922" spans="1:6">
      <c r="A6922" t="s">
        <v>6901</v>
      </c>
      <c r="B6922" t="str">
        <f t="shared" si="283"/>
        <v>0.00034%</v>
      </c>
      <c r="C6922" t="s">
        <v>10</v>
      </c>
      <c r="D6922" t="s">
        <v>10</v>
      </c>
      <c r="E6922" t="str">
        <f>"$ 2,634"</f>
        <v>$ 2,634</v>
      </c>
      <c r="F6922">
        <v>77</v>
      </c>
    </row>
    <row r="6923" spans="1:6">
      <c r="A6923" t="s">
        <v>6902</v>
      </c>
      <c r="B6923" t="str">
        <f t="shared" si="283"/>
        <v>0.00034%</v>
      </c>
      <c r="C6923" t="s">
        <v>10</v>
      </c>
      <c r="D6923" t="s">
        <v>10</v>
      </c>
      <c r="E6923" t="str">
        <f>"$ 2,608"</f>
        <v>$ 2,608</v>
      </c>
      <c r="F6923">
        <v>75</v>
      </c>
    </row>
    <row r="6924" spans="1:6">
      <c r="A6924" t="s">
        <v>6903</v>
      </c>
      <c r="B6924" t="str">
        <f t="shared" si="283"/>
        <v>0.00034%</v>
      </c>
      <c r="C6924" t="s">
        <v>10</v>
      </c>
      <c r="D6924" t="s">
        <v>10</v>
      </c>
      <c r="E6924" t="str">
        <f>"$ 2,635"</f>
        <v>$ 2,635</v>
      </c>
      <c r="F6924">
        <v>357</v>
      </c>
    </row>
    <row r="6925" spans="1:6">
      <c r="A6925" t="s">
        <v>6904</v>
      </c>
      <c r="B6925" t="str">
        <f t="shared" si="283"/>
        <v>0.00034%</v>
      </c>
      <c r="C6925" t="s">
        <v>10</v>
      </c>
      <c r="D6925" t="s">
        <v>10</v>
      </c>
      <c r="E6925" t="str">
        <f>"$ 2,597"</f>
        <v>$ 2,597</v>
      </c>
      <c r="F6925">
        <v>173</v>
      </c>
    </row>
    <row r="6926" spans="1:6">
      <c r="A6926" t="s">
        <v>6905</v>
      </c>
      <c r="B6926" t="str">
        <f t="shared" si="283"/>
        <v>0.00034%</v>
      </c>
      <c r="C6926" t="s">
        <v>10</v>
      </c>
      <c r="D6926" t="s">
        <v>10</v>
      </c>
      <c r="E6926" t="str">
        <f>"$ 2,612"</f>
        <v>$ 2,612</v>
      </c>
      <c r="F6926">
        <v>79</v>
      </c>
    </row>
    <row r="6927" spans="1:6">
      <c r="A6927" t="s">
        <v>6906</v>
      </c>
      <c r="B6927" t="str">
        <f t="shared" si="283"/>
        <v>0.00034%</v>
      </c>
      <c r="C6927" t="s">
        <v>10</v>
      </c>
      <c r="D6927" t="s">
        <v>10</v>
      </c>
      <c r="E6927" t="str">
        <f>"$ 2,653"</f>
        <v>$ 2,653</v>
      </c>
      <c r="F6927" s="1">
        <v>4607</v>
      </c>
    </row>
    <row r="6928" spans="1:6">
      <c r="A6928" t="s">
        <v>6907</v>
      </c>
      <c r="B6928" t="str">
        <f t="shared" si="283"/>
        <v>0.00034%</v>
      </c>
      <c r="C6928" t="s">
        <v>10</v>
      </c>
      <c r="D6928" t="s">
        <v>10</v>
      </c>
      <c r="E6928" t="str">
        <f>"$ 2,623"</f>
        <v>$ 2,623</v>
      </c>
      <c r="F6928">
        <v>99</v>
      </c>
    </row>
    <row r="6929" spans="1:6">
      <c r="A6929" t="s">
        <v>6908</v>
      </c>
      <c r="B6929" t="str">
        <f t="shared" si="283"/>
        <v>0.00034%</v>
      </c>
      <c r="C6929" t="s">
        <v>10</v>
      </c>
      <c r="D6929" t="s">
        <v>10</v>
      </c>
      <c r="E6929" t="str">
        <f>"$ 2,610"</f>
        <v>$ 2,610</v>
      </c>
      <c r="F6929" s="1">
        <v>1117</v>
      </c>
    </row>
    <row r="6930" spans="1:6">
      <c r="A6930" t="s">
        <v>6909</v>
      </c>
      <c r="B6930" t="str">
        <f t="shared" si="283"/>
        <v>0.00034%</v>
      </c>
      <c r="C6930" t="s">
        <v>10</v>
      </c>
      <c r="D6930" t="s">
        <v>10</v>
      </c>
      <c r="E6930" t="str">
        <f>"$ 2,622"</f>
        <v>$ 2,622</v>
      </c>
      <c r="F6930" s="1">
        <v>1414</v>
      </c>
    </row>
    <row r="6931" spans="1:6">
      <c r="A6931" t="s">
        <v>6910</v>
      </c>
      <c r="B6931" t="str">
        <f t="shared" si="283"/>
        <v>0.00034%</v>
      </c>
      <c r="C6931" t="s">
        <v>10</v>
      </c>
      <c r="D6931" t="s">
        <v>10</v>
      </c>
      <c r="E6931" t="str">
        <f>"$ 2,622"</f>
        <v>$ 2,622</v>
      </c>
      <c r="F6931">
        <v>83</v>
      </c>
    </row>
    <row r="6932" spans="1:6">
      <c r="A6932" t="s">
        <v>6911</v>
      </c>
      <c r="B6932" t="str">
        <f t="shared" si="283"/>
        <v>0.00034%</v>
      </c>
      <c r="C6932" t="s">
        <v>10</v>
      </c>
      <c r="D6932" t="s">
        <v>10</v>
      </c>
      <c r="E6932" t="str">
        <f>"$ 2,641"</f>
        <v>$ 2,641</v>
      </c>
      <c r="F6932">
        <v>479</v>
      </c>
    </row>
    <row r="6933" spans="1:6">
      <c r="A6933" t="s">
        <v>6912</v>
      </c>
      <c r="B6933" t="str">
        <f t="shared" si="283"/>
        <v>0.00034%</v>
      </c>
      <c r="C6933" t="s">
        <v>10</v>
      </c>
      <c r="D6933" t="s">
        <v>10</v>
      </c>
      <c r="E6933" t="str">
        <f>"$ 2,598"</f>
        <v>$ 2,598</v>
      </c>
      <c r="F6933">
        <v>699</v>
      </c>
    </row>
    <row r="6934" spans="1:6">
      <c r="A6934" t="s">
        <v>6913</v>
      </c>
      <c r="B6934" t="str">
        <f t="shared" ref="B6934:B6965" si="284">"0.00033%"</f>
        <v>0.00033%</v>
      </c>
      <c r="C6934" t="s">
        <v>10</v>
      </c>
      <c r="D6934" t="s">
        <v>10</v>
      </c>
      <c r="E6934" t="str">
        <f>"$ 2,517"</f>
        <v>$ 2,517</v>
      </c>
      <c r="F6934">
        <v>93</v>
      </c>
    </row>
    <row r="6935" spans="1:6">
      <c r="A6935" t="s">
        <v>6914</v>
      </c>
      <c r="B6935" t="str">
        <f t="shared" si="284"/>
        <v>0.00033%</v>
      </c>
      <c r="C6935" t="s">
        <v>10</v>
      </c>
      <c r="D6935" t="s">
        <v>10</v>
      </c>
      <c r="E6935" t="str">
        <f>"$ 2,566"</f>
        <v>$ 2,566</v>
      </c>
      <c r="F6935">
        <v>805</v>
      </c>
    </row>
    <row r="6936" spans="1:6">
      <c r="A6936" t="s">
        <v>6915</v>
      </c>
      <c r="B6936" t="str">
        <f t="shared" si="284"/>
        <v>0.00033%</v>
      </c>
      <c r="C6936" t="s">
        <v>10</v>
      </c>
      <c r="D6936" t="s">
        <v>10</v>
      </c>
      <c r="E6936" t="str">
        <f>"$ 2,510"</f>
        <v>$ 2,510</v>
      </c>
      <c r="F6936">
        <v>198</v>
      </c>
    </row>
    <row r="6937" spans="1:6">
      <c r="A6937" t="s">
        <v>6916</v>
      </c>
      <c r="B6937" t="str">
        <f t="shared" si="284"/>
        <v>0.00033%</v>
      </c>
      <c r="C6937" t="s">
        <v>10</v>
      </c>
      <c r="D6937" t="s">
        <v>10</v>
      </c>
      <c r="E6937" t="str">
        <f>"$ 2,543"</f>
        <v>$ 2,543</v>
      </c>
      <c r="F6937">
        <v>49</v>
      </c>
    </row>
    <row r="6938" spans="1:6">
      <c r="A6938" t="s">
        <v>6917</v>
      </c>
      <c r="B6938" t="str">
        <f t="shared" si="284"/>
        <v>0.00033%</v>
      </c>
      <c r="C6938" t="s">
        <v>10</v>
      </c>
      <c r="D6938" t="s">
        <v>10</v>
      </c>
      <c r="E6938" t="str">
        <f>"$ 2,577"</f>
        <v>$ 2,577</v>
      </c>
      <c r="F6938">
        <v>909</v>
      </c>
    </row>
    <row r="6939" spans="1:6">
      <c r="A6939" t="s">
        <v>6918</v>
      </c>
      <c r="B6939" t="str">
        <f t="shared" si="284"/>
        <v>0.00033%</v>
      </c>
      <c r="C6939" t="s">
        <v>10</v>
      </c>
      <c r="D6939" t="s">
        <v>10</v>
      </c>
      <c r="E6939" t="str">
        <f>"$ 2,565"</f>
        <v>$ 2,565</v>
      </c>
      <c r="F6939">
        <v>268</v>
      </c>
    </row>
    <row r="6940" spans="1:6">
      <c r="A6940" t="s">
        <v>6919</v>
      </c>
      <c r="B6940" t="str">
        <f t="shared" si="284"/>
        <v>0.00033%</v>
      </c>
      <c r="C6940" t="s">
        <v>10</v>
      </c>
      <c r="D6940" t="s">
        <v>10</v>
      </c>
      <c r="E6940" t="str">
        <f>"$ 2,568"</f>
        <v>$ 2,568</v>
      </c>
      <c r="F6940">
        <v>99</v>
      </c>
    </row>
    <row r="6941" spans="1:6">
      <c r="A6941" t="s">
        <v>6920</v>
      </c>
      <c r="B6941" t="str">
        <f t="shared" si="284"/>
        <v>0.00033%</v>
      </c>
      <c r="C6941" t="s">
        <v>10</v>
      </c>
      <c r="D6941" t="s">
        <v>10</v>
      </c>
      <c r="E6941" t="str">
        <f>"$ 2,551"</f>
        <v>$ 2,551</v>
      </c>
      <c r="F6941">
        <v>647</v>
      </c>
    </row>
    <row r="6942" spans="1:6">
      <c r="A6942" t="s">
        <v>6921</v>
      </c>
      <c r="B6942" t="str">
        <f t="shared" si="284"/>
        <v>0.00033%</v>
      </c>
      <c r="C6942" t="s">
        <v>10</v>
      </c>
      <c r="D6942" t="s">
        <v>10</v>
      </c>
      <c r="E6942" t="str">
        <f>"$ 2,545"</f>
        <v>$ 2,545</v>
      </c>
      <c r="F6942">
        <v>77</v>
      </c>
    </row>
    <row r="6943" spans="1:6">
      <c r="A6943" t="s">
        <v>6922</v>
      </c>
      <c r="B6943" t="str">
        <f t="shared" si="284"/>
        <v>0.00033%</v>
      </c>
      <c r="C6943" t="s">
        <v>10</v>
      </c>
      <c r="D6943" t="s">
        <v>10</v>
      </c>
      <c r="E6943" t="str">
        <f>"$ 2,538"</f>
        <v>$ 2,538</v>
      </c>
      <c r="F6943">
        <v>212</v>
      </c>
    </row>
    <row r="6944" spans="1:6">
      <c r="A6944" t="s">
        <v>6923</v>
      </c>
      <c r="B6944" t="str">
        <f t="shared" si="284"/>
        <v>0.00033%</v>
      </c>
      <c r="C6944" t="s">
        <v>10</v>
      </c>
      <c r="D6944" t="s">
        <v>10</v>
      </c>
      <c r="E6944" t="str">
        <f>"$ 2,563"</f>
        <v>$ 2,563</v>
      </c>
      <c r="F6944">
        <v>313</v>
      </c>
    </row>
    <row r="6945" spans="1:6">
      <c r="A6945" t="s">
        <v>6924</v>
      </c>
      <c r="B6945" t="str">
        <f t="shared" si="284"/>
        <v>0.00033%</v>
      </c>
      <c r="C6945" t="s">
        <v>10</v>
      </c>
      <c r="D6945" t="s">
        <v>10</v>
      </c>
      <c r="E6945" t="str">
        <f>"$ 2,521"</f>
        <v>$ 2,521</v>
      </c>
      <c r="F6945">
        <v>115</v>
      </c>
    </row>
    <row r="6946" spans="1:6">
      <c r="A6946" t="s">
        <v>6925</v>
      </c>
      <c r="B6946" t="str">
        <f t="shared" si="284"/>
        <v>0.00033%</v>
      </c>
      <c r="C6946" t="s">
        <v>10</v>
      </c>
      <c r="D6946" t="s">
        <v>10</v>
      </c>
      <c r="E6946" t="str">
        <f>"$ 2,522"</f>
        <v>$ 2,522</v>
      </c>
      <c r="F6946">
        <v>66</v>
      </c>
    </row>
    <row r="6947" spans="1:6">
      <c r="A6947" t="s">
        <v>6926</v>
      </c>
      <c r="B6947" t="str">
        <f t="shared" si="284"/>
        <v>0.00033%</v>
      </c>
      <c r="C6947" t="s">
        <v>10</v>
      </c>
      <c r="D6947" t="s">
        <v>10</v>
      </c>
      <c r="E6947" t="str">
        <f>"$ 2,525"</f>
        <v>$ 2,525</v>
      </c>
      <c r="F6947">
        <v>49</v>
      </c>
    </row>
    <row r="6948" spans="1:6">
      <c r="A6948" t="s">
        <v>6927</v>
      </c>
      <c r="B6948" t="str">
        <f t="shared" si="284"/>
        <v>0.00033%</v>
      </c>
      <c r="C6948" t="s">
        <v>10</v>
      </c>
      <c r="D6948" t="s">
        <v>10</v>
      </c>
      <c r="E6948" t="str">
        <f>"$ 2,570"</f>
        <v>$ 2,570</v>
      </c>
      <c r="F6948">
        <v>33</v>
      </c>
    </row>
    <row r="6949" spans="1:6">
      <c r="A6949" t="s">
        <v>6928</v>
      </c>
      <c r="B6949" t="str">
        <f t="shared" si="284"/>
        <v>0.00033%</v>
      </c>
      <c r="C6949" t="s">
        <v>10</v>
      </c>
      <c r="D6949" t="s">
        <v>10</v>
      </c>
      <c r="E6949" t="str">
        <f>"$ 2,516"</f>
        <v>$ 2,516</v>
      </c>
      <c r="F6949">
        <v>271</v>
      </c>
    </row>
    <row r="6950" spans="1:6">
      <c r="A6950" t="s">
        <v>6929</v>
      </c>
      <c r="B6950" t="str">
        <f t="shared" si="284"/>
        <v>0.00033%</v>
      </c>
      <c r="C6950" t="s">
        <v>10</v>
      </c>
      <c r="D6950" t="s">
        <v>10</v>
      </c>
      <c r="E6950" t="str">
        <f>"$ 2,564"</f>
        <v>$ 2,564</v>
      </c>
      <c r="F6950">
        <v>110</v>
      </c>
    </row>
    <row r="6951" spans="1:6">
      <c r="A6951" t="s">
        <v>6930</v>
      </c>
      <c r="B6951" t="str">
        <f t="shared" si="284"/>
        <v>0.00033%</v>
      </c>
      <c r="C6951" t="s">
        <v>10</v>
      </c>
      <c r="D6951" t="s">
        <v>10</v>
      </c>
      <c r="E6951" t="str">
        <f>"$ 2,520"</f>
        <v>$ 2,520</v>
      </c>
      <c r="F6951" s="1">
        <v>4797</v>
      </c>
    </row>
    <row r="6952" spans="1:6">
      <c r="A6952" t="s">
        <v>6931</v>
      </c>
      <c r="B6952" t="str">
        <f t="shared" si="284"/>
        <v>0.00033%</v>
      </c>
      <c r="C6952" t="s">
        <v>10</v>
      </c>
      <c r="D6952" t="s">
        <v>10</v>
      </c>
      <c r="E6952" t="str">
        <f>"$ 2,586"</f>
        <v>$ 2,586</v>
      </c>
      <c r="F6952" s="1">
        <v>1119</v>
      </c>
    </row>
    <row r="6953" spans="1:6">
      <c r="A6953" t="s">
        <v>6932</v>
      </c>
      <c r="B6953" t="str">
        <f t="shared" si="284"/>
        <v>0.00033%</v>
      </c>
      <c r="C6953" t="s">
        <v>10</v>
      </c>
      <c r="D6953" t="s">
        <v>10</v>
      </c>
      <c r="E6953" t="str">
        <f>"$ 2,586"</f>
        <v>$ 2,586</v>
      </c>
      <c r="F6953">
        <v>14</v>
      </c>
    </row>
    <row r="6954" spans="1:6">
      <c r="A6954" t="s">
        <v>6933</v>
      </c>
      <c r="B6954" t="str">
        <f t="shared" si="284"/>
        <v>0.00033%</v>
      </c>
      <c r="C6954" t="s">
        <v>10</v>
      </c>
      <c r="D6954" t="s">
        <v>10</v>
      </c>
      <c r="E6954" t="str">
        <f>"$ 2,556"</f>
        <v>$ 2,556</v>
      </c>
      <c r="F6954">
        <v>94</v>
      </c>
    </row>
    <row r="6955" spans="1:6">
      <c r="A6955" t="s">
        <v>6934</v>
      </c>
      <c r="B6955" t="str">
        <f t="shared" si="284"/>
        <v>0.00033%</v>
      </c>
      <c r="C6955" t="s">
        <v>10</v>
      </c>
      <c r="D6955" t="s">
        <v>10</v>
      </c>
      <c r="E6955" t="str">
        <f>"$ 2,534"</f>
        <v>$ 2,534</v>
      </c>
      <c r="F6955" s="1">
        <v>11547</v>
      </c>
    </row>
    <row r="6956" spans="1:6">
      <c r="A6956" t="s">
        <v>6935</v>
      </c>
      <c r="B6956" t="str">
        <f t="shared" si="284"/>
        <v>0.00033%</v>
      </c>
      <c r="C6956" t="s">
        <v>10</v>
      </c>
      <c r="D6956" t="s">
        <v>10</v>
      </c>
      <c r="E6956" t="str">
        <f>"$ 2,526"</f>
        <v>$ 2,526</v>
      </c>
      <c r="F6956" s="1">
        <v>3876</v>
      </c>
    </row>
    <row r="6957" spans="1:6">
      <c r="A6957" t="s">
        <v>6936</v>
      </c>
      <c r="B6957" t="str">
        <f t="shared" si="284"/>
        <v>0.00033%</v>
      </c>
      <c r="C6957" t="s">
        <v>10</v>
      </c>
      <c r="D6957" t="s">
        <v>10</v>
      </c>
      <c r="E6957" t="str">
        <f>"$ 2,530"</f>
        <v>$ 2,530</v>
      </c>
      <c r="F6957">
        <v>51</v>
      </c>
    </row>
    <row r="6958" spans="1:6">
      <c r="A6958" t="s">
        <v>6937</v>
      </c>
      <c r="B6958" t="str">
        <f t="shared" si="284"/>
        <v>0.00033%</v>
      </c>
      <c r="C6958" t="s">
        <v>10</v>
      </c>
      <c r="D6958" t="s">
        <v>10</v>
      </c>
      <c r="E6958" t="str">
        <f>"$ 2,576"</f>
        <v>$ 2,576</v>
      </c>
      <c r="F6958">
        <v>486</v>
      </c>
    </row>
    <row r="6959" spans="1:6">
      <c r="A6959" t="s">
        <v>6938</v>
      </c>
      <c r="B6959" t="str">
        <f t="shared" si="284"/>
        <v>0.00033%</v>
      </c>
      <c r="C6959" t="s">
        <v>10</v>
      </c>
      <c r="D6959" t="s">
        <v>10</v>
      </c>
      <c r="E6959" t="str">
        <f>"$ 2,531"</f>
        <v>$ 2,531</v>
      </c>
      <c r="F6959">
        <v>89</v>
      </c>
    </row>
    <row r="6960" spans="1:6">
      <c r="A6960" t="s">
        <v>6939</v>
      </c>
      <c r="B6960" t="str">
        <f t="shared" si="284"/>
        <v>0.00033%</v>
      </c>
      <c r="C6960" t="s">
        <v>10</v>
      </c>
      <c r="D6960" t="s">
        <v>10</v>
      </c>
      <c r="E6960" t="str">
        <f>"$ 2,512"</f>
        <v>$ 2,512</v>
      </c>
      <c r="F6960">
        <v>291</v>
      </c>
    </row>
    <row r="6961" spans="1:6">
      <c r="A6961" t="s">
        <v>6940</v>
      </c>
      <c r="B6961" t="str">
        <f t="shared" si="284"/>
        <v>0.00033%</v>
      </c>
      <c r="C6961" t="s">
        <v>10</v>
      </c>
      <c r="D6961" t="s">
        <v>10</v>
      </c>
      <c r="E6961" t="str">
        <f>"$ 2,573"</f>
        <v>$ 2,573</v>
      </c>
      <c r="F6961">
        <v>211</v>
      </c>
    </row>
    <row r="6962" spans="1:6">
      <c r="A6962" t="s">
        <v>6941</v>
      </c>
      <c r="B6962" t="str">
        <f t="shared" si="284"/>
        <v>0.00033%</v>
      </c>
      <c r="C6962" t="s">
        <v>10</v>
      </c>
      <c r="D6962" t="s">
        <v>10</v>
      </c>
      <c r="E6962" t="str">
        <f>"$ 2,519"</f>
        <v>$ 2,519</v>
      </c>
      <c r="F6962">
        <v>273</v>
      </c>
    </row>
    <row r="6963" spans="1:6">
      <c r="A6963" t="s">
        <v>6942</v>
      </c>
      <c r="B6963" t="str">
        <f t="shared" si="284"/>
        <v>0.00033%</v>
      </c>
      <c r="C6963" t="s">
        <v>10</v>
      </c>
      <c r="D6963" t="s">
        <v>10</v>
      </c>
      <c r="E6963" t="str">
        <f>"$ 2,555"</f>
        <v>$ 2,555</v>
      </c>
      <c r="F6963">
        <v>42</v>
      </c>
    </row>
    <row r="6964" spans="1:6">
      <c r="A6964" t="s">
        <v>6943</v>
      </c>
      <c r="B6964" t="str">
        <f t="shared" si="284"/>
        <v>0.00033%</v>
      </c>
      <c r="C6964" t="s">
        <v>10</v>
      </c>
      <c r="D6964" t="s">
        <v>10</v>
      </c>
      <c r="E6964" t="str">
        <f>"$ 2,554"</f>
        <v>$ 2,554</v>
      </c>
      <c r="F6964">
        <v>82</v>
      </c>
    </row>
    <row r="6965" spans="1:6">
      <c r="A6965" t="s">
        <v>6944</v>
      </c>
      <c r="B6965" t="str">
        <f t="shared" si="284"/>
        <v>0.00033%</v>
      </c>
      <c r="C6965" t="s">
        <v>10</v>
      </c>
      <c r="D6965" t="s">
        <v>10</v>
      </c>
      <c r="E6965" t="str">
        <f>"$ 2,551"</f>
        <v>$ 2,551</v>
      </c>
      <c r="F6965">
        <v>544</v>
      </c>
    </row>
    <row r="6966" spans="1:6">
      <c r="A6966" t="s">
        <v>6945</v>
      </c>
      <c r="B6966" t="str">
        <f t="shared" ref="B6966:B6989" si="285">"0.00033%"</f>
        <v>0.00033%</v>
      </c>
      <c r="C6966" t="s">
        <v>10</v>
      </c>
      <c r="D6966" t="s">
        <v>10</v>
      </c>
      <c r="E6966" t="str">
        <f>"$ 2,552"</f>
        <v>$ 2,552</v>
      </c>
      <c r="F6966">
        <v>379</v>
      </c>
    </row>
    <row r="6967" spans="1:6">
      <c r="A6967" t="s">
        <v>6946</v>
      </c>
      <c r="B6967" t="str">
        <f t="shared" si="285"/>
        <v>0.00033%</v>
      </c>
      <c r="C6967" t="s">
        <v>10</v>
      </c>
      <c r="D6967" t="s">
        <v>10</v>
      </c>
      <c r="E6967" t="str">
        <f>"$ 2,537"</f>
        <v>$ 2,537</v>
      </c>
      <c r="F6967">
        <v>115</v>
      </c>
    </row>
    <row r="6968" spans="1:6">
      <c r="A6968" t="s">
        <v>6947</v>
      </c>
      <c r="B6968" t="str">
        <f t="shared" si="285"/>
        <v>0.00033%</v>
      </c>
      <c r="C6968" t="s">
        <v>10</v>
      </c>
      <c r="D6968" t="s">
        <v>10</v>
      </c>
      <c r="E6968" t="str">
        <f>"$ 2,585"</f>
        <v>$ 2,585</v>
      </c>
      <c r="F6968">
        <v>340</v>
      </c>
    </row>
    <row r="6969" spans="1:6">
      <c r="A6969" t="s">
        <v>6948</v>
      </c>
      <c r="B6969" t="str">
        <f t="shared" si="285"/>
        <v>0.00033%</v>
      </c>
      <c r="C6969" t="s">
        <v>10</v>
      </c>
      <c r="D6969" t="s">
        <v>10</v>
      </c>
      <c r="E6969" t="str">
        <f>"$ 2,566"</f>
        <v>$ 2,566</v>
      </c>
      <c r="F6969" s="1">
        <v>1853</v>
      </c>
    </row>
    <row r="6970" spans="1:6">
      <c r="A6970" t="s">
        <v>6949</v>
      </c>
      <c r="B6970" t="str">
        <f t="shared" si="285"/>
        <v>0.00033%</v>
      </c>
      <c r="C6970" t="s">
        <v>10</v>
      </c>
      <c r="D6970" t="s">
        <v>10</v>
      </c>
      <c r="E6970" t="str">
        <f>"$ 2,535"</f>
        <v>$ 2,535</v>
      </c>
      <c r="F6970">
        <v>99</v>
      </c>
    </row>
    <row r="6971" spans="1:6">
      <c r="A6971" t="s">
        <v>6950</v>
      </c>
      <c r="B6971" t="str">
        <f t="shared" si="285"/>
        <v>0.00033%</v>
      </c>
      <c r="C6971" t="s">
        <v>10</v>
      </c>
      <c r="D6971" t="s">
        <v>10</v>
      </c>
      <c r="E6971" t="str">
        <f>"$ 2,585"</f>
        <v>$ 2,585</v>
      </c>
      <c r="F6971">
        <v>82</v>
      </c>
    </row>
    <row r="6972" spans="1:6">
      <c r="A6972" t="s">
        <v>6951</v>
      </c>
      <c r="B6972" t="str">
        <f t="shared" si="285"/>
        <v>0.00033%</v>
      </c>
      <c r="C6972" t="s">
        <v>10</v>
      </c>
      <c r="D6972" t="s">
        <v>10</v>
      </c>
      <c r="E6972" t="str">
        <f>"$ 2,531"</f>
        <v>$ 2,531</v>
      </c>
      <c r="F6972">
        <v>439</v>
      </c>
    </row>
    <row r="6973" spans="1:6">
      <c r="A6973" t="s">
        <v>6952</v>
      </c>
      <c r="B6973" t="str">
        <f t="shared" si="285"/>
        <v>0.00033%</v>
      </c>
      <c r="C6973" t="s">
        <v>10</v>
      </c>
      <c r="D6973" t="s">
        <v>10</v>
      </c>
      <c r="E6973" t="str">
        <f>"$ 2,525"</f>
        <v>$ 2,525</v>
      </c>
      <c r="F6973">
        <v>67</v>
      </c>
    </row>
    <row r="6974" spans="1:6">
      <c r="A6974" t="s">
        <v>6953</v>
      </c>
      <c r="B6974" t="str">
        <f t="shared" si="285"/>
        <v>0.00033%</v>
      </c>
      <c r="C6974" t="s">
        <v>10</v>
      </c>
      <c r="D6974" t="s">
        <v>10</v>
      </c>
      <c r="E6974" t="str">
        <f>"$ 2,578"</f>
        <v>$ 2,578</v>
      </c>
      <c r="F6974" s="1">
        <v>1515</v>
      </c>
    </row>
    <row r="6975" spans="1:6">
      <c r="A6975" t="s">
        <v>6954</v>
      </c>
      <c r="B6975" t="str">
        <f t="shared" si="285"/>
        <v>0.00033%</v>
      </c>
      <c r="C6975" t="s">
        <v>10</v>
      </c>
      <c r="D6975" t="s">
        <v>10</v>
      </c>
      <c r="E6975" t="str">
        <f>"$ 2,537"</f>
        <v>$ 2,537</v>
      </c>
      <c r="F6975">
        <v>82</v>
      </c>
    </row>
    <row r="6976" spans="1:6">
      <c r="A6976" t="s">
        <v>6955</v>
      </c>
      <c r="B6976" t="str">
        <f t="shared" si="285"/>
        <v>0.00033%</v>
      </c>
      <c r="C6976" t="s">
        <v>10</v>
      </c>
      <c r="D6976" t="s">
        <v>10</v>
      </c>
      <c r="E6976" t="str">
        <f>"$ 2,546"</f>
        <v>$ 2,546</v>
      </c>
      <c r="F6976">
        <v>66</v>
      </c>
    </row>
    <row r="6977" spans="1:6">
      <c r="A6977" t="s">
        <v>6956</v>
      </c>
      <c r="B6977" t="str">
        <f t="shared" si="285"/>
        <v>0.00033%</v>
      </c>
      <c r="C6977" t="s">
        <v>10</v>
      </c>
      <c r="D6977" t="s">
        <v>10</v>
      </c>
      <c r="E6977" t="str">
        <f>"$ 2,572"</f>
        <v>$ 2,572</v>
      </c>
      <c r="F6977">
        <v>629</v>
      </c>
    </row>
    <row r="6978" spans="1:6">
      <c r="A6978" t="s">
        <v>6957</v>
      </c>
      <c r="B6978" t="str">
        <f t="shared" si="285"/>
        <v>0.00033%</v>
      </c>
      <c r="C6978" t="s">
        <v>10</v>
      </c>
      <c r="D6978" t="s">
        <v>10</v>
      </c>
      <c r="E6978" t="str">
        <f>"$ 2,572"</f>
        <v>$ 2,572</v>
      </c>
      <c r="F6978">
        <v>167</v>
      </c>
    </row>
    <row r="6979" spans="1:6">
      <c r="A6979" t="s">
        <v>6958</v>
      </c>
      <c r="B6979" t="str">
        <f t="shared" si="285"/>
        <v>0.00033%</v>
      </c>
      <c r="C6979" t="s">
        <v>10</v>
      </c>
      <c r="D6979" t="s">
        <v>10</v>
      </c>
      <c r="E6979" t="str">
        <f>"$ 2,557"</f>
        <v>$ 2,557</v>
      </c>
      <c r="F6979">
        <v>140</v>
      </c>
    </row>
    <row r="6980" spans="1:6">
      <c r="A6980" t="s">
        <v>6959</v>
      </c>
      <c r="B6980" t="str">
        <f t="shared" si="285"/>
        <v>0.00033%</v>
      </c>
      <c r="C6980" t="s">
        <v>10</v>
      </c>
      <c r="D6980" t="s">
        <v>10</v>
      </c>
      <c r="E6980" t="str">
        <f>"$ 2,545"</f>
        <v>$ 2,545</v>
      </c>
      <c r="F6980">
        <v>81</v>
      </c>
    </row>
    <row r="6981" spans="1:6">
      <c r="A6981" t="s">
        <v>6960</v>
      </c>
      <c r="B6981" t="str">
        <f t="shared" si="285"/>
        <v>0.00033%</v>
      </c>
      <c r="C6981" t="s">
        <v>10</v>
      </c>
      <c r="D6981" t="s">
        <v>10</v>
      </c>
      <c r="E6981" t="str">
        <f>"$ 2,532"</f>
        <v>$ 2,532</v>
      </c>
      <c r="F6981" s="1">
        <v>5237</v>
      </c>
    </row>
    <row r="6982" spans="1:6">
      <c r="A6982" t="s">
        <v>6961</v>
      </c>
      <c r="B6982" t="str">
        <f t="shared" si="285"/>
        <v>0.00033%</v>
      </c>
      <c r="C6982" t="s">
        <v>10</v>
      </c>
      <c r="D6982" t="s">
        <v>10</v>
      </c>
      <c r="E6982" t="str">
        <f>"$ 2,565"</f>
        <v>$ 2,565</v>
      </c>
      <c r="F6982" s="1">
        <v>2834</v>
      </c>
    </row>
    <row r="6983" spans="1:6">
      <c r="A6983" t="s">
        <v>6962</v>
      </c>
      <c r="B6983" t="str">
        <f t="shared" si="285"/>
        <v>0.00033%</v>
      </c>
      <c r="C6983" t="s">
        <v>10</v>
      </c>
      <c r="D6983" t="s">
        <v>10</v>
      </c>
      <c r="E6983" t="str">
        <f>"$ 2,527"</f>
        <v>$ 2,527</v>
      </c>
      <c r="F6983">
        <v>75</v>
      </c>
    </row>
    <row r="6984" spans="1:6">
      <c r="A6984" t="s">
        <v>6963</v>
      </c>
      <c r="B6984" t="str">
        <f t="shared" si="285"/>
        <v>0.00033%</v>
      </c>
      <c r="C6984" t="s">
        <v>10</v>
      </c>
      <c r="D6984" t="s">
        <v>10</v>
      </c>
      <c r="E6984" t="str">
        <f>"$ 2,512"</f>
        <v>$ 2,512</v>
      </c>
      <c r="F6984" s="1">
        <v>1315</v>
      </c>
    </row>
    <row r="6985" spans="1:6">
      <c r="A6985" t="s">
        <v>6964</v>
      </c>
      <c r="B6985" t="str">
        <f t="shared" si="285"/>
        <v>0.00033%</v>
      </c>
      <c r="C6985" t="s">
        <v>10</v>
      </c>
      <c r="D6985" t="s">
        <v>10</v>
      </c>
      <c r="E6985" t="str">
        <f>"$ 2,581"</f>
        <v>$ 2,581</v>
      </c>
      <c r="F6985">
        <v>267</v>
      </c>
    </row>
    <row r="6986" spans="1:6">
      <c r="A6986" t="s">
        <v>6965</v>
      </c>
      <c r="B6986" t="str">
        <f t="shared" si="285"/>
        <v>0.00033%</v>
      </c>
      <c r="C6986" t="s">
        <v>10</v>
      </c>
      <c r="D6986" t="s">
        <v>10</v>
      </c>
      <c r="E6986" t="str">
        <f>"$ 2,569"</f>
        <v>$ 2,569</v>
      </c>
      <c r="F6986" s="1">
        <v>1161</v>
      </c>
    </row>
    <row r="6987" spans="1:6">
      <c r="A6987" t="s">
        <v>6966</v>
      </c>
      <c r="B6987" t="str">
        <f t="shared" si="285"/>
        <v>0.00033%</v>
      </c>
      <c r="C6987" t="s">
        <v>10</v>
      </c>
      <c r="D6987" t="s">
        <v>10</v>
      </c>
      <c r="E6987" t="str">
        <f>"$ 2,551"</f>
        <v>$ 2,551</v>
      </c>
      <c r="F6987">
        <v>410</v>
      </c>
    </row>
    <row r="6988" spans="1:6">
      <c r="A6988" t="s">
        <v>6967</v>
      </c>
      <c r="B6988" t="str">
        <f t="shared" si="285"/>
        <v>0.00033%</v>
      </c>
      <c r="C6988" t="s">
        <v>10</v>
      </c>
      <c r="D6988" t="s">
        <v>10</v>
      </c>
      <c r="E6988" t="str">
        <f>"$ 2,511"</f>
        <v>$ 2,511</v>
      </c>
      <c r="F6988">
        <v>818</v>
      </c>
    </row>
    <row r="6989" spans="1:6">
      <c r="A6989" t="s">
        <v>6111</v>
      </c>
      <c r="B6989" t="str">
        <f t="shared" si="285"/>
        <v>0.00033%</v>
      </c>
      <c r="C6989" t="s">
        <v>10</v>
      </c>
      <c r="D6989" t="s">
        <v>10</v>
      </c>
      <c r="E6989" t="str">
        <f>"$ 2,554"</f>
        <v>$ 2,554</v>
      </c>
      <c r="F6989">
        <v>399</v>
      </c>
    </row>
    <row r="6990" spans="1:6">
      <c r="A6990" t="s">
        <v>6968</v>
      </c>
      <c r="B6990" t="str">
        <f t="shared" ref="B6990:B7025" si="286">"0.00032%"</f>
        <v>0.00032%</v>
      </c>
      <c r="C6990" t="s">
        <v>10</v>
      </c>
      <c r="D6990" t="s">
        <v>10</v>
      </c>
      <c r="E6990" t="str">
        <f>"$ 2,441"</f>
        <v>$ 2,441</v>
      </c>
      <c r="F6990">
        <v>202</v>
      </c>
    </row>
    <row r="6991" spans="1:6">
      <c r="A6991" t="s">
        <v>6969</v>
      </c>
      <c r="B6991" t="str">
        <f t="shared" si="286"/>
        <v>0.00032%</v>
      </c>
      <c r="C6991" t="s">
        <v>10</v>
      </c>
      <c r="D6991" t="s">
        <v>10</v>
      </c>
      <c r="E6991" t="str">
        <f>"$ 2,450"</f>
        <v>$ 2,450</v>
      </c>
      <c r="F6991">
        <v>188</v>
      </c>
    </row>
    <row r="6992" spans="1:6">
      <c r="A6992" t="s">
        <v>6970</v>
      </c>
      <c r="B6992" t="str">
        <f t="shared" si="286"/>
        <v>0.00032%</v>
      </c>
      <c r="C6992" t="s">
        <v>10</v>
      </c>
      <c r="D6992" t="s">
        <v>10</v>
      </c>
      <c r="E6992" t="str">
        <f>"$ 2,443"</f>
        <v>$ 2,443</v>
      </c>
      <c r="F6992">
        <v>361</v>
      </c>
    </row>
    <row r="6993" spans="1:6">
      <c r="A6993" t="s">
        <v>6971</v>
      </c>
      <c r="B6993" t="str">
        <f t="shared" si="286"/>
        <v>0.00032%</v>
      </c>
      <c r="C6993" t="s">
        <v>10</v>
      </c>
      <c r="D6993" t="s">
        <v>10</v>
      </c>
      <c r="E6993" t="str">
        <f>"$ 2,456"</f>
        <v>$ 2,456</v>
      </c>
      <c r="F6993" s="1">
        <v>4485</v>
      </c>
    </row>
    <row r="6994" spans="1:6">
      <c r="A6994" t="s">
        <v>6972</v>
      </c>
      <c r="B6994" t="str">
        <f t="shared" si="286"/>
        <v>0.00032%</v>
      </c>
      <c r="C6994" t="s">
        <v>10</v>
      </c>
      <c r="D6994" t="s">
        <v>10</v>
      </c>
      <c r="E6994" t="str">
        <f>"$ 2,442"</f>
        <v>$ 2,442</v>
      </c>
      <c r="F6994" s="1">
        <v>2153</v>
      </c>
    </row>
    <row r="6995" spans="1:6">
      <c r="A6995" t="s">
        <v>6973</v>
      </c>
      <c r="B6995" t="str">
        <f t="shared" si="286"/>
        <v>0.00032%</v>
      </c>
      <c r="C6995" t="s">
        <v>10</v>
      </c>
      <c r="D6995" t="s">
        <v>10</v>
      </c>
      <c r="E6995" t="str">
        <f>"$ 2,486"</f>
        <v>$ 2,486</v>
      </c>
      <c r="F6995">
        <v>106</v>
      </c>
    </row>
    <row r="6996" spans="1:6">
      <c r="A6996" t="s">
        <v>6974</v>
      </c>
      <c r="B6996" t="str">
        <f t="shared" si="286"/>
        <v>0.00032%</v>
      </c>
      <c r="C6996" t="s">
        <v>10</v>
      </c>
      <c r="D6996" t="s">
        <v>10</v>
      </c>
      <c r="E6996" t="str">
        <f>"$ 2,493"</f>
        <v>$ 2,493</v>
      </c>
      <c r="F6996">
        <v>128</v>
      </c>
    </row>
    <row r="6997" spans="1:6">
      <c r="A6997" t="s">
        <v>6975</v>
      </c>
      <c r="B6997" t="str">
        <f t="shared" si="286"/>
        <v>0.00032%</v>
      </c>
      <c r="C6997" t="s">
        <v>10</v>
      </c>
      <c r="D6997" t="s">
        <v>10</v>
      </c>
      <c r="E6997" t="str">
        <f>"$ 2,495"</f>
        <v>$ 2,495</v>
      </c>
      <c r="F6997">
        <v>64</v>
      </c>
    </row>
    <row r="6998" spans="1:6">
      <c r="A6998" t="s">
        <v>6976</v>
      </c>
      <c r="B6998" t="str">
        <f t="shared" si="286"/>
        <v>0.00032%</v>
      </c>
      <c r="C6998" t="s">
        <v>10</v>
      </c>
      <c r="D6998" t="s">
        <v>10</v>
      </c>
      <c r="E6998" t="str">
        <f>"$ 2,470"</f>
        <v>$ 2,470</v>
      </c>
      <c r="F6998" s="1">
        <v>1580</v>
      </c>
    </row>
    <row r="6999" spans="1:6">
      <c r="A6999" t="s">
        <v>6977</v>
      </c>
      <c r="B6999" t="str">
        <f t="shared" si="286"/>
        <v>0.00032%</v>
      </c>
      <c r="C6999" t="s">
        <v>10</v>
      </c>
      <c r="D6999" t="s">
        <v>10</v>
      </c>
      <c r="E6999" t="str">
        <f>"$ 2,467"</f>
        <v>$ 2,467</v>
      </c>
      <c r="F6999">
        <v>594</v>
      </c>
    </row>
    <row r="7000" spans="1:6">
      <c r="A7000" t="s">
        <v>6978</v>
      </c>
      <c r="B7000" t="str">
        <f t="shared" si="286"/>
        <v>0.00032%</v>
      </c>
      <c r="C7000" t="s">
        <v>10</v>
      </c>
      <c r="D7000" t="s">
        <v>10</v>
      </c>
      <c r="E7000" t="str">
        <f>"$ 2,506"</f>
        <v>$ 2,506</v>
      </c>
      <c r="F7000">
        <v>115</v>
      </c>
    </row>
    <row r="7001" spans="1:6">
      <c r="A7001" t="s">
        <v>6979</v>
      </c>
      <c r="B7001" t="str">
        <f t="shared" si="286"/>
        <v>0.00032%</v>
      </c>
      <c r="C7001" t="s">
        <v>10</v>
      </c>
      <c r="D7001" t="s">
        <v>10</v>
      </c>
      <c r="E7001" t="str">
        <f>"$ 2,453"</f>
        <v>$ 2,453</v>
      </c>
      <c r="F7001" s="1">
        <v>1045</v>
      </c>
    </row>
    <row r="7002" spans="1:6">
      <c r="A7002" t="s">
        <v>6980</v>
      </c>
      <c r="B7002" t="str">
        <f t="shared" si="286"/>
        <v>0.00032%</v>
      </c>
      <c r="C7002" t="s">
        <v>10</v>
      </c>
      <c r="D7002" t="s">
        <v>10</v>
      </c>
      <c r="E7002" t="str">
        <f>"$ 2,451"</f>
        <v>$ 2,451</v>
      </c>
      <c r="F7002" s="1">
        <v>2397</v>
      </c>
    </row>
    <row r="7003" spans="1:6">
      <c r="A7003" t="s">
        <v>6981</v>
      </c>
      <c r="B7003" t="str">
        <f t="shared" si="286"/>
        <v>0.00032%</v>
      </c>
      <c r="C7003" t="s">
        <v>10</v>
      </c>
      <c r="D7003" t="s">
        <v>10</v>
      </c>
      <c r="E7003" t="str">
        <f>"$ 2,488"</f>
        <v>$ 2,488</v>
      </c>
      <c r="F7003">
        <v>6</v>
      </c>
    </row>
    <row r="7004" spans="1:6">
      <c r="A7004" t="s">
        <v>6982</v>
      </c>
      <c r="B7004" t="str">
        <f t="shared" si="286"/>
        <v>0.00032%</v>
      </c>
      <c r="C7004" t="s">
        <v>10</v>
      </c>
      <c r="D7004" t="s">
        <v>10</v>
      </c>
      <c r="E7004" t="str">
        <f>"$ 2,474"</f>
        <v>$ 2,474</v>
      </c>
      <c r="F7004" s="1">
        <v>12840</v>
      </c>
    </row>
    <row r="7005" spans="1:6">
      <c r="A7005" t="s">
        <v>6983</v>
      </c>
      <c r="B7005" t="str">
        <f t="shared" si="286"/>
        <v>0.00032%</v>
      </c>
      <c r="C7005" t="s">
        <v>10</v>
      </c>
      <c r="D7005" t="s">
        <v>10</v>
      </c>
      <c r="E7005" t="str">
        <f>"$ 2,477"</f>
        <v>$ 2,477</v>
      </c>
      <c r="F7005">
        <v>403</v>
      </c>
    </row>
    <row r="7006" spans="1:6">
      <c r="A7006" t="s">
        <v>6984</v>
      </c>
      <c r="B7006" t="str">
        <f t="shared" si="286"/>
        <v>0.00032%</v>
      </c>
      <c r="C7006" t="s">
        <v>10</v>
      </c>
      <c r="D7006" t="s">
        <v>10</v>
      </c>
      <c r="E7006" t="str">
        <f>"$ 2,436"</f>
        <v>$ 2,436</v>
      </c>
      <c r="F7006">
        <v>265</v>
      </c>
    </row>
    <row r="7007" spans="1:6">
      <c r="A7007" t="s">
        <v>6985</v>
      </c>
      <c r="B7007" t="str">
        <f t="shared" si="286"/>
        <v>0.00032%</v>
      </c>
      <c r="C7007" t="s">
        <v>10</v>
      </c>
      <c r="D7007" t="s">
        <v>10</v>
      </c>
      <c r="E7007" t="str">
        <f>"$ 2,440"</f>
        <v>$ 2,440</v>
      </c>
      <c r="F7007">
        <v>70</v>
      </c>
    </row>
    <row r="7008" spans="1:6">
      <c r="A7008" t="s">
        <v>6986</v>
      </c>
      <c r="B7008" t="str">
        <f t="shared" si="286"/>
        <v>0.00032%</v>
      </c>
      <c r="C7008" t="s">
        <v>10</v>
      </c>
      <c r="D7008" t="s">
        <v>10</v>
      </c>
      <c r="E7008" t="str">
        <f>"$ 2,452"</f>
        <v>$ 2,452</v>
      </c>
      <c r="F7008">
        <v>316</v>
      </c>
    </row>
    <row r="7009" spans="1:6">
      <c r="A7009" t="s">
        <v>6987</v>
      </c>
      <c r="B7009" t="str">
        <f t="shared" si="286"/>
        <v>0.00032%</v>
      </c>
      <c r="C7009" t="s">
        <v>10</v>
      </c>
      <c r="D7009" t="s">
        <v>10</v>
      </c>
      <c r="E7009" t="str">
        <f>"$ 2,494"</f>
        <v>$ 2,494</v>
      </c>
      <c r="F7009">
        <v>355</v>
      </c>
    </row>
    <row r="7010" spans="1:6">
      <c r="A7010" t="s">
        <v>6988</v>
      </c>
      <c r="B7010" t="str">
        <f t="shared" si="286"/>
        <v>0.00032%</v>
      </c>
      <c r="C7010" t="s">
        <v>10</v>
      </c>
      <c r="D7010" t="s">
        <v>10</v>
      </c>
      <c r="E7010" t="str">
        <f>"$ 2,506"</f>
        <v>$ 2,506</v>
      </c>
      <c r="F7010">
        <v>401</v>
      </c>
    </row>
    <row r="7011" spans="1:6">
      <c r="A7011" t="s">
        <v>6989</v>
      </c>
      <c r="B7011" t="str">
        <f t="shared" si="286"/>
        <v>0.00032%</v>
      </c>
      <c r="C7011" t="s">
        <v>10</v>
      </c>
      <c r="D7011" t="s">
        <v>10</v>
      </c>
      <c r="E7011" t="str">
        <f>"$ 2,499"</f>
        <v>$ 2,499</v>
      </c>
      <c r="F7011">
        <v>461</v>
      </c>
    </row>
    <row r="7012" spans="1:6">
      <c r="A7012" t="s">
        <v>6990</v>
      </c>
      <c r="B7012" t="str">
        <f t="shared" si="286"/>
        <v>0.00032%</v>
      </c>
      <c r="C7012" t="s">
        <v>10</v>
      </c>
      <c r="D7012" t="s">
        <v>10</v>
      </c>
      <c r="E7012" t="str">
        <f>"$ 2,450"</f>
        <v>$ 2,450</v>
      </c>
      <c r="F7012">
        <v>164</v>
      </c>
    </row>
    <row r="7013" spans="1:6">
      <c r="A7013" t="s">
        <v>6991</v>
      </c>
      <c r="B7013" t="str">
        <f t="shared" si="286"/>
        <v>0.00032%</v>
      </c>
      <c r="C7013" t="s">
        <v>10</v>
      </c>
      <c r="D7013" t="s">
        <v>10</v>
      </c>
      <c r="E7013" t="str">
        <f>"$ 2,432"</f>
        <v>$ 2,432</v>
      </c>
      <c r="F7013">
        <v>128</v>
      </c>
    </row>
    <row r="7014" spans="1:6">
      <c r="A7014" t="s">
        <v>6992</v>
      </c>
      <c r="B7014" t="str">
        <f t="shared" si="286"/>
        <v>0.00032%</v>
      </c>
      <c r="C7014" t="s">
        <v>10</v>
      </c>
      <c r="D7014" t="s">
        <v>10</v>
      </c>
      <c r="E7014" t="str">
        <f>"$ 2,491"</f>
        <v>$ 2,491</v>
      </c>
      <c r="F7014">
        <v>446</v>
      </c>
    </row>
    <row r="7015" spans="1:6">
      <c r="A7015" t="s">
        <v>6993</v>
      </c>
      <c r="B7015" t="str">
        <f t="shared" si="286"/>
        <v>0.00032%</v>
      </c>
      <c r="C7015" t="s">
        <v>10</v>
      </c>
      <c r="D7015" t="s">
        <v>10</v>
      </c>
      <c r="E7015" t="str">
        <f>"$ 2,485"</f>
        <v>$ 2,485</v>
      </c>
      <c r="F7015">
        <v>435</v>
      </c>
    </row>
    <row r="7016" spans="1:6">
      <c r="A7016" t="s">
        <v>6994</v>
      </c>
      <c r="B7016" t="str">
        <f t="shared" si="286"/>
        <v>0.00032%</v>
      </c>
      <c r="C7016" t="s">
        <v>10</v>
      </c>
      <c r="D7016" t="s">
        <v>10</v>
      </c>
      <c r="E7016" t="str">
        <f>"$ 2,500"</f>
        <v>$ 2,500</v>
      </c>
      <c r="F7016" s="1">
        <v>1286</v>
      </c>
    </row>
    <row r="7017" spans="1:6">
      <c r="A7017" t="s">
        <v>6995</v>
      </c>
      <c r="B7017" t="str">
        <f t="shared" si="286"/>
        <v>0.00032%</v>
      </c>
      <c r="C7017" t="s">
        <v>10</v>
      </c>
      <c r="D7017" t="s">
        <v>10</v>
      </c>
      <c r="E7017" t="str">
        <f>"$ 2,476"</f>
        <v>$ 2,476</v>
      </c>
      <c r="F7017">
        <v>82</v>
      </c>
    </row>
    <row r="7018" spans="1:6">
      <c r="A7018" t="s">
        <v>6996</v>
      </c>
      <c r="B7018" t="str">
        <f t="shared" si="286"/>
        <v>0.00032%</v>
      </c>
      <c r="C7018" t="s">
        <v>10</v>
      </c>
      <c r="D7018" t="s">
        <v>10</v>
      </c>
      <c r="E7018" t="str">
        <f>"$ 2,495"</f>
        <v>$ 2,495</v>
      </c>
      <c r="F7018">
        <v>115</v>
      </c>
    </row>
    <row r="7019" spans="1:6">
      <c r="A7019" t="s">
        <v>6997</v>
      </c>
      <c r="B7019" t="str">
        <f t="shared" si="286"/>
        <v>0.00032%</v>
      </c>
      <c r="C7019" t="s">
        <v>10</v>
      </c>
      <c r="D7019" t="s">
        <v>10</v>
      </c>
      <c r="E7019" t="str">
        <f>"$ 2,474"</f>
        <v>$ 2,474</v>
      </c>
      <c r="F7019">
        <v>50</v>
      </c>
    </row>
    <row r="7020" spans="1:6">
      <c r="A7020" t="s">
        <v>6998</v>
      </c>
      <c r="B7020" t="str">
        <f t="shared" si="286"/>
        <v>0.00032%</v>
      </c>
      <c r="C7020" t="s">
        <v>10</v>
      </c>
      <c r="D7020" t="s">
        <v>10</v>
      </c>
      <c r="E7020" t="str">
        <f>"$ 2,464"</f>
        <v>$ 2,464</v>
      </c>
      <c r="F7020">
        <v>70</v>
      </c>
    </row>
    <row r="7021" spans="1:6">
      <c r="A7021" t="s">
        <v>6999</v>
      </c>
      <c r="B7021" t="str">
        <f t="shared" si="286"/>
        <v>0.00032%</v>
      </c>
      <c r="C7021" t="s">
        <v>10</v>
      </c>
      <c r="D7021" t="s">
        <v>10</v>
      </c>
      <c r="E7021" t="str">
        <f>"$ 2,438"</f>
        <v>$ 2,438</v>
      </c>
      <c r="F7021" s="1">
        <v>1275</v>
      </c>
    </row>
    <row r="7022" spans="1:6">
      <c r="A7022" t="s">
        <v>7000</v>
      </c>
      <c r="B7022" t="str">
        <f t="shared" si="286"/>
        <v>0.00032%</v>
      </c>
      <c r="C7022" t="s">
        <v>10</v>
      </c>
      <c r="D7022" t="s">
        <v>10</v>
      </c>
      <c r="E7022" t="str">
        <f>"$ 2,449"</f>
        <v>$ 2,449</v>
      </c>
      <c r="F7022">
        <v>381</v>
      </c>
    </row>
    <row r="7023" spans="1:6">
      <c r="A7023" t="s">
        <v>7001</v>
      </c>
      <c r="B7023" t="str">
        <f t="shared" si="286"/>
        <v>0.00032%</v>
      </c>
      <c r="C7023" t="s">
        <v>10</v>
      </c>
      <c r="D7023" t="s">
        <v>10</v>
      </c>
      <c r="E7023" t="str">
        <f>"$ 2,443"</f>
        <v>$ 2,443</v>
      </c>
      <c r="F7023">
        <v>282</v>
      </c>
    </row>
    <row r="7024" spans="1:6">
      <c r="A7024" t="s">
        <v>7002</v>
      </c>
      <c r="B7024" t="str">
        <f t="shared" si="286"/>
        <v>0.00032%</v>
      </c>
      <c r="C7024" t="s">
        <v>10</v>
      </c>
      <c r="D7024" t="s">
        <v>10</v>
      </c>
      <c r="E7024" t="str">
        <f>"$ 2,454"</f>
        <v>$ 2,454</v>
      </c>
      <c r="F7024">
        <v>81</v>
      </c>
    </row>
    <row r="7025" spans="1:6">
      <c r="A7025" t="s">
        <v>7003</v>
      </c>
      <c r="B7025" t="str">
        <f t="shared" si="286"/>
        <v>0.00032%</v>
      </c>
      <c r="C7025" t="s">
        <v>10</v>
      </c>
      <c r="D7025" t="s">
        <v>10</v>
      </c>
      <c r="E7025" t="str">
        <f>"$ 2,447"</f>
        <v>$ 2,447</v>
      </c>
      <c r="F7025" s="1">
        <v>1829</v>
      </c>
    </row>
    <row r="7026" spans="1:6">
      <c r="A7026" t="s">
        <v>7004</v>
      </c>
      <c r="B7026" t="str">
        <f t="shared" ref="B7026:B7057" si="287">"0.00031%"</f>
        <v>0.00031%</v>
      </c>
      <c r="C7026" t="s">
        <v>10</v>
      </c>
      <c r="D7026" t="s">
        <v>10</v>
      </c>
      <c r="E7026" t="str">
        <f>"$ 2,401"</f>
        <v>$ 2,401</v>
      </c>
      <c r="F7026">
        <v>132</v>
      </c>
    </row>
    <row r="7027" spans="1:6">
      <c r="A7027" t="s">
        <v>7005</v>
      </c>
      <c r="B7027" t="str">
        <f t="shared" si="287"/>
        <v>0.00031%</v>
      </c>
      <c r="C7027" t="s">
        <v>10</v>
      </c>
      <c r="D7027" t="s">
        <v>10</v>
      </c>
      <c r="E7027" t="str">
        <f>"$ 2,371"</f>
        <v>$ 2,371</v>
      </c>
      <c r="F7027">
        <v>21</v>
      </c>
    </row>
    <row r="7028" spans="1:6">
      <c r="A7028" t="s">
        <v>7006</v>
      </c>
      <c r="B7028" t="str">
        <f t="shared" si="287"/>
        <v>0.00031%</v>
      </c>
      <c r="C7028" t="s">
        <v>10</v>
      </c>
      <c r="D7028" t="s">
        <v>10</v>
      </c>
      <c r="E7028" t="str">
        <f>"$ 2,375"</f>
        <v>$ 2,375</v>
      </c>
      <c r="F7028">
        <v>66</v>
      </c>
    </row>
    <row r="7029" spans="1:6">
      <c r="A7029" t="s">
        <v>7007</v>
      </c>
      <c r="B7029" t="str">
        <f t="shared" si="287"/>
        <v>0.00031%</v>
      </c>
      <c r="C7029" t="s">
        <v>10</v>
      </c>
      <c r="D7029" t="s">
        <v>10</v>
      </c>
      <c r="E7029" t="str">
        <f>"$ 2,367"</f>
        <v>$ 2,367</v>
      </c>
      <c r="F7029" s="1">
        <v>2227</v>
      </c>
    </row>
    <row r="7030" spans="1:6">
      <c r="A7030" t="s">
        <v>7008</v>
      </c>
      <c r="B7030" t="str">
        <f t="shared" si="287"/>
        <v>0.00031%</v>
      </c>
      <c r="C7030" t="s">
        <v>10</v>
      </c>
      <c r="D7030" t="s">
        <v>10</v>
      </c>
      <c r="E7030" t="str">
        <f>"$ 2,379"</f>
        <v>$ 2,379</v>
      </c>
      <c r="F7030">
        <v>75</v>
      </c>
    </row>
    <row r="7031" spans="1:6">
      <c r="A7031" t="s">
        <v>7009</v>
      </c>
      <c r="B7031" t="str">
        <f t="shared" si="287"/>
        <v>0.00031%</v>
      </c>
      <c r="C7031" t="s">
        <v>10</v>
      </c>
      <c r="D7031" t="s">
        <v>10</v>
      </c>
      <c r="E7031" t="str">
        <f>"$ 2,395"</f>
        <v>$ 2,395</v>
      </c>
      <c r="F7031">
        <v>33</v>
      </c>
    </row>
    <row r="7032" spans="1:6">
      <c r="A7032" t="s">
        <v>7010</v>
      </c>
      <c r="B7032" t="str">
        <f t="shared" si="287"/>
        <v>0.00031%</v>
      </c>
      <c r="C7032" t="s">
        <v>10</v>
      </c>
      <c r="D7032" t="s">
        <v>10</v>
      </c>
      <c r="E7032" t="str">
        <f>"$ 2,357"</f>
        <v>$ 2,357</v>
      </c>
      <c r="F7032" s="1">
        <v>3445</v>
      </c>
    </row>
    <row r="7033" spans="1:6">
      <c r="A7033" t="s">
        <v>6287</v>
      </c>
      <c r="B7033" t="str">
        <f t="shared" si="287"/>
        <v>0.00031%</v>
      </c>
      <c r="C7033" t="s">
        <v>10</v>
      </c>
      <c r="D7033" t="s">
        <v>10</v>
      </c>
      <c r="E7033" t="str">
        <f>"$ 2,430"</f>
        <v>$ 2,430</v>
      </c>
      <c r="F7033" s="1">
        <v>1413</v>
      </c>
    </row>
    <row r="7034" spans="1:6">
      <c r="A7034" t="s">
        <v>7011</v>
      </c>
      <c r="B7034" t="str">
        <f t="shared" si="287"/>
        <v>0.00031%</v>
      </c>
      <c r="C7034" t="s">
        <v>10</v>
      </c>
      <c r="D7034" t="s">
        <v>10</v>
      </c>
      <c r="E7034" t="str">
        <f>"$ 2,427"</f>
        <v>$ 2,427</v>
      </c>
      <c r="F7034">
        <v>33</v>
      </c>
    </row>
    <row r="7035" spans="1:6">
      <c r="A7035" t="s">
        <v>7012</v>
      </c>
      <c r="B7035" t="str">
        <f t="shared" si="287"/>
        <v>0.00031%</v>
      </c>
      <c r="C7035" t="s">
        <v>10</v>
      </c>
      <c r="D7035" t="s">
        <v>10</v>
      </c>
      <c r="E7035" t="str">
        <f>"$ 2,366"</f>
        <v>$ 2,366</v>
      </c>
      <c r="F7035">
        <v>48</v>
      </c>
    </row>
    <row r="7036" spans="1:6">
      <c r="A7036" t="s">
        <v>7013</v>
      </c>
      <c r="B7036" t="str">
        <f t="shared" si="287"/>
        <v>0.00031%</v>
      </c>
      <c r="C7036" t="s">
        <v>10</v>
      </c>
      <c r="D7036" t="s">
        <v>10</v>
      </c>
      <c r="E7036" t="str">
        <f>"$ 2,396"</f>
        <v>$ 2,396</v>
      </c>
      <c r="F7036">
        <v>493</v>
      </c>
    </row>
    <row r="7037" spans="1:6">
      <c r="A7037" t="s">
        <v>7014</v>
      </c>
      <c r="B7037" t="str">
        <f t="shared" si="287"/>
        <v>0.00031%</v>
      </c>
      <c r="C7037" t="s">
        <v>10</v>
      </c>
      <c r="D7037" t="s">
        <v>10</v>
      </c>
      <c r="E7037" t="str">
        <f>"$ 2,376"</f>
        <v>$ 2,376</v>
      </c>
      <c r="F7037">
        <v>817</v>
      </c>
    </row>
    <row r="7038" spans="1:6">
      <c r="A7038" t="s">
        <v>7015</v>
      </c>
      <c r="B7038" t="str">
        <f t="shared" si="287"/>
        <v>0.00031%</v>
      </c>
      <c r="C7038" t="s">
        <v>10</v>
      </c>
      <c r="D7038" t="s">
        <v>10</v>
      </c>
      <c r="E7038" t="str">
        <f>"$ 2,419"</f>
        <v>$ 2,419</v>
      </c>
      <c r="F7038">
        <v>180</v>
      </c>
    </row>
    <row r="7039" spans="1:6">
      <c r="A7039" t="s">
        <v>7016</v>
      </c>
      <c r="B7039" t="str">
        <f t="shared" si="287"/>
        <v>0.00031%</v>
      </c>
      <c r="C7039" t="s">
        <v>10</v>
      </c>
      <c r="D7039" t="s">
        <v>10</v>
      </c>
      <c r="E7039" t="str">
        <f>"$ 2,402"</f>
        <v>$ 2,402</v>
      </c>
      <c r="F7039">
        <v>452</v>
      </c>
    </row>
    <row r="7040" spans="1:6">
      <c r="A7040" t="s">
        <v>7017</v>
      </c>
      <c r="B7040" t="str">
        <f t="shared" si="287"/>
        <v>0.00031%</v>
      </c>
      <c r="C7040" t="s">
        <v>10</v>
      </c>
      <c r="D7040" t="s">
        <v>10</v>
      </c>
      <c r="E7040" t="str">
        <f>"$ 2,363"</f>
        <v>$ 2,363</v>
      </c>
      <c r="F7040" s="1">
        <v>5418</v>
      </c>
    </row>
    <row r="7041" spans="1:6">
      <c r="A7041" t="s">
        <v>7018</v>
      </c>
      <c r="B7041" t="str">
        <f t="shared" si="287"/>
        <v>0.00031%</v>
      </c>
      <c r="C7041" t="s">
        <v>10</v>
      </c>
      <c r="D7041" t="s">
        <v>10</v>
      </c>
      <c r="E7041" t="str">
        <f>"$ 2,376"</f>
        <v>$ 2,376</v>
      </c>
      <c r="F7041">
        <v>49</v>
      </c>
    </row>
    <row r="7042" spans="1:6">
      <c r="A7042" t="s">
        <v>7019</v>
      </c>
      <c r="B7042" t="str">
        <f t="shared" si="287"/>
        <v>0.00031%</v>
      </c>
      <c r="C7042" t="s">
        <v>10</v>
      </c>
      <c r="D7042" t="s">
        <v>10</v>
      </c>
      <c r="E7042" t="str">
        <f>"$ 2,429"</f>
        <v>$ 2,429</v>
      </c>
      <c r="F7042">
        <v>828</v>
      </c>
    </row>
    <row r="7043" spans="1:6">
      <c r="A7043" t="s">
        <v>7020</v>
      </c>
      <c r="B7043" t="str">
        <f t="shared" si="287"/>
        <v>0.00031%</v>
      </c>
      <c r="C7043" t="s">
        <v>10</v>
      </c>
      <c r="D7043" t="s">
        <v>10</v>
      </c>
      <c r="E7043" t="str">
        <f>"$ 2,390"</f>
        <v>$ 2,390</v>
      </c>
      <c r="F7043">
        <v>929</v>
      </c>
    </row>
    <row r="7044" spans="1:6">
      <c r="A7044" t="s">
        <v>7021</v>
      </c>
      <c r="B7044" t="str">
        <f t="shared" si="287"/>
        <v>0.00031%</v>
      </c>
      <c r="C7044" t="s">
        <v>10</v>
      </c>
      <c r="D7044" t="s">
        <v>10</v>
      </c>
      <c r="E7044" t="str">
        <f>"$ 2,430"</f>
        <v>$ 2,430</v>
      </c>
      <c r="F7044" s="1">
        <v>1178</v>
      </c>
    </row>
    <row r="7045" spans="1:6">
      <c r="A7045" t="s">
        <v>7022</v>
      </c>
      <c r="B7045" t="str">
        <f t="shared" si="287"/>
        <v>0.00031%</v>
      </c>
      <c r="C7045" t="s">
        <v>10</v>
      </c>
      <c r="D7045" t="s">
        <v>10</v>
      </c>
      <c r="E7045" t="str">
        <f>"$ 2,363"</f>
        <v>$ 2,363</v>
      </c>
      <c r="F7045">
        <v>313</v>
      </c>
    </row>
    <row r="7046" spans="1:6">
      <c r="A7046" t="s">
        <v>7023</v>
      </c>
      <c r="B7046" t="str">
        <f t="shared" si="287"/>
        <v>0.00031%</v>
      </c>
      <c r="C7046" t="s">
        <v>10</v>
      </c>
      <c r="D7046" t="s">
        <v>10</v>
      </c>
      <c r="E7046" t="str">
        <f>"$ 2,395"</f>
        <v>$ 2,395</v>
      </c>
      <c r="F7046">
        <v>362</v>
      </c>
    </row>
    <row r="7047" spans="1:6">
      <c r="A7047" t="s">
        <v>7024</v>
      </c>
      <c r="B7047" t="str">
        <f t="shared" si="287"/>
        <v>0.00031%</v>
      </c>
      <c r="C7047" t="s">
        <v>10</v>
      </c>
      <c r="D7047" t="s">
        <v>10</v>
      </c>
      <c r="E7047" t="str">
        <f>"$ 2,394"</f>
        <v>$ 2,394</v>
      </c>
      <c r="F7047" s="1">
        <v>7588</v>
      </c>
    </row>
    <row r="7048" spans="1:6">
      <c r="A7048" t="s">
        <v>7025</v>
      </c>
      <c r="B7048" t="str">
        <f t="shared" si="287"/>
        <v>0.00031%</v>
      </c>
      <c r="C7048" t="s">
        <v>10</v>
      </c>
      <c r="D7048" t="s">
        <v>10</v>
      </c>
      <c r="E7048" t="str">
        <f>"$ 2,427"</f>
        <v>$ 2,427</v>
      </c>
      <c r="F7048">
        <v>308</v>
      </c>
    </row>
    <row r="7049" spans="1:6">
      <c r="A7049" t="s">
        <v>7026</v>
      </c>
      <c r="B7049" t="str">
        <f t="shared" si="287"/>
        <v>0.00031%</v>
      </c>
      <c r="C7049" t="s">
        <v>10</v>
      </c>
      <c r="D7049" t="s">
        <v>10</v>
      </c>
      <c r="E7049" t="str">
        <f>"$ 2,388"</f>
        <v>$ 2,388</v>
      </c>
      <c r="F7049">
        <v>445</v>
      </c>
    </row>
    <row r="7050" spans="1:6">
      <c r="A7050" t="s">
        <v>7027</v>
      </c>
      <c r="B7050" t="str">
        <f t="shared" si="287"/>
        <v>0.00031%</v>
      </c>
      <c r="C7050" t="s">
        <v>10</v>
      </c>
      <c r="D7050" t="s">
        <v>10</v>
      </c>
      <c r="E7050" t="str">
        <f>"$ 2,404"</f>
        <v>$ 2,404</v>
      </c>
      <c r="F7050">
        <v>183</v>
      </c>
    </row>
    <row r="7051" spans="1:6">
      <c r="A7051" t="s">
        <v>7028</v>
      </c>
      <c r="B7051" t="str">
        <f t="shared" si="287"/>
        <v>0.00031%</v>
      </c>
      <c r="C7051" t="s">
        <v>10</v>
      </c>
      <c r="D7051" t="s">
        <v>10</v>
      </c>
      <c r="E7051" t="str">
        <f>"$ 2,417"</f>
        <v>$ 2,417</v>
      </c>
      <c r="F7051">
        <v>198</v>
      </c>
    </row>
    <row r="7052" spans="1:6">
      <c r="A7052" t="s">
        <v>7029</v>
      </c>
      <c r="B7052" t="str">
        <f t="shared" si="287"/>
        <v>0.00031%</v>
      </c>
      <c r="C7052" t="s">
        <v>10</v>
      </c>
      <c r="D7052" t="s">
        <v>10</v>
      </c>
      <c r="E7052" t="str">
        <f>"$ 2,364"</f>
        <v>$ 2,364</v>
      </c>
      <c r="F7052">
        <v>176</v>
      </c>
    </row>
    <row r="7053" spans="1:6">
      <c r="A7053" t="s">
        <v>7030</v>
      </c>
      <c r="B7053" t="str">
        <f t="shared" si="287"/>
        <v>0.00031%</v>
      </c>
      <c r="C7053" t="s">
        <v>10</v>
      </c>
      <c r="D7053" t="s">
        <v>10</v>
      </c>
      <c r="E7053" t="str">
        <f>"$ 2,414"</f>
        <v>$ 2,414</v>
      </c>
      <c r="F7053">
        <v>141</v>
      </c>
    </row>
    <row r="7054" spans="1:6">
      <c r="A7054" t="s">
        <v>7031</v>
      </c>
      <c r="B7054" t="str">
        <f t="shared" si="287"/>
        <v>0.00031%</v>
      </c>
      <c r="C7054" t="s">
        <v>10</v>
      </c>
      <c r="D7054" t="s">
        <v>10</v>
      </c>
      <c r="E7054" t="str">
        <f>"$ 2,395"</f>
        <v>$ 2,395</v>
      </c>
      <c r="F7054">
        <v>141</v>
      </c>
    </row>
    <row r="7055" spans="1:6">
      <c r="A7055" t="s">
        <v>7032</v>
      </c>
      <c r="B7055" t="str">
        <f t="shared" si="287"/>
        <v>0.00031%</v>
      </c>
      <c r="C7055" t="s">
        <v>10</v>
      </c>
      <c r="D7055" t="s">
        <v>10</v>
      </c>
      <c r="E7055" t="str">
        <f>"$ 2,362"</f>
        <v>$ 2,362</v>
      </c>
      <c r="F7055">
        <v>526</v>
      </c>
    </row>
    <row r="7056" spans="1:6">
      <c r="A7056" t="s">
        <v>7033</v>
      </c>
      <c r="B7056" t="str">
        <f t="shared" si="287"/>
        <v>0.00031%</v>
      </c>
      <c r="C7056" t="s">
        <v>10</v>
      </c>
      <c r="D7056" t="s">
        <v>10</v>
      </c>
      <c r="E7056" t="str">
        <f>"$ 2,368"</f>
        <v>$ 2,368</v>
      </c>
      <c r="F7056">
        <v>128</v>
      </c>
    </row>
    <row r="7057" spans="1:6">
      <c r="A7057" t="s">
        <v>7034</v>
      </c>
      <c r="B7057" t="str">
        <f t="shared" si="287"/>
        <v>0.00031%</v>
      </c>
      <c r="C7057" t="s">
        <v>10</v>
      </c>
      <c r="D7057" t="s">
        <v>10</v>
      </c>
      <c r="E7057" t="str">
        <f>"$ 2,371"</f>
        <v>$ 2,371</v>
      </c>
      <c r="F7057">
        <v>91</v>
      </c>
    </row>
    <row r="7058" spans="1:6">
      <c r="A7058" t="s">
        <v>7035</v>
      </c>
      <c r="B7058" t="str">
        <f t="shared" ref="B7058:B7074" si="288">"0.00031%"</f>
        <v>0.00031%</v>
      </c>
      <c r="C7058" t="s">
        <v>10</v>
      </c>
      <c r="D7058" t="s">
        <v>10</v>
      </c>
      <c r="E7058" t="str">
        <f>"$ 2,367"</f>
        <v>$ 2,367</v>
      </c>
      <c r="F7058">
        <v>165</v>
      </c>
    </row>
    <row r="7059" spans="1:6">
      <c r="A7059" t="s">
        <v>7036</v>
      </c>
      <c r="B7059" t="str">
        <f t="shared" si="288"/>
        <v>0.00031%</v>
      </c>
      <c r="C7059" t="s">
        <v>10</v>
      </c>
      <c r="D7059" t="s">
        <v>10</v>
      </c>
      <c r="E7059" t="str">
        <f>"$ 2,366"</f>
        <v>$ 2,366</v>
      </c>
      <c r="F7059">
        <v>62</v>
      </c>
    </row>
    <row r="7060" spans="1:6">
      <c r="A7060" t="s">
        <v>7037</v>
      </c>
      <c r="B7060" t="str">
        <f t="shared" si="288"/>
        <v>0.00031%</v>
      </c>
      <c r="C7060" t="s">
        <v>10</v>
      </c>
      <c r="D7060" t="s">
        <v>10</v>
      </c>
      <c r="E7060" t="str">
        <f>"$ 2,385"</f>
        <v>$ 2,385</v>
      </c>
      <c r="F7060">
        <v>87</v>
      </c>
    </row>
    <row r="7061" spans="1:6">
      <c r="A7061" t="s">
        <v>7038</v>
      </c>
      <c r="B7061" t="str">
        <f t="shared" si="288"/>
        <v>0.00031%</v>
      </c>
      <c r="C7061" t="s">
        <v>10</v>
      </c>
      <c r="D7061" t="s">
        <v>10</v>
      </c>
      <c r="E7061" t="str">
        <f>"$ 2,408"</f>
        <v>$ 2,408</v>
      </c>
      <c r="F7061">
        <v>51</v>
      </c>
    </row>
    <row r="7062" spans="1:6">
      <c r="A7062" t="s">
        <v>7039</v>
      </c>
      <c r="B7062" t="str">
        <f t="shared" si="288"/>
        <v>0.00031%</v>
      </c>
      <c r="C7062" t="s">
        <v>10</v>
      </c>
      <c r="D7062" t="s">
        <v>10</v>
      </c>
      <c r="E7062" t="str">
        <f>"$ 2,415"</f>
        <v>$ 2,415</v>
      </c>
      <c r="F7062" s="1">
        <v>4289</v>
      </c>
    </row>
    <row r="7063" spans="1:6">
      <c r="A7063" t="s">
        <v>7040</v>
      </c>
      <c r="B7063" t="str">
        <f t="shared" si="288"/>
        <v>0.00031%</v>
      </c>
      <c r="C7063" t="s">
        <v>10</v>
      </c>
      <c r="D7063" t="s">
        <v>10</v>
      </c>
      <c r="E7063" t="str">
        <f>"$ 2,427"</f>
        <v>$ 2,427</v>
      </c>
      <c r="F7063" s="1">
        <v>224073</v>
      </c>
    </row>
    <row r="7064" spans="1:6">
      <c r="A7064" t="s">
        <v>7041</v>
      </c>
      <c r="B7064" t="str">
        <f t="shared" si="288"/>
        <v>0.00031%</v>
      </c>
      <c r="C7064" t="s">
        <v>10</v>
      </c>
      <c r="D7064" t="s">
        <v>10</v>
      </c>
      <c r="E7064" t="str">
        <f>"$ 2,413"</f>
        <v>$ 2,413</v>
      </c>
      <c r="F7064" s="1">
        <v>1464</v>
      </c>
    </row>
    <row r="7065" spans="1:6">
      <c r="A7065" t="s">
        <v>7042</v>
      </c>
      <c r="B7065" t="str">
        <f t="shared" si="288"/>
        <v>0.00031%</v>
      </c>
      <c r="C7065" t="s">
        <v>10</v>
      </c>
      <c r="D7065" t="s">
        <v>10</v>
      </c>
      <c r="E7065" t="str">
        <f>"$ 2,383"</f>
        <v>$ 2,383</v>
      </c>
      <c r="F7065" s="1">
        <v>4124</v>
      </c>
    </row>
    <row r="7066" spans="1:6">
      <c r="A7066" t="s">
        <v>7043</v>
      </c>
      <c r="B7066" t="str">
        <f t="shared" si="288"/>
        <v>0.00031%</v>
      </c>
      <c r="C7066" t="s">
        <v>10</v>
      </c>
      <c r="D7066" t="s">
        <v>10</v>
      </c>
      <c r="E7066" t="str">
        <f>"$ 2,420"</f>
        <v>$ 2,420</v>
      </c>
      <c r="F7066" s="1">
        <v>4734</v>
      </c>
    </row>
    <row r="7067" spans="1:6">
      <c r="A7067" t="s">
        <v>7044</v>
      </c>
      <c r="B7067" t="str">
        <f t="shared" si="288"/>
        <v>0.00031%</v>
      </c>
      <c r="C7067" t="s">
        <v>10</v>
      </c>
      <c r="D7067" t="s">
        <v>10</v>
      </c>
      <c r="E7067" t="str">
        <f>"$ 2,420"</f>
        <v>$ 2,420</v>
      </c>
      <c r="F7067">
        <v>158</v>
      </c>
    </row>
    <row r="7068" spans="1:6">
      <c r="A7068" t="s">
        <v>7045</v>
      </c>
      <c r="B7068" t="str">
        <f t="shared" si="288"/>
        <v>0.00031%</v>
      </c>
      <c r="C7068" t="s">
        <v>10</v>
      </c>
      <c r="D7068" t="s">
        <v>10</v>
      </c>
      <c r="E7068" t="str">
        <f>"$ 2,410"</f>
        <v>$ 2,410</v>
      </c>
      <c r="F7068">
        <v>69</v>
      </c>
    </row>
    <row r="7069" spans="1:6">
      <c r="A7069" t="s">
        <v>7046</v>
      </c>
      <c r="B7069" t="str">
        <f t="shared" si="288"/>
        <v>0.00031%</v>
      </c>
      <c r="C7069" t="s">
        <v>10</v>
      </c>
      <c r="D7069" t="s">
        <v>10</v>
      </c>
      <c r="E7069" t="str">
        <f>"$ 2,423"</f>
        <v>$ 2,423</v>
      </c>
      <c r="F7069">
        <v>528</v>
      </c>
    </row>
    <row r="7070" spans="1:6">
      <c r="A7070" t="s">
        <v>7047</v>
      </c>
      <c r="B7070" t="str">
        <f t="shared" si="288"/>
        <v>0.00031%</v>
      </c>
      <c r="C7070" t="s">
        <v>10</v>
      </c>
      <c r="D7070" t="s">
        <v>10</v>
      </c>
      <c r="E7070" t="str">
        <f>"$ 2,423"</f>
        <v>$ 2,423</v>
      </c>
      <c r="F7070" s="1">
        <v>7015</v>
      </c>
    </row>
    <row r="7071" spans="1:6">
      <c r="A7071" t="s">
        <v>7048</v>
      </c>
      <c r="B7071" t="str">
        <f t="shared" si="288"/>
        <v>0.00031%</v>
      </c>
      <c r="C7071" t="s">
        <v>10</v>
      </c>
      <c r="D7071" t="s">
        <v>10</v>
      </c>
      <c r="E7071" t="str">
        <f>"$ 2,379"</f>
        <v>$ 2,379</v>
      </c>
      <c r="F7071">
        <v>108</v>
      </c>
    </row>
    <row r="7072" spans="1:6">
      <c r="A7072" t="s">
        <v>7049</v>
      </c>
      <c r="B7072" t="str">
        <f t="shared" si="288"/>
        <v>0.00031%</v>
      </c>
      <c r="C7072" t="s">
        <v>10</v>
      </c>
      <c r="D7072" t="s">
        <v>10</v>
      </c>
      <c r="E7072" t="str">
        <f>"$ 2,417"</f>
        <v>$ 2,417</v>
      </c>
      <c r="F7072">
        <v>597</v>
      </c>
    </row>
    <row r="7073" spans="1:6">
      <c r="A7073" t="s">
        <v>7050</v>
      </c>
      <c r="B7073" t="str">
        <f t="shared" si="288"/>
        <v>0.00031%</v>
      </c>
      <c r="C7073" t="s">
        <v>10</v>
      </c>
      <c r="D7073" t="s">
        <v>10</v>
      </c>
      <c r="E7073" t="str">
        <f>"$ 2,369"</f>
        <v>$ 2,369</v>
      </c>
      <c r="F7073">
        <v>259</v>
      </c>
    </row>
    <row r="7074" spans="1:6">
      <c r="A7074" t="s">
        <v>7051</v>
      </c>
      <c r="B7074" t="str">
        <f t="shared" si="288"/>
        <v>0.00031%</v>
      </c>
      <c r="C7074" t="s">
        <v>10</v>
      </c>
      <c r="D7074" t="s">
        <v>10</v>
      </c>
      <c r="E7074" t="str">
        <f>"$ 2,398"</f>
        <v>$ 2,398</v>
      </c>
      <c r="F7074" s="1">
        <v>5869</v>
      </c>
    </row>
    <row r="7075" spans="1:6">
      <c r="A7075" t="s">
        <v>7052</v>
      </c>
      <c r="B7075" t="str">
        <f t="shared" ref="B7075:B7106" si="289">"0.00030%"</f>
        <v>0.00030%</v>
      </c>
      <c r="C7075" t="s">
        <v>10</v>
      </c>
      <c r="D7075" t="s">
        <v>10</v>
      </c>
      <c r="E7075" t="str">
        <f>"$ 2,348"</f>
        <v>$ 2,348</v>
      </c>
      <c r="F7075">
        <v>640</v>
      </c>
    </row>
    <row r="7076" spans="1:6">
      <c r="A7076" t="s">
        <v>7053</v>
      </c>
      <c r="B7076" t="str">
        <f t="shared" si="289"/>
        <v>0.00030%</v>
      </c>
      <c r="C7076" t="s">
        <v>10</v>
      </c>
      <c r="D7076" t="s">
        <v>10</v>
      </c>
      <c r="E7076" t="str">
        <f>"$ 2,288"</f>
        <v>$ 2,288</v>
      </c>
      <c r="F7076" s="1">
        <v>23900</v>
      </c>
    </row>
    <row r="7077" spans="1:6">
      <c r="A7077" t="s">
        <v>7054</v>
      </c>
      <c r="B7077" t="str">
        <f t="shared" si="289"/>
        <v>0.00030%</v>
      </c>
      <c r="C7077" t="s">
        <v>10</v>
      </c>
      <c r="D7077" t="s">
        <v>10</v>
      </c>
      <c r="E7077" t="str">
        <f>"$ 2,293"</f>
        <v>$ 2,293</v>
      </c>
      <c r="F7077">
        <v>651</v>
      </c>
    </row>
    <row r="7078" spans="1:6">
      <c r="A7078" t="s">
        <v>7055</v>
      </c>
      <c r="B7078" t="str">
        <f t="shared" si="289"/>
        <v>0.00030%</v>
      </c>
      <c r="C7078" t="s">
        <v>10</v>
      </c>
      <c r="D7078" t="s">
        <v>10</v>
      </c>
      <c r="E7078" t="str">
        <f>"$ 2,336"</f>
        <v>$ 2,336</v>
      </c>
      <c r="F7078" s="1">
        <v>28435</v>
      </c>
    </row>
    <row r="7079" spans="1:6">
      <c r="A7079" t="s">
        <v>7056</v>
      </c>
      <c r="B7079" t="str">
        <f t="shared" si="289"/>
        <v>0.00030%</v>
      </c>
      <c r="C7079" t="s">
        <v>10</v>
      </c>
      <c r="D7079" t="s">
        <v>10</v>
      </c>
      <c r="E7079" t="str">
        <f>"$ 2,302"</f>
        <v>$ 2,302</v>
      </c>
      <c r="F7079">
        <v>573</v>
      </c>
    </row>
    <row r="7080" spans="1:6">
      <c r="A7080" t="s">
        <v>7057</v>
      </c>
      <c r="B7080" t="str">
        <f t="shared" si="289"/>
        <v>0.00030%</v>
      </c>
      <c r="C7080" t="s">
        <v>10</v>
      </c>
      <c r="D7080" t="s">
        <v>10</v>
      </c>
      <c r="E7080" t="str">
        <f>"$ 2,323"</f>
        <v>$ 2,323</v>
      </c>
      <c r="F7080">
        <v>280</v>
      </c>
    </row>
    <row r="7081" spans="1:6">
      <c r="A7081" t="s">
        <v>7058</v>
      </c>
      <c r="B7081" t="str">
        <f t="shared" si="289"/>
        <v>0.00030%</v>
      </c>
      <c r="C7081" t="s">
        <v>10</v>
      </c>
      <c r="D7081" t="s">
        <v>10</v>
      </c>
      <c r="E7081" t="str">
        <f>"$ 2,281"</f>
        <v>$ 2,281</v>
      </c>
      <c r="F7081">
        <v>143</v>
      </c>
    </row>
    <row r="7082" spans="1:6">
      <c r="A7082" t="s">
        <v>7059</v>
      </c>
      <c r="B7082" t="str">
        <f t="shared" si="289"/>
        <v>0.00030%</v>
      </c>
      <c r="C7082" t="s">
        <v>10</v>
      </c>
      <c r="D7082" t="s">
        <v>10</v>
      </c>
      <c r="E7082" t="str">
        <f>"$ 2,311"</f>
        <v>$ 2,311</v>
      </c>
      <c r="F7082" s="1">
        <v>1146</v>
      </c>
    </row>
    <row r="7083" spans="1:6">
      <c r="A7083" t="s">
        <v>6380</v>
      </c>
      <c r="B7083" t="str">
        <f t="shared" si="289"/>
        <v>0.00030%</v>
      </c>
      <c r="C7083" t="s">
        <v>10</v>
      </c>
      <c r="D7083" t="s">
        <v>10</v>
      </c>
      <c r="E7083" t="str">
        <f>"$ 2,288"</f>
        <v>$ 2,288</v>
      </c>
      <c r="F7083" s="1">
        <v>2027</v>
      </c>
    </row>
    <row r="7084" spans="1:6">
      <c r="A7084" t="s">
        <v>7060</v>
      </c>
      <c r="B7084" t="str">
        <f t="shared" si="289"/>
        <v>0.00030%</v>
      </c>
      <c r="C7084" t="s">
        <v>10</v>
      </c>
      <c r="D7084" t="s">
        <v>10</v>
      </c>
      <c r="E7084" t="str">
        <f>"$ 2,286"</f>
        <v>$ 2,286</v>
      </c>
      <c r="F7084">
        <v>604</v>
      </c>
    </row>
    <row r="7085" spans="1:6">
      <c r="A7085" t="s">
        <v>7061</v>
      </c>
      <c r="B7085" t="str">
        <f t="shared" si="289"/>
        <v>0.00030%</v>
      </c>
      <c r="C7085" t="s">
        <v>10</v>
      </c>
      <c r="D7085" t="s">
        <v>10</v>
      </c>
      <c r="E7085" t="str">
        <f>"$ 2,310"</f>
        <v>$ 2,310</v>
      </c>
      <c r="F7085" s="1">
        <v>1720</v>
      </c>
    </row>
    <row r="7086" spans="1:6">
      <c r="A7086" t="s">
        <v>7062</v>
      </c>
      <c r="B7086" t="str">
        <f t="shared" si="289"/>
        <v>0.00030%</v>
      </c>
      <c r="C7086" t="s">
        <v>10</v>
      </c>
      <c r="D7086" t="s">
        <v>10</v>
      </c>
      <c r="E7086" t="str">
        <f>"$ 2,301"</f>
        <v>$ 2,301</v>
      </c>
      <c r="F7086">
        <v>49</v>
      </c>
    </row>
    <row r="7087" spans="1:6">
      <c r="A7087" t="s">
        <v>7063</v>
      </c>
      <c r="B7087" t="str">
        <f t="shared" si="289"/>
        <v>0.00030%</v>
      </c>
      <c r="C7087" t="s">
        <v>10</v>
      </c>
      <c r="D7087" t="s">
        <v>10</v>
      </c>
      <c r="E7087" t="str">
        <f>"$ 2,283"</f>
        <v>$ 2,283</v>
      </c>
      <c r="F7087" s="1">
        <v>1420</v>
      </c>
    </row>
    <row r="7088" spans="1:6">
      <c r="A7088" t="s">
        <v>7064</v>
      </c>
      <c r="B7088" t="str">
        <f t="shared" si="289"/>
        <v>0.00030%</v>
      </c>
      <c r="C7088" t="s">
        <v>10</v>
      </c>
      <c r="D7088" t="s">
        <v>10</v>
      </c>
      <c r="E7088" t="str">
        <f>"$ 2,342"</f>
        <v>$ 2,342</v>
      </c>
      <c r="F7088">
        <v>66</v>
      </c>
    </row>
    <row r="7089" spans="1:6">
      <c r="A7089" t="s">
        <v>7065</v>
      </c>
      <c r="B7089" t="str">
        <f t="shared" si="289"/>
        <v>0.00030%</v>
      </c>
      <c r="C7089" t="s">
        <v>10</v>
      </c>
      <c r="D7089" t="s">
        <v>10</v>
      </c>
      <c r="E7089" t="str">
        <f>"$ 2,311"</f>
        <v>$ 2,311</v>
      </c>
      <c r="F7089">
        <v>148</v>
      </c>
    </row>
    <row r="7090" spans="1:6">
      <c r="A7090" t="s">
        <v>7066</v>
      </c>
      <c r="B7090" t="str">
        <f t="shared" si="289"/>
        <v>0.00030%</v>
      </c>
      <c r="C7090" t="s">
        <v>10</v>
      </c>
      <c r="D7090" t="s">
        <v>10</v>
      </c>
      <c r="E7090" t="str">
        <f>"$ 2,283"</f>
        <v>$ 2,283</v>
      </c>
      <c r="F7090" s="1">
        <v>3703</v>
      </c>
    </row>
    <row r="7091" spans="1:6">
      <c r="A7091" t="s">
        <v>7067</v>
      </c>
      <c r="B7091" t="str">
        <f t="shared" si="289"/>
        <v>0.00030%</v>
      </c>
      <c r="C7091" t="s">
        <v>10</v>
      </c>
      <c r="D7091" t="s">
        <v>10</v>
      </c>
      <c r="E7091" t="str">
        <f>"$ 2,286"</f>
        <v>$ 2,286</v>
      </c>
      <c r="F7091">
        <v>200</v>
      </c>
    </row>
    <row r="7092" spans="1:6">
      <c r="A7092" t="s">
        <v>7068</v>
      </c>
      <c r="B7092" t="str">
        <f t="shared" si="289"/>
        <v>0.00030%</v>
      </c>
      <c r="C7092" t="s">
        <v>10</v>
      </c>
      <c r="D7092" t="s">
        <v>10</v>
      </c>
      <c r="E7092" t="str">
        <f>"$ 2,323"</f>
        <v>$ 2,323</v>
      </c>
      <c r="F7092">
        <v>99</v>
      </c>
    </row>
    <row r="7093" spans="1:6">
      <c r="A7093" t="s">
        <v>7069</v>
      </c>
      <c r="B7093" t="str">
        <f t="shared" si="289"/>
        <v>0.00030%</v>
      </c>
      <c r="C7093" t="s">
        <v>10</v>
      </c>
      <c r="D7093" t="s">
        <v>10</v>
      </c>
      <c r="E7093" t="str">
        <f>"$ 2,300"</f>
        <v>$ 2,300</v>
      </c>
      <c r="F7093">
        <v>158</v>
      </c>
    </row>
    <row r="7094" spans="1:6">
      <c r="A7094" t="s">
        <v>7070</v>
      </c>
      <c r="B7094" t="str">
        <f t="shared" si="289"/>
        <v>0.00030%</v>
      </c>
      <c r="C7094" t="s">
        <v>10</v>
      </c>
      <c r="D7094" t="s">
        <v>10</v>
      </c>
      <c r="E7094" t="str">
        <f>"$ 2,279"</f>
        <v>$ 2,279</v>
      </c>
      <c r="F7094">
        <v>165</v>
      </c>
    </row>
    <row r="7095" spans="1:6">
      <c r="A7095" t="s">
        <v>7071</v>
      </c>
      <c r="B7095" t="str">
        <f t="shared" si="289"/>
        <v>0.00030%</v>
      </c>
      <c r="C7095" t="s">
        <v>10</v>
      </c>
      <c r="D7095" t="s">
        <v>10</v>
      </c>
      <c r="E7095" t="str">
        <f>"$ 2,294"</f>
        <v>$ 2,294</v>
      </c>
      <c r="F7095" s="1">
        <v>1843</v>
      </c>
    </row>
    <row r="7096" spans="1:6">
      <c r="A7096" t="s">
        <v>7072</v>
      </c>
      <c r="B7096" t="str">
        <f t="shared" si="289"/>
        <v>0.00030%</v>
      </c>
      <c r="C7096" t="s">
        <v>10</v>
      </c>
      <c r="D7096" t="s">
        <v>10</v>
      </c>
      <c r="E7096" t="str">
        <f>"$ 2,310"</f>
        <v>$ 2,310</v>
      </c>
      <c r="F7096">
        <v>84</v>
      </c>
    </row>
    <row r="7097" spans="1:6">
      <c r="A7097" t="s">
        <v>7073</v>
      </c>
      <c r="B7097" t="str">
        <f t="shared" si="289"/>
        <v>0.00030%</v>
      </c>
      <c r="C7097" t="s">
        <v>10</v>
      </c>
      <c r="D7097" t="s">
        <v>10</v>
      </c>
      <c r="E7097" t="str">
        <f>"$ 2,343"</f>
        <v>$ 2,343</v>
      </c>
      <c r="F7097">
        <v>856</v>
      </c>
    </row>
    <row r="7098" spans="1:6">
      <c r="A7098" t="s">
        <v>7074</v>
      </c>
      <c r="B7098" t="str">
        <f t="shared" si="289"/>
        <v>0.00030%</v>
      </c>
      <c r="C7098" t="s">
        <v>10</v>
      </c>
      <c r="D7098" t="s">
        <v>10</v>
      </c>
      <c r="E7098" t="str">
        <f>"$ 2,328"</f>
        <v>$ 2,328</v>
      </c>
      <c r="F7098">
        <v>235</v>
      </c>
    </row>
    <row r="7099" spans="1:6">
      <c r="A7099" t="s">
        <v>7075</v>
      </c>
      <c r="B7099" t="str">
        <f t="shared" si="289"/>
        <v>0.00030%</v>
      </c>
      <c r="C7099" t="s">
        <v>10</v>
      </c>
      <c r="D7099" t="s">
        <v>10</v>
      </c>
      <c r="E7099" t="str">
        <f>"$ 2,351"</f>
        <v>$ 2,351</v>
      </c>
      <c r="F7099">
        <v>509</v>
      </c>
    </row>
    <row r="7100" spans="1:6">
      <c r="A7100" t="s">
        <v>7076</v>
      </c>
      <c r="B7100" t="str">
        <f t="shared" si="289"/>
        <v>0.00030%</v>
      </c>
      <c r="C7100" t="s">
        <v>10</v>
      </c>
      <c r="D7100" t="s">
        <v>10</v>
      </c>
      <c r="E7100" t="str">
        <f>"$ 2,350"</f>
        <v>$ 2,350</v>
      </c>
      <c r="F7100">
        <v>168</v>
      </c>
    </row>
    <row r="7101" spans="1:6">
      <c r="A7101" t="s">
        <v>7077</v>
      </c>
      <c r="B7101" t="str">
        <f t="shared" si="289"/>
        <v>0.00030%</v>
      </c>
      <c r="C7101" t="s">
        <v>10</v>
      </c>
      <c r="D7101" t="s">
        <v>10</v>
      </c>
      <c r="E7101" t="str">
        <f>"$ 2,335"</f>
        <v>$ 2,335</v>
      </c>
      <c r="F7101">
        <v>364</v>
      </c>
    </row>
    <row r="7102" spans="1:6">
      <c r="A7102" t="s">
        <v>7078</v>
      </c>
      <c r="B7102" t="str">
        <f t="shared" si="289"/>
        <v>0.00030%</v>
      </c>
      <c r="C7102" t="s">
        <v>10</v>
      </c>
      <c r="D7102" t="s">
        <v>10</v>
      </c>
      <c r="E7102" t="str">
        <f>"$ 2,340"</f>
        <v>$ 2,340</v>
      </c>
      <c r="F7102">
        <v>93</v>
      </c>
    </row>
    <row r="7103" spans="1:6">
      <c r="A7103" t="s">
        <v>7079</v>
      </c>
      <c r="B7103" t="str">
        <f t="shared" si="289"/>
        <v>0.00030%</v>
      </c>
      <c r="C7103" t="s">
        <v>10</v>
      </c>
      <c r="D7103" t="s">
        <v>10</v>
      </c>
      <c r="E7103" t="str">
        <f>"$ 2,307"</f>
        <v>$ 2,307</v>
      </c>
      <c r="F7103">
        <v>155</v>
      </c>
    </row>
    <row r="7104" spans="1:6">
      <c r="A7104" t="s">
        <v>7080</v>
      </c>
      <c r="B7104" t="str">
        <f t="shared" si="289"/>
        <v>0.00030%</v>
      </c>
      <c r="C7104" t="s">
        <v>10</v>
      </c>
      <c r="D7104" t="s">
        <v>10</v>
      </c>
      <c r="E7104" t="str">
        <f>"$ 2,318"</f>
        <v>$ 2,318</v>
      </c>
      <c r="F7104" s="1">
        <v>1270</v>
      </c>
    </row>
    <row r="7105" spans="1:6">
      <c r="A7105" t="s">
        <v>7081</v>
      </c>
      <c r="B7105" t="str">
        <f t="shared" si="289"/>
        <v>0.00030%</v>
      </c>
      <c r="C7105" t="s">
        <v>10</v>
      </c>
      <c r="D7105" t="s">
        <v>10</v>
      </c>
      <c r="E7105" t="str">
        <f>"$ 2,345"</f>
        <v>$ 2,345</v>
      </c>
      <c r="F7105">
        <v>218</v>
      </c>
    </row>
    <row r="7106" spans="1:6">
      <c r="A7106" t="s">
        <v>7082</v>
      </c>
      <c r="B7106" t="str">
        <f t="shared" si="289"/>
        <v>0.00030%</v>
      </c>
      <c r="C7106" t="s">
        <v>10</v>
      </c>
      <c r="D7106" t="s">
        <v>10</v>
      </c>
      <c r="E7106" t="str">
        <f>"$ 2,285"</f>
        <v>$ 2,285</v>
      </c>
      <c r="F7106">
        <v>441</v>
      </c>
    </row>
    <row r="7107" spans="1:6">
      <c r="A7107" t="s">
        <v>7083</v>
      </c>
      <c r="B7107" t="str">
        <f t="shared" ref="B7107:B7142" si="290">"0.00030%"</f>
        <v>0.00030%</v>
      </c>
      <c r="C7107" t="s">
        <v>10</v>
      </c>
      <c r="D7107" t="s">
        <v>10</v>
      </c>
      <c r="E7107" t="str">
        <f>"$ 2,290"</f>
        <v>$ 2,290</v>
      </c>
      <c r="F7107" s="1">
        <v>2437</v>
      </c>
    </row>
    <row r="7108" spans="1:6">
      <c r="A7108" t="s">
        <v>7084</v>
      </c>
      <c r="B7108" t="str">
        <f t="shared" si="290"/>
        <v>0.00030%</v>
      </c>
      <c r="C7108" t="s">
        <v>10</v>
      </c>
      <c r="D7108" t="s">
        <v>10</v>
      </c>
      <c r="E7108" t="str">
        <f>"$ 2,305"</f>
        <v>$ 2,305</v>
      </c>
      <c r="F7108" s="1">
        <v>2462</v>
      </c>
    </row>
    <row r="7109" spans="1:6">
      <c r="A7109" t="s">
        <v>7085</v>
      </c>
      <c r="B7109" t="str">
        <f t="shared" si="290"/>
        <v>0.00030%</v>
      </c>
      <c r="C7109" t="s">
        <v>10</v>
      </c>
      <c r="D7109" t="s">
        <v>10</v>
      </c>
      <c r="E7109" t="str">
        <f>"$ 2,282"</f>
        <v>$ 2,282</v>
      </c>
      <c r="F7109">
        <v>145</v>
      </c>
    </row>
    <row r="7110" spans="1:6">
      <c r="A7110" t="s">
        <v>7086</v>
      </c>
      <c r="B7110" t="str">
        <f t="shared" si="290"/>
        <v>0.00030%</v>
      </c>
      <c r="C7110" t="s">
        <v>10</v>
      </c>
      <c r="D7110" t="s">
        <v>10</v>
      </c>
      <c r="E7110" t="str">
        <f>"$ 2,288"</f>
        <v>$ 2,288</v>
      </c>
      <c r="F7110" s="1">
        <v>4667</v>
      </c>
    </row>
    <row r="7111" spans="1:6">
      <c r="A7111" t="s">
        <v>7087</v>
      </c>
      <c r="B7111" t="str">
        <f t="shared" si="290"/>
        <v>0.00030%</v>
      </c>
      <c r="C7111" t="s">
        <v>10</v>
      </c>
      <c r="D7111" t="s">
        <v>10</v>
      </c>
      <c r="E7111" t="str">
        <f>"$ 2,331"</f>
        <v>$ 2,331</v>
      </c>
      <c r="F7111" s="1">
        <v>110518</v>
      </c>
    </row>
    <row r="7112" spans="1:6">
      <c r="A7112" t="s">
        <v>7088</v>
      </c>
      <c r="B7112" t="str">
        <f t="shared" si="290"/>
        <v>0.00030%</v>
      </c>
      <c r="C7112" t="s">
        <v>10</v>
      </c>
      <c r="D7112" t="s">
        <v>10</v>
      </c>
      <c r="E7112" t="str">
        <f>"$ 2,339"</f>
        <v>$ 2,339</v>
      </c>
      <c r="F7112" s="1">
        <v>1703</v>
      </c>
    </row>
    <row r="7113" spans="1:6">
      <c r="A7113" t="s">
        <v>7089</v>
      </c>
      <c r="B7113" t="str">
        <f t="shared" si="290"/>
        <v>0.00030%</v>
      </c>
      <c r="C7113" t="s">
        <v>10</v>
      </c>
      <c r="D7113" t="s">
        <v>10</v>
      </c>
      <c r="E7113" t="str">
        <f>"$ 2,338"</f>
        <v>$ 2,338</v>
      </c>
      <c r="F7113">
        <v>62</v>
      </c>
    </row>
    <row r="7114" spans="1:6">
      <c r="A7114" t="s">
        <v>7090</v>
      </c>
      <c r="B7114" t="str">
        <f t="shared" si="290"/>
        <v>0.00030%</v>
      </c>
      <c r="C7114" t="s">
        <v>10</v>
      </c>
      <c r="D7114" t="s">
        <v>10</v>
      </c>
      <c r="E7114" t="str">
        <f>"$ 2,344"</f>
        <v>$ 2,344</v>
      </c>
      <c r="F7114">
        <v>82</v>
      </c>
    </row>
    <row r="7115" spans="1:6">
      <c r="A7115" t="s">
        <v>7091</v>
      </c>
      <c r="B7115" t="str">
        <f t="shared" si="290"/>
        <v>0.00030%</v>
      </c>
      <c r="C7115" t="s">
        <v>10</v>
      </c>
      <c r="D7115" t="s">
        <v>10</v>
      </c>
      <c r="E7115" t="str">
        <f>"$ 2,344"</f>
        <v>$ 2,344</v>
      </c>
      <c r="F7115" s="1">
        <v>2128</v>
      </c>
    </row>
    <row r="7116" spans="1:6">
      <c r="A7116" t="s">
        <v>7092</v>
      </c>
      <c r="B7116" t="str">
        <f t="shared" si="290"/>
        <v>0.00030%</v>
      </c>
      <c r="C7116" t="s">
        <v>10</v>
      </c>
      <c r="D7116" t="s">
        <v>10</v>
      </c>
      <c r="E7116" t="str">
        <f>"$ 2,344"</f>
        <v>$ 2,344</v>
      </c>
      <c r="F7116">
        <v>74</v>
      </c>
    </row>
    <row r="7117" spans="1:6">
      <c r="A7117" t="s">
        <v>7093</v>
      </c>
      <c r="B7117" t="str">
        <f t="shared" si="290"/>
        <v>0.00030%</v>
      </c>
      <c r="C7117" t="s">
        <v>10</v>
      </c>
      <c r="D7117" t="s">
        <v>10</v>
      </c>
      <c r="E7117" t="str">
        <f>"$ 2,327"</f>
        <v>$ 2,327</v>
      </c>
      <c r="F7117">
        <v>90</v>
      </c>
    </row>
    <row r="7118" spans="1:6">
      <c r="A7118" t="s">
        <v>7094</v>
      </c>
      <c r="B7118" t="str">
        <f t="shared" si="290"/>
        <v>0.00030%</v>
      </c>
      <c r="C7118" t="s">
        <v>10</v>
      </c>
      <c r="D7118" t="s">
        <v>10</v>
      </c>
      <c r="E7118" t="str">
        <f>"$ 2,291"</f>
        <v>$ 2,291</v>
      </c>
      <c r="F7118">
        <v>82</v>
      </c>
    </row>
    <row r="7119" spans="1:6">
      <c r="A7119" t="s">
        <v>7095</v>
      </c>
      <c r="B7119" t="str">
        <f t="shared" si="290"/>
        <v>0.00030%</v>
      </c>
      <c r="C7119" t="s">
        <v>10</v>
      </c>
      <c r="D7119" t="s">
        <v>10</v>
      </c>
      <c r="E7119" t="str">
        <f>"$ 2,295"</f>
        <v>$ 2,295</v>
      </c>
      <c r="F7119">
        <v>660</v>
      </c>
    </row>
    <row r="7120" spans="1:6">
      <c r="A7120" t="s">
        <v>7096</v>
      </c>
      <c r="B7120" t="str">
        <f t="shared" si="290"/>
        <v>0.00030%</v>
      </c>
      <c r="C7120" t="s">
        <v>10</v>
      </c>
      <c r="D7120" t="s">
        <v>10</v>
      </c>
      <c r="E7120" t="str">
        <f>"$ 2,300"</f>
        <v>$ 2,300</v>
      </c>
      <c r="F7120" s="1">
        <v>2644</v>
      </c>
    </row>
    <row r="7121" spans="1:6">
      <c r="A7121" t="s">
        <v>6104</v>
      </c>
      <c r="B7121" t="str">
        <f t="shared" si="290"/>
        <v>0.00030%</v>
      </c>
      <c r="C7121" t="s">
        <v>10</v>
      </c>
      <c r="D7121" t="s">
        <v>10</v>
      </c>
      <c r="E7121" t="str">
        <f>"$ 2,296"</f>
        <v>$ 2,296</v>
      </c>
      <c r="F7121" s="1">
        <v>1842</v>
      </c>
    </row>
    <row r="7122" spans="1:6">
      <c r="A7122" t="s">
        <v>7097</v>
      </c>
      <c r="B7122" t="str">
        <f t="shared" si="290"/>
        <v>0.00030%</v>
      </c>
      <c r="C7122" t="s">
        <v>10</v>
      </c>
      <c r="D7122" t="s">
        <v>10</v>
      </c>
      <c r="E7122" t="str">
        <f>"$ 2,313"</f>
        <v>$ 2,313</v>
      </c>
      <c r="F7122">
        <v>66</v>
      </c>
    </row>
    <row r="7123" spans="1:6">
      <c r="A7123" t="s">
        <v>7098</v>
      </c>
      <c r="B7123" t="str">
        <f t="shared" si="290"/>
        <v>0.00030%</v>
      </c>
      <c r="C7123" t="s">
        <v>10</v>
      </c>
      <c r="D7123" t="s">
        <v>10</v>
      </c>
      <c r="E7123" t="str">
        <f>"$ 2,308"</f>
        <v>$ 2,308</v>
      </c>
      <c r="F7123">
        <v>151</v>
      </c>
    </row>
    <row r="7124" spans="1:6">
      <c r="A7124" t="s">
        <v>7099</v>
      </c>
      <c r="B7124" t="str">
        <f t="shared" si="290"/>
        <v>0.00030%</v>
      </c>
      <c r="C7124" t="s">
        <v>10</v>
      </c>
      <c r="D7124" t="s">
        <v>10</v>
      </c>
      <c r="E7124" t="str">
        <f>"$ 2,321"</f>
        <v>$ 2,321</v>
      </c>
      <c r="F7124">
        <v>54</v>
      </c>
    </row>
    <row r="7125" spans="1:6">
      <c r="A7125" t="s">
        <v>7100</v>
      </c>
      <c r="B7125" t="str">
        <f t="shared" si="290"/>
        <v>0.00030%</v>
      </c>
      <c r="C7125" t="s">
        <v>10</v>
      </c>
      <c r="D7125" t="s">
        <v>10</v>
      </c>
      <c r="E7125" t="str">
        <f>"$ 2,349"</f>
        <v>$ 2,349</v>
      </c>
      <c r="F7125">
        <v>259</v>
      </c>
    </row>
    <row r="7126" spans="1:6">
      <c r="A7126" t="s">
        <v>7101</v>
      </c>
      <c r="B7126" t="str">
        <f t="shared" si="290"/>
        <v>0.00030%</v>
      </c>
      <c r="C7126" t="s">
        <v>10</v>
      </c>
      <c r="D7126" t="s">
        <v>10</v>
      </c>
      <c r="E7126" t="str">
        <f>"$ 2,335"</f>
        <v>$ 2,335</v>
      </c>
      <c r="F7126" s="1">
        <v>1270</v>
      </c>
    </row>
    <row r="7127" spans="1:6">
      <c r="A7127" t="s">
        <v>7102</v>
      </c>
      <c r="B7127" t="str">
        <f t="shared" si="290"/>
        <v>0.00030%</v>
      </c>
      <c r="C7127" t="s">
        <v>10</v>
      </c>
      <c r="D7127" t="s">
        <v>10</v>
      </c>
      <c r="E7127" t="str">
        <f>"$ 2,322"</f>
        <v>$ 2,322</v>
      </c>
      <c r="F7127" s="1">
        <v>4337</v>
      </c>
    </row>
    <row r="7128" spans="1:6">
      <c r="A7128" t="s">
        <v>7103</v>
      </c>
      <c r="B7128" t="str">
        <f t="shared" si="290"/>
        <v>0.00030%</v>
      </c>
      <c r="C7128" t="s">
        <v>10</v>
      </c>
      <c r="D7128" t="s">
        <v>10</v>
      </c>
      <c r="E7128" t="str">
        <f>"$ 2,280"</f>
        <v>$ 2,280</v>
      </c>
      <c r="F7128" s="1">
        <v>6878</v>
      </c>
    </row>
    <row r="7129" spans="1:6">
      <c r="A7129" t="s">
        <v>7104</v>
      </c>
      <c r="B7129" t="str">
        <f t="shared" si="290"/>
        <v>0.00030%</v>
      </c>
      <c r="C7129" t="s">
        <v>10</v>
      </c>
      <c r="D7129" t="s">
        <v>10</v>
      </c>
      <c r="E7129" t="str">
        <f>"$ 2,313"</f>
        <v>$ 2,313</v>
      </c>
      <c r="F7129">
        <v>157</v>
      </c>
    </row>
    <row r="7130" spans="1:6">
      <c r="A7130" t="s">
        <v>7105</v>
      </c>
      <c r="B7130" t="str">
        <f t="shared" si="290"/>
        <v>0.00030%</v>
      </c>
      <c r="C7130" t="s">
        <v>10</v>
      </c>
      <c r="D7130" t="s">
        <v>10</v>
      </c>
      <c r="E7130" t="str">
        <f>"$ 2,302"</f>
        <v>$ 2,302</v>
      </c>
      <c r="F7130">
        <v>136</v>
      </c>
    </row>
    <row r="7131" spans="1:6">
      <c r="A7131" t="s">
        <v>7106</v>
      </c>
      <c r="B7131" t="str">
        <f t="shared" si="290"/>
        <v>0.00030%</v>
      </c>
      <c r="C7131" t="s">
        <v>10</v>
      </c>
      <c r="D7131" t="s">
        <v>10</v>
      </c>
      <c r="E7131" t="str">
        <f>"$ 2,324"</f>
        <v>$ 2,324</v>
      </c>
      <c r="F7131">
        <v>131</v>
      </c>
    </row>
    <row r="7132" spans="1:6">
      <c r="A7132" t="s">
        <v>7107</v>
      </c>
      <c r="B7132" t="str">
        <f t="shared" si="290"/>
        <v>0.00030%</v>
      </c>
      <c r="C7132" t="s">
        <v>10</v>
      </c>
      <c r="D7132" t="s">
        <v>10</v>
      </c>
      <c r="E7132" t="str">
        <f>"$ 2,295"</f>
        <v>$ 2,295</v>
      </c>
      <c r="F7132">
        <v>330</v>
      </c>
    </row>
    <row r="7133" spans="1:6">
      <c r="A7133" t="s">
        <v>7108</v>
      </c>
      <c r="B7133" t="str">
        <f t="shared" si="290"/>
        <v>0.00030%</v>
      </c>
      <c r="C7133" t="s">
        <v>10</v>
      </c>
      <c r="D7133" t="s">
        <v>10</v>
      </c>
      <c r="E7133" t="str">
        <f>"$ 2,291"</f>
        <v>$ 2,291</v>
      </c>
      <c r="F7133">
        <v>167</v>
      </c>
    </row>
    <row r="7134" spans="1:6">
      <c r="A7134" t="s">
        <v>7109</v>
      </c>
      <c r="B7134" t="str">
        <f t="shared" si="290"/>
        <v>0.00030%</v>
      </c>
      <c r="C7134" t="s">
        <v>10</v>
      </c>
      <c r="D7134" t="s">
        <v>10</v>
      </c>
      <c r="E7134" t="str">
        <f>"$ 2,319"</f>
        <v>$ 2,319</v>
      </c>
      <c r="F7134">
        <v>944</v>
      </c>
    </row>
    <row r="7135" spans="1:6">
      <c r="A7135" t="s">
        <v>7110</v>
      </c>
      <c r="B7135" t="str">
        <f t="shared" si="290"/>
        <v>0.00030%</v>
      </c>
      <c r="C7135" t="s">
        <v>10</v>
      </c>
      <c r="D7135" t="s">
        <v>10</v>
      </c>
      <c r="E7135" t="str">
        <f>"$ 2,317"</f>
        <v>$ 2,317</v>
      </c>
      <c r="F7135">
        <v>83</v>
      </c>
    </row>
    <row r="7136" spans="1:6">
      <c r="A7136" t="s">
        <v>7111</v>
      </c>
      <c r="B7136" t="str">
        <f t="shared" si="290"/>
        <v>0.00030%</v>
      </c>
      <c r="C7136" t="s">
        <v>10</v>
      </c>
      <c r="D7136" t="s">
        <v>10</v>
      </c>
      <c r="E7136" t="str">
        <f>"$ 2,306"</f>
        <v>$ 2,306</v>
      </c>
      <c r="F7136">
        <v>190</v>
      </c>
    </row>
    <row r="7137" spans="1:6">
      <c r="A7137" t="s">
        <v>7112</v>
      </c>
      <c r="B7137" t="str">
        <f t="shared" si="290"/>
        <v>0.00030%</v>
      </c>
      <c r="C7137" t="s">
        <v>10</v>
      </c>
      <c r="D7137" t="s">
        <v>10</v>
      </c>
      <c r="E7137" t="str">
        <f>"$ 2,344"</f>
        <v>$ 2,344</v>
      </c>
      <c r="F7137">
        <v>184</v>
      </c>
    </row>
    <row r="7138" spans="1:6">
      <c r="A7138" t="s">
        <v>7113</v>
      </c>
      <c r="B7138" t="str">
        <f t="shared" si="290"/>
        <v>0.00030%</v>
      </c>
      <c r="C7138" t="s">
        <v>10</v>
      </c>
      <c r="D7138" t="s">
        <v>10</v>
      </c>
      <c r="E7138" t="str">
        <f>"$ 2,337"</f>
        <v>$ 2,337</v>
      </c>
      <c r="F7138" s="1">
        <v>1392</v>
      </c>
    </row>
    <row r="7139" spans="1:6">
      <c r="A7139" t="s">
        <v>7114</v>
      </c>
      <c r="B7139" t="str">
        <f t="shared" si="290"/>
        <v>0.00030%</v>
      </c>
      <c r="C7139" t="s">
        <v>10</v>
      </c>
      <c r="D7139" t="s">
        <v>10</v>
      </c>
      <c r="E7139" t="str">
        <f>"$ 2,346"</f>
        <v>$ 2,346</v>
      </c>
      <c r="F7139">
        <v>127</v>
      </c>
    </row>
    <row r="7140" spans="1:6">
      <c r="A7140" t="s">
        <v>7115</v>
      </c>
      <c r="B7140" t="str">
        <f t="shared" si="290"/>
        <v>0.00030%</v>
      </c>
      <c r="C7140" t="s">
        <v>10</v>
      </c>
      <c r="D7140" t="s">
        <v>10</v>
      </c>
      <c r="E7140" t="str">
        <f>"$ 2,289"</f>
        <v>$ 2,289</v>
      </c>
      <c r="F7140">
        <v>138</v>
      </c>
    </row>
    <row r="7141" spans="1:6">
      <c r="A7141" t="s">
        <v>7116</v>
      </c>
      <c r="B7141" t="str">
        <f t="shared" si="290"/>
        <v>0.00030%</v>
      </c>
      <c r="C7141" t="s">
        <v>10</v>
      </c>
      <c r="D7141" t="s">
        <v>10</v>
      </c>
      <c r="E7141" t="str">
        <f>"$ 2,316"</f>
        <v>$ 2,316</v>
      </c>
      <c r="F7141">
        <v>128</v>
      </c>
    </row>
    <row r="7142" spans="1:6">
      <c r="A7142" t="s">
        <v>7117</v>
      </c>
      <c r="B7142" t="str">
        <f t="shared" si="290"/>
        <v>0.00030%</v>
      </c>
      <c r="C7142" t="s">
        <v>10</v>
      </c>
      <c r="D7142" t="s">
        <v>10</v>
      </c>
      <c r="E7142" t="str">
        <f>"$ 2,348"</f>
        <v>$ 2,348</v>
      </c>
      <c r="F7142">
        <v>327</v>
      </c>
    </row>
    <row r="7143" spans="1:6">
      <c r="A7143" t="s">
        <v>7118</v>
      </c>
      <c r="B7143" t="str">
        <f t="shared" ref="B7143:B7174" si="291">"0.00029%"</f>
        <v>0.00029%</v>
      </c>
      <c r="C7143" t="s">
        <v>10</v>
      </c>
      <c r="D7143" t="s">
        <v>10</v>
      </c>
      <c r="E7143" t="str">
        <f>"$ 2,263"</f>
        <v>$ 2,263</v>
      </c>
      <c r="F7143">
        <v>282</v>
      </c>
    </row>
    <row r="7144" spans="1:6">
      <c r="A7144" t="s">
        <v>7119</v>
      </c>
      <c r="B7144" t="str">
        <f t="shared" si="291"/>
        <v>0.00029%</v>
      </c>
      <c r="C7144" t="s">
        <v>10</v>
      </c>
      <c r="D7144" t="s">
        <v>10</v>
      </c>
      <c r="E7144" t="str">
        <f>"$ 2,261"</f>
        <v>$ 2,261</v>
      </c>
      <c r="F7144" s="1">
        <v>2227</v>
      </c>
    </row>
    <row r="7145" spans="1:6">
      <c r="A7145" t="s">
        <v>7120</v>
      </c>
      <c r="B7145" t="str">
        <f t="shared" si="291"/>
        <v>0.00029%</v>
      </c>
      <c r="C7145" t="s">
        <v>10</v>
      </c>
      <c r="D7145" t="s">
        <v>10</v>
      </c>
      <c r="E7145" t="str">
        <f>"$ 2,207"</f>
        <v>$ 2,207</v>
      </c>
      <c r="F7145">
        <v>406</v>
      </c>
    </row>
    <row r="7146" spans="1:6">
      <c r="A7146" t="s">
        <v>7121</v>
      </c>
      <c r="B7146" t="str">
        <f t="shared" si="291"/>
        <v>0.00029%</v>
      </c>
      <c r="C7146" t="s">
        <v>10</v>
      </c>
      <c r="D7146" t="s">
        <v>10</v>
      </c>
      <c r="E7146" t="str">
        <f>"$ 2,236"</f>
        <v>$ 2,236</v>
      </c>
      <c r="F7146" s="1">
        <v>4347</v>
      </c>
    </row>
    <row r="7147" spans="1:6">
      <c r="A7147" t="s">
        <v>7122</v>
      </c>
      <c r="B7147" t="str">
        <f t="shared" si="291"/>
        <v>0.00029%</v>
      </c>
      <c r="C7147" t="s">
        <v>10</v>
      </c>
      <c r="D7147" t="s">
        <v>10</v>
      </c>
      <c r="E7147" t="str">
        <f>"$ 2,252"</f>
        <v>$ 2,252</v>
      </c>
      <c r="F7147">
        <v>99</v>
      </c>
    </row>
    <row r="7148" spans="1:6">
      <c r="A7148" t="s">
        <v>7123</v>
      </c>
      <c r="B7148" t="str">
        <f t="shared" si="291"/>
        <v>0.00029%</v>
      </c>
      <c r="C7148" t="s">
        <v>10</v>
      </c>
      <c r="D7148" t="s">
        <v>10</v>
      </c>
      <c r="E7148" t="str">
        <f>"$ 2,259"</f>
        <v>$ 2,259</v>
      </c>
      <c r="F7148" s="1">
        <v>3443</v>
      </c>
    </row>
    <row r="7149" spans="1:6">
      <c r="A7149" t="s">
        <v>7124</v>
      </c>
      <c r="B7149" t="str">
        <f t="shared" si="291"/>
        <v>0.00029%</v>
      </c>
      <c r="C7149" t="s">
        <v>10</v>
      </c>
      <c r="D7149" t="s">
        <v>10</v>
      </c>
      <c r="E7149" t="str">
        <f>"$ 2,204"</f>
        <v>$ 2,204</v>
      </c>
      <c r="F7149">
        <v>449</v>
      </c>
    </row>
    <row r="7150" spans="1:6">
      <c r="A7150" t="s">
        <v>7125</v>
      </c>
      <c r="B7150" t="str">
        <f t="shared" si="291"/>
        <v>0.00029%</v>
      </c>
      <c r="C7150" t="s">
        <v>10</v>
      </c>
      <c r="D7150" t="s">
        <v>10</v>
      </c>
      <c r="E7150" t="str">
        <f>"$ 2,215"</f>
        <v>$ 2,215</v>
      </c>
      <c r="F7150" s="1">
        <v>11771</v>
      </c>
    </row>
    <row r="7151" spans="1:6">
      <c r="A7151" t="s">
        <v>7126</v>
      </c>
      <c r="B7151" t="str">
        <f t="shared" si="291"/>
        <v>0.00029%</v>
      </c>
      <c r="C7151" t="s">
        <v>10</v>
      </c>
      <c r="D7151" t="s">
        <v>10</v>
      </c>
      <c r="E7151" t="str">
        <f>"$ 2,274"</f>
        <v>$ 2,274</v>
      </c>
      <c r="F7151">
        <v>670</v>
      </c>
    </row>
    <row r="7152" spans="1:6">
      <c r="A7152" t="s">
        <v>7127</v>
      </c>
      <c r="B7152" t="str">
        <f t="shared" si="291"/>
        <v>0.00029%</v>
      </c>
      <c r="C7152" t="s">
        <v>10</v>
      </c>
      <c r="D7152" t="s">
        <v>10</v>
      </c>
      <c r="E7152" t="str">
        <f>"$ 2,260"</f>
        <v>$ 2,260</v>
      </c>
      <c r="F7152" s="1">
        <v>6679</v>
      </c>
    </row>
    <row r="7153" spans="1:6">
      <c r="A7153" t="s">
        <v>7128</v>
      </c>
      <c r="B7153" t="str">
        <f t="shared" si="291"/>
        <v>0.00029%</v>
      </c>
      <c r="C7153" t="s">
        <v>10</v>
      </c>
      <c r="D7153" t="s">
        <v>10</v>
      </c>
      <c r="E7153" t="str">
        <f>"$ 2,211"</f>
        <v>$ 2,211</v>
      </c>
      <c r="F7153" s="1">
        <v>1578</v>
      </c>
    </row>
    <row r="7154" spans="1:6">
      <c r="A7154" t="s">
        <v>7129</v>
      </c>
      <c r="B7154" t="str">
        <f t="shared" si="291"/>
        <v>0.00029%</v>
      </c>
      <c r="C7154" t="s">
        <v>10</v>
      </c>
      <c r="D7154" t="s">
        <v>10</v>
      </c>
      <c r="E7154" t="str">
        <f>"$ 2,237"</f>
        <v>$ 2,237</v>
      </c>
      <c r="F7154">
        <v>99</v>
      </c>
    </row>
    <row r="7155" spans="1:6">
      <c r="A7155" t="s">
        <v>7130</v>
      </c>
      <c r="B7155" t="str">
        <f t="shared" si="291"/>
        <v>0.00029%</v>
      </c>
      <c r="C7155" t="s">
        <v>10</v>
      </c>
      <c r="D7155" t="s">
        <v>10</v>
      </c>
      <c r="E7155" t="str">
        <f>"$ 2,244"</f>
        <v>$ 2,244</v>
      </c>
      <c r="F7155">
        <v>46</v>
      </c>
    </row>
    <row r="7156" spans="1:6">
      <c r="A7156" t="s">
        <v>7131</v>
      </c>
      <c r="B7156" t="str">
        <f t="shared" si="291"/>
        <v>0.00029%</v>
      </c>
      <c r="C7156" t="s">
        <v>10</v>
      </c>
      <c r="D7156" t="s">
        <v>10</v>
      </c>
      <c r="E7156" t="str">
        <f>"$ 2,246"</f>
        <v>$ 2,246</v>
      </c>
      <c r="F7156">
        <v>238</v>
      </c>
    </row>
    <row r="7157" spans="1:6">
      <c r="A7157" t="s">
        <v>7132</v>
      </c>
      <c r="B7157" t="str">
        <f t="shared" si="291"/>
        <v>0.00029%</v>
      </c>
      <c r="C7157" t="s">
        <v>10</v>
      </c>
      <c r="D7157" t="s">
        <v>10</v>
      </c>
      <c r="E7157" t="str">
        <f>"$ 2,238"</f>
        <v>$ 2,238</v>
      </c>
      <c r="F7157">
        <v>88</v>
      </c>
    </row>
    <row r="7158" spans="1:6">
      <c r="A7158" t="s">
        <v>7133</v>
      </c>
      <c r="B7158" t="str">
        <f t="shared" si="291"/>
        <v>0.00029%</v>
      </c>
      <c r="C7158" t="s">
        <v>10</v>
      </c>
      <c r="D7158" t="s">
        <v>10</v>
      </c>
      <c r="E7158" t="str">
        <f>"$ 2,217"</f>
        <v>$ 2,217</v>
      </c>
      <c r="F7158">
        <v>99</v>
      </c>
    </row>
    <row r="7159" spans="1:6">
      <c r="A7159" t="s">
        <v>7134</v>
      </c>
      <c r="B7159" t="str">
        <f t="shared" si="291"/>
        <v>0.00029%</v>
      </c>
      <c r="C7159" t="s">
        <v>10</v>
      </c>
      <c r="D7159" t="s">
        <v>10</v>
      </c>
      <c r="E7159" t="str">
        <f>"$ 2,246"</f>
        <v>$ 2,246</v>
      </c>
      <c r="F7159">
        <v>6</v>
      </c>
    </row>
    <row r="7160" spans="1:6">
      <c r="A7160" t="s">
        <v>7135</v>
      </c>
      <c r="B7160" t="str">
        <f t="shared" si="291"/>
        <v>0.00029%</v>
      </c>
      <c r="C7160" t="s">
        <v>10</v>
      </c>
      <c r="D7160" t="s">
        <v>10</v>
      </c>
      <c r="E7160" t="str">
        <f>"$ 2,258"</f>
        <v>$ 2,258</v>
      </c>
      <c r="F7160">
        <v>214</v>
      </c>
    </row>
    <row r="7161" spans="1:6">
      <c r="A7161" t="s">
        <v>6384</v>
      </c>
      <c r="B7161" t="str">
        <f t="shared" si="291"/>
        <v>0.00029%</v>
      </c>
      <c r="C7161" t="s">
        <v>10</v>
      </c>
      <c r="D7161" t="s">
        <v>10</v>
      </c>
      <c r="E7161" t="str">
        <f>"$ 2,250"</f>
        <v>$ 2,250</v>
      </c>
      <c r="F7161" s="1">
        <v>1327</v>
      </c>
    </row>
    <row r="7162" spans="1:6">
      <c r="A7162" t="s">
        <v>7136</v>
      </c>
      <c r="B7162" t="str">
        <f t="shared" si="291"/>
        <v>0.00029%</v>
      </c>
      <c r="C7162" t="s">
        <v>10</v>
      </c>
      <c r="D7162" t="s">
        <v>10</v>
      </c>
      <c r="E7162" t="str">
        <f>"$ 2,246"</f>
        <v>$ 2,246</v>
      </c>
      <c r="F7162">
        <v>86</v>
      </c>
    </row>
    <row r="7163" spans="1:6">
      <c r="A7163" t="s">
        <v>7137</v>
      </c>
      <c r="B7163" t="str">
        <f t="shared" si="291"/>
        <v>0.00029%</v>
      </c>
      <c r="C7163" t="s">
        <v>10</v>
      </c>
      <c r="D7163" t="s">
        <v>10</v>
      </c>
      <c r="E7163" t="str">
        <f>"$ 2,252"</f>
        <v>$ 2,252</v>
      </c>
      <c r="F7163">
        <v>75</v>
      </c>
    </row>
    <row r="7164" spans="1:6">
      <c r="A7164" t="s">
        <v>7138</v>
      </c>
      <c r="B7164" t="str">
        <f t="shared" si="291"/>
        <v>0.00029%</v>
      </c>
      <c r="C7164" t="s">
        <v>10</v>
      </c>
      <c r="D7164" t="s">
        <v>10</v>
      </c>
      <c r="E7164" t="str">
        <f>"$ 2,263"</f>
        <v>$ 2,263</v>
      </c>
      <c r="F7164">
        <v>115</v>
      </c>
    </row>
    <row r="7165" spans="1:6">
      <c r="A7165" t="s">
        <v>7139</v>
      </c>
      <c r="B7165" t="str">
        <f t="shared" si="291"/>
        <v>0.00029%</v>
      </c>
      <c r="C7165" t="s">
        <v>10</v>
      </c>
      <c r="D7165" t="s">
        <v>10</v>
      </c>
      <c r="E7165" t="str">
        <f>"$ 2,229"</f>
        <v>$ 2,229</v>
      </c>
      <c r="F7165">
        <v>236</v>
      </c>
    </row>
    <row r="7166" spans="1:6">
      <c r="A7166" t="s">
        <v>7140</v>
      </c>
      <c r="B7166" t="str">
        <f t="shared" si="291"/>
        <v>0.00029%</v>
      </c>
      <c r="C7166" t="s">
        <v>10</v>
      </c>
      <c r="D7166" t="s">
        <v>10</v>
      </c>
      <c r="E7166" t="str">
        <f>"$ 2,209"</f>
        <v>$ 2,209</v>
      </c>
      <c r="F7166" s="1">
        <v>17456</v>
      </c>
    </row>
    <row r="7167" spans="1:6">
      <c r="A7167" t="s">
        <v>7141</v>
      </c>
      <c r="B7167" t="str">
        <f t="shared" si="291"/>
        <v>0.00029%</v>
      </c>
      <c r="C7167" t="s">
        <v>10</v>
      </c>
      <c r="D7167" t="s">
        <v>10</v>
      </c>
      <c r="E7167" t="str">
        <f>"$ 2,206"</f>
        <v>$ 2,206</v>
      </c>
      <c r="F7167">
        <v>595</v>
      </c>
    </row>
    <row r="7168" spans="1:6">
      <c r="A7168" t="s">
        <v>7142</v>
      </c>
      <c r="B7168" t="str">
        <f t="shared" si="291"/>
        <v>0.00029%</v>
      </c>
      <c r="C7168" t="s">
        <v>10</v>
      </c>
      <c r="D7168" t="s">
        <v>10</v>
      </c>
      <c r="E7168" t="str">
        <f>"$ 2,250"</f>
        <v>$ 2,250</v>
      </c>
      <c r="F7168">
        <v>321</v>
      </c>
    </row>
    <row r="7169" spans="1:6">
      <c r="A7169" t="s">
        <v>7143</v>
      </c>
      <c r="B7169" t="str">
        <f t="shared" si="291"/>
        <v>0.00029%</v>
      </c>
      <c r="C7169" t="s">
        <v>10</v>
      </c>
      <c r="D7169" t="s">
        <v>10</v>
      </c>
      <c r="E7169" t="str">
        <f>"$ 2,265"</f>
        <v>$ 2,265</v>
      </c>
      <c r="F7169">
        <v>516</v>
      </c>
    </row>
    <row r="7170" spans="1:6">
      <c r="A7170" t="s">
        <v>7144</v>
      </c>
      <c r="B7170" t="str">
        <f t="shared" si="291"/>
        <v>0.00029%</v>
      </c>
      <c r="C7170" t="s">
        <v>10</v>
      </c>
      <c r="D7170" t="s">
        <v>10</v>
      </c>
      <c r="E7170" t="str">
        <f>"$ 2,246"</f>
        <v>$ 2,246</v>
      </c>
      <c r="F7170" s="1">
        <v>5277</v>
      </c>
    </row>
    <row r="7171" spans="1:6">
      <c r="A7171" t="s">
        <v>7145</v>
      </c>
      <c r="B7171" t="str">
        <f t="shared" si="291"/>
        <v>0.00029%</v>
      </c>
      <c r="C7171" t="s">
        <v>10</v>
      </c>
      <c r="D7171" t="s">
        <v>10</v>
      </c>
      <c r="E7171" t="str">
        <f>"$ 2,234"</f>
        <v>$ 2,234</v>
      </c>
      <c r="F7171">
        <v>110</v>
      </c>
    </row>
    <row r="7172" spans="1:6">
      <c r="A7172" t="s">
        <v>7146</v>
      </c>
      <c r="B7172" t="str">
        <f t="shared" si="291"/>
        <v>0.00029%</v>
      </c>
      <c r="C7172" t="s">
        <v>10</v>
      </c>
      <c r="D7172" t="s">
        <v>10</v>
      </c>
      <c r="E7172" t="str">
        <f>"$ 2,215"</f>
        <v>$ 2,215</v>
      </c>
      <c r="F7172">
        <v>363</v>
      </c>
    </row>
    <row r="7173" spans="1:6">
      <c r="A7173" t="s">
        <v>7147</v>
      </c>
      <c r="B7173" t="str">
        <f t="shared" si="291"/>
        <v>0.00029%</v>
      </c>
      <c r="C7173" t="s">
        <v>10</v>
      </c>
      <c r="D7173" t="s">
        <v>10</v>
      </c>
      <c r="E7173" t="str">
        <f>"$ 2,233"</f>
        <v>$ 2,233</v>
      </c>
      <c r="F7173">
        <v>82</v>
      </c>
    </row>
    <row r="7174" spans="1:6">
      <c r="A7174" t="s">
        <v>7148</v>
      </c>
      <c r="B7174" t="str">
        <f t="shared" si="291"/>
        <v>0.00029%</v>
      </c>
      <c r="C7174" t="s">
        <v>10</v>
      </c>
      <c r="D7174" t="s">
        <v>10</v>
      </c>
      <c r="E7174" t="str">
        <f>"$ 2,237"</f>
        <v>$ 2,237</v>
      </c>
      <c r="F7174" s="1">
        <v>1908</v>
      </c>
    </row>
    <row r="7175" spans="1:6">
      <c r="A7175" t="s">
        <v>7149</v>
      </c>
      <c r="B7175" t="str">
        <f t="shared" ref="B7175:B7203" si="292">"0.00029%"</f>
        <v>0.00029%</v>
      </c>
      <c r="C7175" t="s">
        <v>10</v>
      </c>
      <c r="D7175" t="s">
        <v>10</v>
      </c>
      <c r="E7175" t="str">
        <f>"$ 2,263"</f>
        <v>$ 2,263</v>
      </c>
      <c r="F7175" s="1">
        <v>3476</v>
      </c>
    </row>
    <row r="7176" spans="1:6">
      <c r="A7176" t="s">
        <v>7150</v>
      </c>
      <c r="B7176" t="str">
        <f t="shared" si="292"/>
        <v>0.00029%</v>
      </c>
      <c r="C7176" t="s">
        <v>10</v>
      </c>
      <c r="D7176" t="s">
        <v>10</v>
      </c>
      <c r="E7176" t="str">
        <f>"$ 2,259"</f>
        <v>$ 2,259</v>
      </c>
      <c r="F7176" s="1">
        <v>5875</v>
      </c>
    </row>
    <row r="7177" spans="1:6">
      <c r="A7177" t="s">
        <v>7151</v>
      </c>
      <c r="B7177" t="str">
        <f t="shared" si="292"/>
        <v>0.00029%</v>
      </c>
      <c r="C7177" t="s">
        <v>10</v>
      </c>
      <c r="D7177" t="s">
        <v>10</v>
      </c>
      <c r="E7177" t="str">
        <f>"$ 2,232"</f>
        <v>$ 2,232</v>
      </c>
      <c r="F7177" s="1">
        <v>1899</v>
      </c>
    </row>
    <row r="7178" spans="1:6">
      <c r="A7178" t="s">
        <v>7152</v>
      </c>
      <c r="B7178" t="str">
        <f t="shared" si="292"/>
        <v>0.00029%</v>
      </c>
      <c r="C7178" t="s">
        <v>10</v>
      </c>
      <c r="D7178" t="s">
        <v>10</v>
      </c>
      <c r="E7178" t="str">
        <f>"$ 2,262"</f>
        <v>$ 2,262</v>
      </c>
      <c r="F7178">
        <v>725</v>
      </c>
    </row>
    <row r="7179" spans="1:6">
      <c r="A7179" t="s">
        <v>7153</v>
      </c>
      <c r="B7179" t="str">
        <f t="shared" si="292"/>
        <v>0.00029%</v>
      </c>
      <c r="C7179" t="s">
        <v>10</v>
      </c>
      <c r="D7179" t="s">
        <v>10</v>
      </c>
      <c r="E7179" t="str">
        <f>"$ 2,248"</f>
        <v>$ 2,248</v>
      </c>
      <c r="F7179" s="1">
        <v>4590</v>
      </c>
    </row>
    <row r="7180" spans="1:6">
      <c r="A7180" t="s">
        <v>7154</v>
      </c>
      <c r="B7180" t="str">
        <f t="shared" si="292"/>
        <v>0.00029%</v>
      </c>
      <c r="C7180" t="s">
        <v>10</v>
      </c>
      <c r="D7180" t="s">
        <v>10</v>
      </c>
      <c r="E7180" t="str">
        <f>"$ 2,264"</f>
        <v>$ 2,264</v>
      </c>
      <c r="F7180">
        <v>681</v>
      </c>
    </row>
    <row r="7181" spans="1:6">
      <c r="A7181" t="s">
        <v>7155</v>
      </c>
      <c r="B7181" t="str">
        <f t="shared" si="292"/>
        <v>0.00029%</v>
      </c>
      <c r="C7181" t="s">
        <v>10</v>
      </c>
      <c r="D7181" t="s">
        <v>10</v>
      </c>
      <c r="E7181" t="str">
        <f>"$ 2,269"</f>
        <v>$ 2,269</v>
      </c>
      <c r="F7181">
        <v>174</v>
      </c>
    </row>
    <row r="7182" spans="1:6">
      <c r="A7182" t="s">
        <v>7156</v>
      </c>
      <c r="B7182" t="str">
        <f t="shared" si="292"/>
        <v>0.00029%</v>
      </c>
      <c r="C7182" t="s">
        <v>10</v>
      </c>
      <c r="D7182" t="s">
        <v>10</v>
      </c>
      <c r="E7182" t="str">
        <f>"$ 2,278"</f>
        <v>$ 2,278</v>
      </c>
      <c r="F7182">
        <v>159</v>
      </c>
    </row>
    <row r="7183" spans="1:6">
      <c r="A7183" t="s">
        <v>7157</v>
      </c>
      <c r="B7183" t="str">
        <f t="shared" si="292"/>
        <v>0.00029%</v>
      </c>
      <c r="C7183" t="s">
        <v>10</v>
      </c>
      <c r="D7183" t="s">
        <v>10</v>
      </c>
      <c r="E7183" t="str">
        <f>"$ 2,251"</f>
        <v>$ 2,251</v>
      </c>
      <c r="F7183">
        <v>753</v>
      </c>
    </row>
    <row r="7184" spans="1:6">
      <c r="A7184" t="s">
        <v>7158</v>
      </c>
      <c r="B7184" t="str">
        <f t="shared" si="292"/>
        <v>0.00029%</v>
      </c>
      <c r="C7184" t="s">
        <v>10</v>
      </c>
      <c r="D7184" t="s">
        <v>10</v>
      </c>
      <c r="E7184" t="str">
        <f>"$ 2,240"</f>
        <v>$ 2,240</v>
      </c>
      <c r="F7184">
        <v>330</v>
      </c>
    </row>
    <row r="7185" spans="1:6">
      <c r="A7185" t="s">
        <v>7159</v>
      </c>
      <c r="B7185" t="str">
        <f t="shared" si="292"/>
        <v>0.00029%</v>
      </c>
      <c r="C7185" t="s">
        <v>10</v>
      </c>
      <c r="D7185" t="s">
        <v>10</v>
      </c>
      <c r="E7185" t="str">
        <f>"$ 2,237"</f>
        <v>$ 2,237</v>
      </c>
      <c r="F7185">
        <v>165</v>
      </c>
    </row>
    <row r="7186" spans="1:6">
      <c r="A7186" t="s">
        <v>7160</v>
      </c>
      <c r="B7186" t="str">
        <f t="shared" si="292"/>
        <v>0.00029%</v>
      </c>
      <c r="C7186" t="s">
        <v>10</v>
      </c>
      <c r="D7186" t="s">
        <v>10</v>
      </c>
      <c r="E7186" t="str">
        <f>"$ 2,244"</f>
        <v>$ 2,244</v>
      </c>
      <c r="F7186">
        <v>11</v>
      </c>
    </row>
    <row r="7187" spans="1:6">
      <c r="A7187" t="s">
        <v>7161</v>
      </c>
      <c r="B7187" t="str">
        <f t="shared" si="292"/>
        <v>0.00029%</v>
      </c>
      <c r="C7187" t="s">
        <v>10</v>
      </c>
      <c r="D7187" t="s">
        <v>10</v>
      </c>
      <c r="E7187" t="str">
        <f>"$ 2,207"</f>
        <v>$ 2,207</v>
      </c>
      <c r="F7187">
        <v>261</v>
      </c>
    </row>
    <row r="7188" spans="1:6">
      <c r="A7188" t="s">
        <v>7162</v>
      </c>
      <c r="B7188" t="str">
        <f t="shared" si="292"/>
        <v>0.00029%</v>
      </c>
      <c r="C7188" t="s">
        <v>10</v>
      </c>
      <c r="D7188" t="s">
        <v>10</v>
      </c>
      <c r="E7188" t="str">
        <f>"$ 2,245"</f>
        <v>$ 2,245</v>
      </c>
      <c r="F7188">
        <v>899</v>
      </c>
    </row>
    <row r="7189" spans="1:6">
      <c r="A7189" t="s">
        <v>7163</v>
      </c>
      <c r="B7189" t="str">
        <f t="shared" si="292"/>
        <v>0.00029%</v>
      </c>
      <c r="C7189" t="s">
        <v>10</v>
      </c>
      <c r="D7189" t="s">
        <v>10</v>
      </c>
      <c r="E7189" t="str">
        <f>"$ 2,225"</f>
        <v>$ 2,225</v>
      </c>
      <c r="F7189">
        <v>236</v>
      </c>
    </row>
    <row r="7190" spans="1:6">
      <c r="A7190" t="s">
        <v>7164</v>
      </c>
      <c r="B7190" t="str">
        <f t="shared" si="292"/>
        <v>0.00029%</v>
      </c>
      <c r="C7190" t="s">
        <v>10</v>
      </c>
      <c r="D7190" t="s">
        <v>10</v>
      </c>
      <c r="E7190" t="str">
        <f>"$ 2,265"</f>
        <v>$ 2,265</v>
      </c>
      <c r="F7190" s="1">
        <v>1121</v>
      </c>
    </row>
    <row r="7191" spans="1:6">
      <c r="A7191" t="s">
        <v>7165</v>
      </c>
      <c r="B7191" t="str">
        <f t="shared" si="292"/>
        <v>0.00029%</v>
      </c>
      <c r="C7191" t="s">
        <v>10</v>
      </c>
      <c r="D7191" t="s">
        <v>10</v>
      </c>
      <c r="E7191" t="str">
        <f>"$ 2,216"</f>
        <v>$ 2,216</v>
      </c>
      <c r="F7191" s="1">
        <v>1650</v>
      </c>
    </row>
    <row r="7192" spans="1:6">
      <c r="A7192" t="s">
        <v>7166</v>
      </c>
      <c r="B7192" t="str">
        <f t="shared" si="292"/>
        <v>0.00029%</v>
      </c>
      <c r="C7192" t="s">
        <v>10</v>
      </c>
      <c r="D7192" t="s">
        <v>10</v>
      </c>
      <c r="E7192" t="str">
        <f>"$ 2,201"</f>
        <v>$ 2,201</v>
      </c>
      <c r="F7192">
        <v>803</v>
      </c>
    </row>
    <row r="7193" spans="1:6">
      <c r="A7193" t="s">
        <v>7167</v>
      </c>
      <c r="B7193" t="str">
        <f t="shared" si="292"/>
        <v>0.00029%</v>
      </c>
      <c r="C7193" t="s">
        <v>10</v>
      </c>
      <c r="D7193" t="s">
        <v>10</v>
      </c>
      <c r="E7193" t="str">
        <f>"$ 2,221"</f>
        <v>$ 2,221</v>
      </c>
      <c r="F7193">
        <v>59</v>
      </c>
    </row>
    <row r="7194" spans="1:6">
      <c r="A7194" t="s">
        <v>7168</v>
      </c>
      <c r="B7194" t="str">
        <f t="shared" si="292"/>
        <v>0.00029%</v>
      </c>
      <c r="C7194" t="s">
        <v>10</v>
      </c>
      <c r="D7194" t="s">
        <v>10</v>
      </c>
      <c r="E7194" t="str">
        <f>"$ 2,265"</f>
        <v>$ 2,265</v>
      </c>
      <c r="F7194">
        <v>53</v>
      </c>
    </row>
    <row r="7195" spans="1:6">
      <c r="A7195" t="s">
        <v>7169</v>
      </c>
      <c r="B7195" t="str">
        <f t="shared" si="292"/>
        <v>0.00029%</v>
      </c>
      <c r="C7195" t="s">
        <v>10</v>
      </c>
      <c r="D7195" t="s">
        <v>10</v>
      </c>
      <c r="E7195" t="str">
        <f>"$ 2,264"</f>
        <v>$ 2,264</v>
      </c>
      <c r="F7195">
        <v>107</v>
      </c>
    </row>
    <row r="7196" spans="1:6">
      <c r="A7196" t="s">
        <v>7170</v>
      </c>
      <c r="B7196" t="str">
        <f t="shared" si="292"/>
        <v>0.00029%</v>
      </c>
      <c r="C7196" t="s">
        <v>10</v>
      </c>
      <c r="D7196" t="s">
        <v>10</v>
      </c>
      <c r="E7196" t="str">
        <f>"$ 2,225"</f>
        <v>$ 2,225</v>
      </c>
      <c r="F7196" s="1">
        <v>1155</v>
      </c>
    </row>
    <row r="7197" spans="1:6">
      <c r="A7197" t="s">
        <v>7171</v>
      </c>
      <c r="B7197" t="str">
        <f t="shared" si="292"/>
        <v>0.00029%</v>
      </c>
      <c r="C7197" t="s">
        <v>10</v>
      </c>
      <c r="D7197" t="s">
        <v>10</v>
      </c>
      <c r="E7197" t="str">
        <f>"$ 2,255"</f>
        <v>$ 2,255</v>
      </c>
      <c r="F7197" s="1">
        <v>1517</v>
      </c>
    </row>
    <row r="7198" spans="1:6">
      <c r="A7198" t="s">
        <v>7172</v>
      </c>
      <c r="B7198" t="str">
        <f t="shared" si="292"/>
        <v>0.00029%</v>
      </c>
      <c r="C7198" t="s">
        <v>10</v>
      </c>
      <c r="D7198" t="s">
        <v>10</v>
      </c>
      <c r="E7198" t="str">
        <f>"$ 2,274"</f>
        <v>$ 2,274</v>
      </c>
      <c r="F7198">
        <v>49</v>
      </c>
    </row>
    <row r="7199" spans="1:6">
      <c r="A7199" t="s">
        <v>7173</v>
      </c>
      <c r="B7199" t="str">
        <f t="shared" si="292"/>
        <v>0.00029%</v>
      </c>
      <c r="C7199" t="s">
        <v>10</v>
      </c>
      <c r="D7199" t="s">
        <v>10</v>
      </c>
      <c r="E7199" t="str">
        <f>"$ 2,234"</f>
        <v>$ 2,234</v>
      </c>
      <c r="F7199">
        <v>88</v>
      </c>
    </row>
    <row r="7200" spans="1:6">
      <c r="A7200" t="s">
        <v>7174</v>
      </c>
      <c r="B7200" t="str">
        <f t="shared" si="292"/>
        <v>0.00029%</v>
      </c>
      <c r="C7200" t="s">
        <v>10</v>
      </c>
      <c r="D7200" t="s">
        <v>10</v>
      </c>
      <c r="E7200" t="str">
        <f>"$ 2,272"</f>
        <v>$ 2,272</v>
      </c>
      <c r="F7200">
        <v>36</v>
      </c>
    </row>
    <row r="7201" spans="1:6">
      <c r="A7201" t="s">
        <v>7175</v>
      </c>
      <c r="B7201" t="str">
        <f t="shared" si="292"/>
        <v>0.00029%</v>
      </c>
      <c r="C7201" t="s">
        <v>10</v>
      </c>
      <c r="D7201" t="s">
        <v>10</v>
      </c>
      <c r="E7201" t="str">
        <f>"$ 2,262"</f>
        <v>$ 2,262</v>
      </c>
      <c r="F7201">
        <v>179</v>
      </c>
    </row>
    <row r="7202" spans="1:6">
      <c r="A7202" t="s">
        <v>7176</v>
      </c>
      <c r="B7202" t="str">
        <f t="shared" si="292"/>
        <v>0.00029%</v>
      </c>
      <c r="C7202" t="s">
        <v>10</v>
      </c>
      <c r="D7202" t="s">
        <v>10</v>
      </c>
      <c r="E7202" t="str">
        <f>"$ 2,241"</f>
        <v>$ 2,241</v>
      </c>
      <c r="F7202">
        <v>897</v>
      </c>
    </row>
    <row r="7203" spans="1:6">
      <c r="A7203" t="s">
        <v>7177</v>
      </c>
      <c r="B7203" t="str">
        <f t="shared" si="292"/>
        <v>0.00029%</v>
      </c>
      <c r="C7203" t="s">
        <v>10</v>
      </c>
      <c r="D7203" t="s">
        <v>10</v>
      </c>
      <c r="E7203" t="str">
        <f>"$ 2,274"</f>
        <v>$ 2,274</v>
      </c>
      <c r="F7203" s="1">
        <v>6951</v>
      </c>
    </row>
    <row r="7204" spans="1:6">
      <c r="A7204" t="s">
        <v>7178</v>
      </c>
      <c r="B7204" t="str">
        <f t="shared" ref="B7204:B7235" si="293">"0.00028%"</f>
        <v>0.00028%</v>
      </c>
      <c r="C7204" t="s">
        <v>10</v>
      </c>
      <c r="D7204" t="s">
        <v>10</v>
      </c>
      <c r="E7204" t="str">
        <f>"$ 2,197"</f>
        <v>$ 2,197</v>
      </c>
      <c r="F7204" s="1">
        <v>1188</v>
      </c>
    </row>
    <row r="7205" spans="1:6">
      <c r="A7205" t="s">
        <v>7179</v>
      </c>
      <c r="B7205" t="str">
        <f t="shared" si="293"/>
        <v>0.00028%</v>
      </c>
      <c r="C7205" t="s">
        <v>10</v>
      </c>
      <c r="D7205" t="s">
        <v>10</v>
      </c>
      <c r="E7205" t="str">
        <f>"$ 2,156"</f>
        <v>$ 2,156</v>
      </c>
      <c r="F7205" s="1">
        <v>1676</v>
      </c>
    </row>
    <row r="7206" spans="1:6">
      <c r="A7206" t="s">
        <v>7180</v>
      </c>
      <c r="B7206" t="str">
        <f t="shared" si="293"/>
        <v>0.00028%</v>
      </c>
      <c r="C7206" t="s">
        <v>10</v>
      </c>
      <c r="D7206" t="s">
        <v>10</v>
      </c>
      <c r="E7206" t="str">
        <f>"$ 2,182"</f>
        <v>$ 2,182</v>
      </c>
      <c r="F7206">
        <v>108</v>
      </c>
    </row>
    <row r="7207" spans="1:6">
      <c r="A7207" t="s">
        <v>7181</v>
      </c>
      <c r="B7207" t="str">
        <f t="shared" si="293"/>
        <v>0.00028%</v>
      </c>
      <c r="C7207" t="s">
        <v>10</v>
      </c>
      <c r="D7207" t="s">
        <v>10</v>
      </c>
      <c r="E7207" t="str">
        <f>"$ 2,185"</f>
        <v>$ 2,185</v>
      </c>
      <c r="F7207" s="1">
        <v>101432</v>
      </c>
    </row>
    <row r="7208" spans="1:6">
      <c r="A7208" t="s">
        <v>7182</v>
      </c>
      <c r="B7208" t="str">
        <f t="shared" si="293"/>
        <v>0.00028%</v>
      </c>
      <c r="C7208" t="s">
        <v>10</v>
      </c>
      <c r="D7208" t="s">
        <v>10</v>
      </c>
      <c r="E7208" t="str">
        <f>"$ 2,138"</f>
        <v>$ 2,138</v>
      </c>
      <c r="F7208">
        <v>66</v>
      </c>
    </row>
    <row r="7209" spans="1:6">
      <c r="A7209" t="s">
        <v>7183</v>
      </c>
      <c r="B7209" t="str">
        <f t="shared" si="293"/>
        <v>0.00028%</v>
      </c>
      <c r="C7209" t="s">
        <v>10</v>
      </c>
      <c r="D7209" t="s">
        <v>10</v>
      </c>
      <c r="E7209" t="str">
        <f>"$ 2,178"</f>
        <v>$ 2,178</v>
      </c>
      <c r="F7209">
        <v>198</v>
      </c>
    </row>
    <row r="7210" spans="1:6">
      <c r="A7210" t="s">
        <v>7184</v>
      </c>
      <c r="B7210" t="str">
        <f t="shared" si="293"/>
        <v>0.00028%</v>
      </c>
      <c r="C7210" t="s">
        <v>10</v>
      </c>
      <c r="D7210" t="s">
        <v>10</v>
      </c>
      <c r="E7210" t="str">
        <f>"$ 2,198"</f>
        <v>$ 2,198</v>
      </c>
      <c r="F7210" s="1">
        <v>83072</v>
      </c>
    </row>
    <row r="7211" spans="1:6">
      <c r="A7211" t="s">
        <v>7185</v>
      </c>
      <c r="B7211" t="str">
        <f t="shared" si="293"/>
        <v>0.00028%</v>
      </c>
      <c r="C7211" t="s">
        <v>10</v>
      </c>
      <c r="D7211" t="s">
        <v>10</v>
      </c>
      <c r="E7211" t="str">
        <f>"$ 2,178"</f>
        <v>$ 2,178</v>
      </c>
      <c r="F7211" s="1">
        <v>6042</v>
      </c>
    </row>
    <row r="7212" spans="1:6">
      <c r="A7212" t="s">
        <v>7186</v>
      </c>
      <c r="B7212" t="str">
        <f t="shared" si="293"/>
        <v>0.00028%</v>
      </c>
      <c r="C7212" t="s">
        <v>10</v>
      </c>
      <c r="D7212" t="s">
        <v>10</v>
      </c>
      <c r="E7212" t="str">
        <f>"$ 2,168"</f>
        <v>$ 2,168</v>
      </c>
      <c r="F7212">
        <v>63</v>
      </c>
    </row>
    <row r="7213" spans="1:6">
      <c r="A7213" t="s">
        <v>7187</v>
      </c>
      <c r="B7213" t="str">
        <f t="shared" si="293"/>
        <v>0.00028%</v>
      </c>
      <c r="C7213" t="s">
        <v>10</v>
      </c>
      <c r="D7213" t="s">
        <v>10</v>
      </c>
      <c r="E7213" t="str">
        <f>"$ 2,132"</f>
        <v>$ 2,132</v>
      </c>
      <c r="F7213">
        <v>90</v>
      </c>
    </row>
    <row r="7214" spans="1:6">
      <c r="A7214" t="s">
        <v>7188</v>
      </c>
      <c r="B7214" t="str">
        <f t="shared" si="293"/>
        <v>0.00028%</v>
      </c>
      <c r="C7214" t="s">
        <v>10</v>
      </c>
      <c r="D7214" t="s">
        <v>10</v>
      </c>
      <c r="E7214" t="str">
        <f>"$ 2,177"</f>
        <v>$ 2,177</v>
      </c>
      <c r="F7214">
        <v>148</v>
      </c>
    </row>
    <row r="7215" spans="1:6">
      <c r="A7215" t="s">
        <v>7189</v>
      </c>
      <c r="B7215" t="str">
        <f t="shared" si="293"/>
        <v>0.00028%</v>
      </c>
      <c r="C7215" t="s">
        <v>10</v>
      </c>
      <c r="D7215" t="s">
        <v>10</v>
      </c>
      <c r="E7215" t="str">
        <f>"$ 2,193"</f>
        <v>$ 2,193</v>
      </c>
      <c r="F7215">
        <v>271</v>
      </c>
    </row>
    <row r="7216" spans="1:6">
      <c r="A7216" t="s">
        <v>7190</v>
      </c>
      <c r="B7216" t="str">
        <f t="shared" si="293"/>
        <v>0.00028%</v>
      </c>
      <c r="C7216" t="s">
        <v>10</v>
      </c>
      <c r="D7216" t="s">
        <v>10</v>
      </c>
      <c r="E7216" t="str">
        <f>"$ 2,130"</f>
        <v>$ 2,130</v>
      </c>
      <c r="F7216">
        <v>52</v>
      </c>
    </row>
    <row r="7217" spans="1:6">
      <c r="A7217" t="s">
        <v>7191</v>
      </c>
      <c r="B7217" t="str">
        <f t="shared" si="293"/>
        <v>0.00028%</v>
      </c>
      <c r="C7217" t="s">
        <v>10</v>
      </c>
      <c r="D7217" t="s">
        <v>10</v>
      </c>
      <c r="E7217" t="str">
        <f>"$ 2,140"</f>
        <v>$ 2,140</v>
      </c>
      <c r="F7217">
        <v>49</v>
      </c>
    </row>
    <row r="7218" spans="1:6">
      <c r="A7218" t="s">
        <v>7192</v>
      </c>
      <c r="B7218" t="str">
        <f t="shared" si="293"/>
        <v>0.00028%</v>
      </c>
      <c r="C7218" t="s">
        <v>10</v>
      </c>
      <c r="D7218" t="s">
        <v>10</v>
      </c>
      <c r="E7218" t="str">
        <f>"$ 2,125"</f>
        <v>$ 2,125</v>
      </c>
      <c r="F7218" s="1">
        <v>1812</v>
      </c>
    </row>
    <row r="7219" spans="1:6">
      <c r="A7219" t="s">
        <v>7193</v>
      </c>
      <c r="B7219" t="str">
        <f t="shared" si="293"/>
        <v>0.00028%</v>
      </c>
      <c r="C7219" t="s">
        <v>10</v>
      </c>
      <c r="D7219" t="s">
        <v>10</v>
      </c>
      <c r="E7219" t="str">
        <f>"$ 2,153"</f>
        <v>$ 2,153</v>
      </c>
      <c r="F7219">
        <v>11</v>
      </c>
    </row>
    <row r="7220" spans="1:6">
      <c r="A7220" t="s">
        <v>7194</v>
      </c>
      <c r="B7220" t="str">
        <f t="shared" si="293"/>
        <v>0.00028%</v>
      </c>
      <c r="C7220" t="s">
        <v>10</v>
      </c>
      <c r="D7220" t="s">
        <v>10</v>
      </c>
      <c r="E7220" t="str">
        <f>"$ 2,141"</f>
        <v>$ 2,141</v>
      </c>
      <c r="F7220">
        <v>201</v>
      </c>
    </row>
    <row r="7221" spans="1:6">
      <c r="A7221" t="s">
        <v>7195</v>
      </c>
      <c r="B7221" t="str">
        <f t="shared" si="293"/>
        <v>0.00028%</v>
      </c>
      <c r="C7221" t="s">
        <v>10</v>
      </c>
      <c r="D7221" t="s">
        <v>10</v>
      </c>
      <c r="E7221" t="str">
        <f>"$ 2,133"</f>
        <v>$ 2,133</v>
      </c>
      <c r="F7221">
        <v>100</v>
      </c>
    </row>
    <row r="7222" spans="1:6">
      <c r="A7222" t="s">
        <v>7196</v>
      </c>
      <c r="B7222" t="str">
        <f t="shared" si="293"/>
        <v>0.00028%</v>
      </c>
      <c r="C7222" t="s">
        <v>10</v>
      </c>
      <c r="D7222" t="s">
        <v>10</v>
      </c>
      <c r="E7222" t="str">
        <f>"$ 2,135"</f>
        <v>$ 2,135</v>
      </c>
      <c r="F7222">
        <v>36</v>
      </c>
    </row>
    <row r="7223" spans="1:6">
      <c r="A7223" t="s">
        <v>7197</v>
      </c>
      <c r="B7223" t="str">
        <f t="shared" si="293"/>
        <v>0.00028%</v>
      </c>
      <c r="C7223" t="s">
        <v>10</v>
      </c>
      <c r="D7223" t="s">
        <v>10</v>
      </c>
      <c r="E7223" t="str">
        <f>"$ 2,154"</f>
        <v>$ 2,154</v>
      </c>
      <c r="F7223">
        <v>326</v>
      </c>
    </row>
    <row r="7224" spans="1:6">
      <c r="A7224" t="s">
        <v>7198</v>
      </c>
      <c r="B7224" t="str">
        <f t="shared" si="293"/>
        <v>0.00028%</v>
      </c>
      <c r="C7224" t="s">
        <v>10</v>
      </c>
      <c r="D7224" t="s">
        <v>10</v>
      </c>
      <c r="E7224" t="str">
        <f>"$ 2,192"</f>
        <v>$ 2,192</v>
      </c>
      <c r="F7224">
        <v>105</v>
      </c>
    </row>
    <row r="7225" spans="1:6">
      <c r="A7225" t="s">
        <v>7199</v>
      </c>
      <c r="B7225" t="str">
        <f t="shared" si="293"/>
        <v>0.00028%</v>
      </c>
      <c r="C7225" t="s">
        <v>10</v>
      </c>
      <c r="D7225" t="s">
        <v>10</v>
      </c>
      <c r="E7225" t="str">
        <f>"$ 2,181"</f>
        <v>$ 2,181</v>
      </c>
      <c r="F7225">
        <v>295</v>
      </c>
    </row>
    <row r="7226" spans="1:6">
      <c r="A7226" t="s">
        <v>7200</v>
      </c>
      <c r="B7226" t="str">
        <f t="shared" si="293"/>
        <v>0.00028%</v>
      </c>
      <c r="C7226" t="s">
        <v>10</v>
      </c>
      <c r="D7226" t="s">
        <v>10</v>
      </c>
      <c r="E7226" t="str">
        <f>"$ 2,140"</f>
        <v>$ 2,140</v>
      </c>
      <c r="F7226">
        <v>141</v>
      </c>
    </row>
    <row r="7227" spans="1:6">
      <c r="A7227" t="s">
        <v>7201</v>
      </c>
      <c r="B7227" t="str">
        <f t="shared" si="293"/>
        <v>0.00028%</v>
      </c>
      <c r="C7227" t="s">
        <v>10</v>
      </c>
      <c r="D7227" t="s">
        <v>10</v>
      </c>
      <c r="E7227" t="str">
        <f>"$ 2,149"</f>
        <v>$ 2,149</v>
      </c>
      <c r="F7227" s="1">
        <v>2182</v>
      </c>
    </row>
    <row r="7228" spans="1:6">
      <c r="A7228" t="s">
        <v>7202</v>
      </c>
      <c r="B7228" t="str">
        <f t="shared" si="293"/>
        <v>0.00028%</v>
      </c>
      <c r="C7228" t="s">
        <v>10</v>
      </c>
      <c r="D7228" t="s">
        <v>10</v>
      </c>
      <c r="E7228" t="str">
        <f>"$ 2,168"</f>
        <v>$ 2,168</v>
      </c>
      <c r="F7228">
        <v>983</v>
      </c>
    </row>
    <row r="7229" spans="1:6">
      <c r="A7229" t="s">
        <v>6731</v>
      </c>
      <c r="B7229" t="str">
        <f t="shared" si="293"/>
        <v>0.00028%</v>
      </c>
      <c r="C7229" t="s">
        <v>10</v>
      </c>
      <c r="D7229" t="s">
        <v>10</v>
      </c>
      <c r="E7229" t="str">
        <f>"$ 2,127"</f>
        <v>$ 2,127</v>
      </c>
      <c r="F7229">
        <v>210</v>
      </c>
    </row>
    <row r="7230" spans="1:6">
      <c r="A7230" t="s">
        <v>7203</v>
      </c>
      <c r="B7230" t="str">
        <f t="shared" si="293"/>
        <v>0.00028%</v>
      </c>
      <c r="C7230" t="s">
        <v>10</v>
      </c>
      <c r="D7230" t="s">
        <v>10</v>
      </c>
      <c r="E7230" t="str">
        <f>"$ 2,179"</f>
        <v>$ 2,179</v>
      </c>
      <c r="F7230">
        <v>320</v>
      </c>
    </row>
    <row r="7231" spans="1:6">
      <c r="A7231" t="s">
        <v>7204</v>
      </c>
      <c r="B7231" t="str">
        <f t="shared" si="293"/>
        <v>0.00028%</v>
      </c>
      <c r="C7231" t="s">
        <v>10</v>
      </c>
      <c r="D7231" t="s">
        <v>10</v>
      </c>
      <c r="E7231" t="str">
        <f>"$ 2,186"</f>
        <v>$ 2,186</v>
      </c>
      <c r="F7231">
        <v>82</v>
      </c>
    </row>
    <row r="7232" spans="1:6">
      <c r="A7232" t="s">
        <v>7205</v>
      </c>
      <c r="B7232" t="str">
        <f t="shared" si="293"/>
        <v>0.00028%</v>
      </c>
      <c r="C7232" t="s">
        <v>10</v>
      </c>
      <c r="D7232" t="s">
        <v>10</v>
      </c>
      <c r="E7232" t="str">
        <f>"$ 2,137"</f>
        <v>$ 2,137</v>
      </c>
      <c r="F7232">
        <v>66</v>
      </c>
    </row>
    <row r="7233" spans="1:6">
      <c r="A7233" t="s">
        <v>7206</v>
      </c>
      <c r="B7233" t="str">
        <f t="shared" si="293"/>
        <v>0.00028%</v>
      </c>
      <c r="C7233" t="s">
        <v>10</v>
      </c>
      <c r="D7233" t="s">
        <v>10</v>
      </c>
      <c r="E7233" t="str">
        <f>"$ 2,159"</f>
        <v>$ 2,159</v>
      </c>
      <c r="F7233">
        <v>71</v>
      </c>
    </row>
    <row r="7234" spans="1:6">
      <c r="A7234" t="s">
        <v>7207</v>
      </c>
      <c r="B7234" t="str">
        <f t="shared" si="293"/>
        <v>0.00028%</v>
      </c>
      <c r="C7234" t="s">
        <v>10</v>
      </c>
      <c r="D7234" t="s">
        <v>10</v>
      </c>
      <c r="E7234" t="str">
        <f>"$ 2,151"</f>
        <v>$ 2,151</v>
      </c>
      <c r="F7234">
        <v>50</v>
      </c>
    </row>
    <row r="7235" spans="1:6">
      <c r="A7235" t="s">
        <v>7208</v>
      </c>
      <c r="B7235" t="str">
        <f t="shared" si="293"/>
        <v>0.00028%</v>
      </c>
      <c r="C7235" t="s">
        <v>10</v>
      </c>
      <c r="D7235" t="s">
        <v>10</v>
      </c>
      <c r="E7235" t="str">
        <f>"$ 2,131"</f>
        <v>$ 2,131</v>
      </c>
      <c r="F7235" s="1">
        <v>5413</v>
      </c>
    </row>
    <row r="7236" spans="1:6">
      <c r="A7236" t="s">
        <v>7209</v>
      </c>
      <c r="B7236" t="str">
        <f t="shared" ref="B7236:B7267" si="294">"0.00028%"</f>
        <v>0.00028%</v>
      </c>
      <c r="C7236" t="s">
        <v>10</v>
      </c>
      <c r="D7236" t="s">
        <v>10</v>
      </c>
      <c r="E7236" t="str">
        <f>"$ 2,138"</f>
        <v>$ 2,138</v>
      </c>
      <c r="F7236">
        <v>194</v>
      </c>
    </row>
    <row r="7237" spans="1:6">
      <c r="A7237" t="s">
        <v>7210</v>
      </c>
      <c r="B7237" t="str">
        <f t="shared" si="294"/>
        <v>0.00028%</v>
      </c>
      <c r="C7237" t="s">
        <v>10</v>
      </c>
      <c r="D7237" t="s">
        <v>10</v>
      </c>
      <c r="E7237" t="str">
        <f>"$ 2,170"</f>
        <v>$ 2,170</v>
      </c>
      <c r="F7237" s="1">
        <v>3038</v>
      </c>
    </row>
    <row r="7238" spans="1:6">
      <c r="A7238" t="s">
        <v>7211</v>
      </c>
      <c r="B7238" t="str">
        <f t="shared" si="294"/>
        <v>0.00028%</v>
      </c>
      <c r="C7238" t="s">
        <v>10</v>
      </c>
      <c r="D7238" t="s">
        <v>10</v>
      </c>
      <c r="E7238" t="str">
        <f>"$ 2,139"</f>
        <v>$ 2,139</v>
      </c>
      <c r="F7238">
        <v>162</v>
      </c>
    </row>
    <row r="7239" spans="1:6">
      <c r="A7239" t="s">
        <v>7212</v>
      </c>
      <c r="B7239" t="str">
        <f t="shared" si="294"/>
        <v>0.00028%</v>
      </c>
      <c r="C7239" t="s">
        <v>10</v>
      </c>
      <c r="D7239" t="s">
        <v>10</v>
      </c>
      <c r="E7239" t="str">
        <f>"$ 2,165"</f>
        <v>$ 2,165</v>
      </c>
      <c r="F7239">
        <v>389</v>
      </c>
    </row>
    <row r="7240" spans="1:6">
      <c r="A7240" t="s">
        <v>7213</v>
      </c>
      <c r="B7240" t="str">
        <f t="shared" si="294"/>
        <v>0.00028%</v>
      </c>
      <c r="C7240" t="s">
        <v>10</v>
      </c>
      <c r="D7240" t="s">
        <v>10</v>
      </c>
      <c r="E7240" t="str">
        <f>"$ 2,164"</f>
        <v>$ 2,164</v>
      </c>
      <c r="F7240">
        <v>223</v>
      </c>
    </row>
    <row r="7241" spans="1:6">
      <c r="A7241" t="s">
        <v>7214</v>
      </c>
      <c r="B7241" t="str">
        <f t="shared" si="294"/>
        <v>0.00028%</v>
      </c>
      <c r="C7241" t="s">
        <v>10</v>
      </c>
      <c r="D7241" t="s">
        <v>10</v>
      </c>
      <c r="E7241" t="str">
        <f>"$ 2,152"</f>
        <v>$ 2,152</v>
      </c>
      <c r="F7241">
        <v>49</v>
      </c>
    </row>
    <row r="7242" spans="1:6">
      <c r="A7242" t="s">
        <v>7215</v>
      </c>
      <c r="B7242" t="str">
        <f t="shared" si="294"/>
        <v>0.00028%</v>
      </c>
      <c r="C7242" t="s">
        <v>10</v>
      </c>
      <c r="D7242" t="s">
        <v>10</v>
      </c>
      <c r="E7242" t="str">
        <f>"$ 2,148"</f>
        <v>$ 2,148</v>
      </c>
      <c r="F7242">
        <v>682</v>
      </c>
    </row>
    <row r="7243" spans="1:6">
      <c r="A7243" t="s">
        <v>7216</v>
      </c>
      <c r="B7243" t="str">
        <f t="shared" si="294"/>
        <v>0.00028%</v>
      </c>
      <c r="C7243" t="s">
        <v>10</v>
      </c>
      <c r="D7243" t="s">
        <v>10</v>
      </c>
      <c r="E7243" t="str">
        <f>"$ 2,165"</f>
        <v>$ 2,165</v>
      </c>
      <c r="F7243">
        <v>148</v>
      </c>
    </row>
    <row r="7244" spans="1:6">
      <c r="A7244" t="s">
        <v>7217</v>
      </c>
      <c r="B7244" t="str">
        <f t="shared" si="294"/>
        <v>0.00028%</v>
      </c>
      <c r="C7244" t="s">
        <v>10</v>
      </c>
      <c r="D7244" t="s">
        <v>10</v>
      </c>
      <c r="E7244" t="str">
        <f>"$ 2,191"</f>
        <v>$ 2,191</v>
      </c>
      <c r="F7244">
        <v>67</v>
      </c>
    </row>
    <row r="7245" spans="1:6">
      <c r="A7245" t="s">
        <v>7218</v>
      </c>
      <c r="B7245" t="str">
        <f t="shared" si="294"/>
        <v>0.00028%</v>
      </c>
      <c r="C7245" t="s">
        <v>10</v>
      </c>
      <c r="D7245" t="s">
        <v>10</v>
      </c>
      <c r="E7245" t="str">
        <f>"$ 2,185"</f>
        <v>$ 2,185</v>
      </c>
      <c r="F7245">
        <v>96</v>
      </c>
    </row>
    <row r="7246" spans="1:6">
      <c r="A7246" t="s">
        <v>7219</v>
      </c>
      <c r="B7246" t="str">
        <f t="shared" si="294"/>
        <v>0.00028%</v>
      </c>
      <c r="C7246" t="s">
        <v>10</v>
      </c>
      <c r="D7246" t="s">
        <v>10</v>
      </c>
      <c r="E7246" t="str">
        <f>"$ 2,175"</f>
        <v>$ 2,175</v>
      </c>
      <c r="F7246" s="1">
        <v>1623</v>
      </c>
    </row>
    <row r="7247" spans="1:6">
      <c r="A7247" t="s">
        <v>7220</v>
      </c>
      <c r="B7247" t="str">
        <f t="shared" si="294"/>
        <v>0.00028%</v>
      </c>
      <c r="C7247" t="s">
        <v>10</v>
      </c>
      <c r="D7247" t="s">
        <v>10</v>
      </c>
      <c r="E7247" t="str">
        <f>"$ 2,183"</f>
        <v>$ 2,183</v>
      </c>
      <c r="F7247">
        <v>241</v>
      </c>
    </row>
    <row r="7248" spans="1:6">
      <c r="A7248" t="s">
        <v>7221</v>
      </c>
      <c r="B7248" t="str">
        <f t="shared" si="294"/>
        <v>0.00028%</v>
      </c>
      <c r="C7248" t="s">
        <v>10</v>
      </c>
      <c r="D7248" t="s">
        <v>10</v>
      </c>
      <c r="E7248" t="str">
        <f>"$ 2,160"</f>
        <v>$ 2,160</v>
      </c>
      <c r="F7248">
        <v>87</v>
      </c>
    </row>
    <row r="7249" spans="1:6">
      <c r="A7249" t="s">
        <v>7222</v>
      </c>
      <c r="B7249" t="str">
        <f t="shared" si="294"/>
        <v>0.00028%</v>
      </c>
      <c r="C7249" t="s">
        <v>10</v>
      </c>
      <c r="D7249" t="s">
        <v>10</v>
      </c>
      <c r="E7249" t="str">
        <f>"$ 2,131"</f>
        <v>$ 2,131</v>
      </c>
      <c r="F7249" s="1">
        <v>12695</v>
      </c>
    </row>
    <row r="7250" spans="1:6">
      <c r="A7250" t="s">
        <v>7223</v>
      </c>
      <c r="B7250" t="str">
        <f t="shared" si="294"/>
        <v>0.00028%</v>
      </c>
      <c r="C7250" t="s">
        <v>10</v>
      </c>
      <c r="D7250" t="s">
        <v>10</v>
      </c>
      <c r="E7250" t="str">
        <f>"$ 2,130"</f>
        <v>$ 2,130</v>
      </c>
      <c r="F7250">
        <v>128</v>
      </c>
    </row>
    <row r="7251" spans="1:6">
      <c r="A7251" t="s">
        <v>7224</v>
      </c>
      <c r="B7251" t="str">
        <f t="shared" si="294"/>
        <v>0.00028%</v>
      </c>
      <c r="C7251" t="s">
        <v>10</v>
      </c>
      <c r="D7251" t="s">
        <v>10</v>
      </c>
      <c r="E7251" t="str">
        <f>"$ 2,137"</f>
        <v>$ 2,137</v>
      </c>
      <c r="F7251">
        <v>58</v>
      </c>
    </row>
    <row r="7252" spans="1:6">
      <c r="A7252" t="s">
        <v>7225</v>
      </c>
      <c r="B7252" t="str">
        <f t="shared" si="294"/>
        <v>0.00028%</v>
      </c>
      <c r="C7252" t="s">
        <v>10</v>
      </c>
      <c r="D7252" t="s">
        <v>10</v>
      </c>
      <c r="E7252" t="str">
        <f>"$ 2,189"</f>
        <v>$ 2,189</v>
      </c>
      <c r="F7252">
        <v>90</v>
      </c>
    </row>
    <row r="7253" spans="1:6">
      <c r="A7253" t="s">
        <v>7226</v>
      </c>
      <c r="B7253" t="str">
        <f t="shared" si="294"/>
        <v>0.00028%</v>
      </c>
      <c r="C7253" t="s">
        <v>10</v>
      </c>
      <c r="D7253" t="s">
        <v>10</v>
      </c>
      <c r="E7253" t="str">
        <f>"$ 2,135"</f>
        <v>$ 2,135</v>
      </c>
      <c r="F7253" s="1">
        <v>5649</v>
      </c>
    </row>
    <row r="7254" spans="1:6">
      <c r="A7254" t="s">
        <v>7227</v>
      </c>
      <c r="B7254" t="str">
        <f t="shared" si="294"/>
        <v>0.00028%</v>
      </c>
      <c r="C7254" t="s">
        <v>10</v>
      </c>
      <c r="D7254" t="s">
        <v>10</v>
      </c>
      <c r="E7254" t="str">
        <f>"$ 2,175"</f>
        <v>$ 2,175</v>
      </c>
      <c r="F7254">
        <v>130</v>
      </c>
    </row>
    <row r="7255" spans="1:6">
      <c r="A7255" t="s">
        <v>7228</v>
      </c>
      <c r="B7255" t="str">
        <f t="shared" si="294"/>
        <v>0.00028%</v>
      </c>
      <c r="C7255" t="s">
        <v>10</v>
      </c>
      <c r="D7255" t="s">
        <v>10</v>
      </c>
      <c r="E7255" t="str">
        <f>"$ 2,199"</f>
        <v>$ 2,199</v>
      </c>
      <c r="F7255" s="1">
        <v>4440</v>
      </c>
    </row>
    <row r="7256" spans="1:6">
      <c r="A7256" t="s">
        <v>7229</v>
      </c>
      <c r="B7256" t="str">
        <f t="shared" si="294"/>
        <v>0.00028%</v>
      </c>
      <c r="C7256" t="s">
        <v>10</v>
      </c>
      <c r="D7256" t="s">
        <v>10</v>
      </c>
      <c r="E7256" t="str">
        <f>"$ 2,194"</f>
        <v>$ 2,194</v>
      </c>
      <c r="F7256" s="1">
        <v>4767</v>
      </c>
    </row>
    <row r="7257" spans="1:6">
      <c r="A7257" t="s">
        <v>7230</v>
      </c>
      <c r="B7257" t="str">
        <f t="shared" si="294"/>
        <v>0.00028%</v>
      </c>
      <c r="C7257" t="s">
        <v>10</v>
      </c>
      <c r="D7257" t="s">
        <v>10</v>
      </c>
      <c r="E7257" t="str">
        <f>"$ 2,192"</f>
        <v>$ 2,192</v>
      </c>
      <c r="F7257">
        <v>715</v>
      </c>
    </row>
    <row r="7258" spans="1:6">
      <c r="A7258" t="s">
        <v>7231</v>
      </c>
      <c r="B7258" t="str">
        <f t="shared" si="294"/>
        <v>0.00028%</v>
      </c>
      <c r="C7258" t="s">
        <v>10</v>
      </c>
      <c r="D7258" t="s">
        <v>10</v>
      </c>
      <c r="E7258" t="str">
        <f>"$ 2,171"</f>
        <v>$ 2,171</v>
      </c>
      <c r="F7258" s="1">
        <v>1258</v>
      </c>
    </row>
    <row r="7259" spans="1:6">
      <c r="A7259" t="s">
        <v>7232</v>
      </c>
      <c r="B7259" t="str">
        <f t="shared" si="294"/>
        <v>0.00028%</v>
      </c>
      <c r="C7259" t="s">
        <v>10</v>
      </c>
      <c r="D7259" t="s">
        <v>10</v>
      </c>
      <c r="E7259" t="str">
        <f>"$ 2,146"</f>
        <v>$ 2,146</v>
      </c>
      <c r="F7259">
        <v>76</v>
      </c>
    </row>
    <row r="7260" spans="1:6">
      <c r="A7260" t="s">
        <v>7233</v>
      </c>
      <c r="B7260" t="str">
        <f t="shared" si="294"/>
        <v>0.00028%</v>
      </c>
      <c r="C7260" t="s">
        <v>10</v>
      </c>
      <c r="D7260" t="s">
        <v>10</v>
      </c>
      <c r="E7260" t="str">
        <f>"$ 2,151"</f>
        <v>$ 2,151</v>
      </c>
      <c r="F7260">
        <v>37</v>
      </c>
    </row>
    <row r="7261" spans="1:6">
      <c r="A7261" t="s">
        <v>7234</v>
      </c>
      <c r="B7261" t="str">
        <f t="shared" si="294"/>
        <v>0.00028%</v>
      </c>
      <c r="C7261" t="s">
        <v>10</v>
      </c>
      <c r="D7261" t="s">
        <v>10</v>
      </c>
      <c r="E7261" t="str">
        <f>"$ 2,159"</f>
        <v>$ 2,159</v>
      </c>
      <c r="F7261">
        <v>38</v>
      </c>
    </row>
    <row r="7262" spans="1:6">
      <c r="A7262" t="s">
        <v>7235</v>
      </c>
      <c r="B7262" t="str">
        <f t="shared" si="294"/>
        <v>0.00028%</v>
      </c>
      <c r="C7262" t="s">
        <v>10</v>
      </c>
      <c r="D7262" t="s">
        <v>10</v>
      </c>
      <c r="E7262" t="str">
        <f>"$ 2,130"</f>
        <v>$ 2,130</v>
      </c>
      <c r="F7262">
        <v>133</v>
      </c>
    </row>
    <row r="7263" spans="1:6">
      <c r="A7263" t="s">
        <v>7236</v>
      </c>
      <c r="B7263" t="str">
        <f t="shared" si="294"/>
        <v>0.00028%</v>
      </c>
      <c r="C7263" t="s">
        <v>10</v>
      </c>
      <c r="D7263" t="s">
        <v>10</v>
      </c>
      <c r="E7263" t="str">
        <f>"$ 2,172"</f>
        <v>$ 2,172</v>
      </c>
      <c r="F7263">
        <v>727</v>
      </c>
    </row>
    <row r="7264" spans="1:6">
      <c r="A7264" t="s">
        <v>7237</v>
      </c>
      <c r="B7264" t="str">
        <f t="shared" si="294"/>
        <v>0.00028%</v>
      </c>
      <c r="C7264" t="s">
        <v>10</v>
      </c>
      <c r="D7264" t="s">
        <v>10</v>
      </c>
      <c r="E7264" t="str">
        <f>"$ 2,156"</f>
        <v>$ 2,156</v>
      </c>
      <c r="F7264">
        <v>357</v>
      </c>
    </row>
    <row r="7265" spans="1:6">
      <c r="A7265" t="s">
        <v>7238</v>
      </c>
      <c r="B7265" t="str">
        <f t="shared" si="294"/>
        <v>0.00028%</v>
      </c>
      <c r="C7265" t="s">
        <v>10</v>
      </c>
      <c r="D7265" t="s">
        <v>10</v>
      </c>
      <c r="E7265" t="str">
        <f>"$ 2,156"</f>
        <v>$ 2,156</v>
      </c>
      <c r="F7265" s="1">
        <v>1046</v>
      </c>
    </row>
    <row r="7266" spans="1:6">
      <c r="A7266" t="s">
        <v>7239</v>
      </c>
      <c r="B7266" t="str">
        <f t="shared" si="294"/>
        <v>0.00028%</v>
      </c>
      <c r="C7266" t="s">
        <v>10</v>
      </c>
      <c r="D7266" t="s">
        <v>10</v>
      </c>
      <c r="E7266" t="str">
        <f>"$ 2,126"</f>
        <v>$ 2,126</v>
      </c>
      <c r="F7266" s="1">
        <v>1044</v>
      </c>
    </row>
    <row r="7267" spans="1:6">
      <c r="A7267" t="s">
        <v>7240</v>
      </c>
      <c r="B7267" t="str">
        <f t="shared" si="294"/>
        <v>0.00028%</v>
      </c>
      <c r="C7267" t="s">
        <v>10</v>
      </c>
      <c r="D7267" t="s">
        <v>10</v>
      </c>
      <c r="E7267" t="str">
        <f>"$ 2,125"</f>
        <v>$ 2,125</v>
      </c>
      <c r="F7267">
        <v>743</v>
      </c>
    </row>
    <row r="7268" spans="1:6">
      <c r="A7268" t="s">
        <v>7241</v>
      </c>
      <c r="B7268" t="str">
        <f t="shared" ref="B7268:B7279" si="295">"0.00028%"</f>
        <v>0.00028%</v>
      </c>
      <c r="C7268" t="s">
        <v>10</v>
      </c>
      <c r="D7268" t="s">
        <v>10</v>
      </c>
      <c r="E7268" t="str">
        <f>"$ 2,146"</f>
        <v>$ 2,146</v>
      </c>
      <c r="F7268" s="1">
        <v>3785</v>
      </c>
    </row>
    <row r="7269" spans="1:6">
      <c r="A7269" t="s">
        <v>7242</v>
      </c>
      <c r="B7269" t="str">
        <f t="shared" si="295"/>
        <v>0.00028%</v>
      </c>
      <c r="C7269" t="s">
        <v>10</v>
      </c>
      <c r="D7269" t="s">
        <v>10</v>
      </c>
      <c r="E7269" t="str">
        <f>"$ 2,185"</f>
        <v>$ 2,185</v>
      </c>
      <c r="F7269">
        <v>752</v>
      </c>
    </row>
    <row r="7270" spans="1:6">
      <c r="A7270" t="s">
        <v>7243</v>
      </c>
      <c r="B7270" t="str">
        <f t="shared" si="295"/>
        <v>0.00028%</v>
      </c>
      <c r="C7270" t="s">
        <v>10</v>
      </c>
      <c r="D7270" t="s">
        <v>10</v>
      </c>
      <c r="E7270" t="str">
        <f>"$ 2,163"</f>
        <v>$ 2,163</v>
      </c>
      <c r="F7270" s="1">
        <v>3316</v>
      </c>
    </row>
    <row r="7271" spans="1:6">
      <c r="A7271" t="s">
        <v>7244</v>
      </c>
      <c r="B7271" t="str">
        <f t="shared" si="295"/>
        <v>0.00028%</v>
      </c>
      <c r="C7271" t="s">
        <v>10</v>
      </c>
      <c r="D7271" t="s">
        <v>10</v>
      </c>
      <c r="E7271" t="str">
        <f>"$ 2,178"</f>
        <v>$ 2,178</v>
      </c>
      <c r="F7271">
        <v>574</v>
      </c>
    </row>
    <row r="7272" spans="1:6">
      <c r="A7272" t="s">
        <v>7245</v>
      </c>
      <c r="B7272" t="str">
        <f t="shared" si="295"/>
        <v>0.00028%</v>
      </c>
      <c r="C7272" t="s">
        <v>10</v>
      </c>
      <c r="D7272" t="s">
        <v>10</v>
      </c>
      <c r="E7272" t="str">
        <f>"$ 2,177"</f>
        <v>$ 2,177</v>
      </c>
      <c r="F7272">
        <v>52</v>
      </c>
    </row>
    <row r="7273" spans="1:6">
      <c r="A7273" t="s">
        <v>7246</v>
      </c>
      <c r="B7273" t="str">
        <f t="shared" si="295"/>
        <v>0.00028%</v>
      </c>
      <c r="C7273" t="s">
        <v>10</v>
      </c>
      <c r="D7273" t="s">
        <v>10</v>
      </c>
      <c r="E7273" t="str">
        <f>"$ 2,192"</f>
        <v>$ 2,192</v>
      </c>
      <c r="F7273">
        <v>41</v>
      </c>
    </row>
    <row r="7274" spans="1:6">
      <c r="A7274" t="s">
        <v>7247</v>
      </c>
      <c r="B7274" t="str">
        <f t="shared" si="295"/>
        <v>0.00028%</v>
      </c>
      <c r="C7274" t="s">
        <v>10</v>
      </c>
      <c r="D7274" t="s">
        <v>10</v>
      </c>
      <c r="E7274" t="str">
        <f>"$ 2,145"</f>
        <v>$ 2,145</v>
      </c>
      <c r="F7274" s="1">
        <v>1367</v>
      </c>
    </row>
    <row r="7275" spans="1:6">
      <c r="A7275" t="s">
        <v>7248</v>
      </c>
      <c r="B7275" t="str">
        <f t="shared" si="295"/>
        <v>0.00028%</v>
      </c>
      <c r="C7275" t="s">
        <v>10</v>
      </c>
      <c r="D7275" t="s">
        <v>10</v>
      </c>
      <c r="E7275" t="str">
        <f>"$ 2,170"</f>
        <v>$ 2,170</v>
      </c>
      <c r="F7275">
        <v>639</v>
      </c>
    </row>
    <row r="7276" spans="1:6">
      <c r="A7276" t="s">
        <v>7249</v>
      </c>
      <c r="B7276" t="str">
        <f t="shared" si="295"/>
        <v>0.00028%</v>
      </c>
      <c r="C7276" t="s">
        <v>10</v>
      </c>
      <c r="D7276" t="s">
        <v>10</v>
      </c>
      <c r="E7276" t="str">
        <f>"$ 2,141"</f>
        <v>$ 2,141</v>
      </c>
      <c r="F7276">
        <v>987</v>
      </c>
    </row>
    <row r="7277" spans="1:6">
      <c r="A7277" t="s">
        <v>7250</v>
      </c>
      <c r="B7277" t="str">
        <f t="shared" si="295"/>
        <v>0.00028%</v>
      </c>
      <c r="C7277" t="s">
        <v>10</v>
      </c>
      <c r="D7277" t="s">
        <v>10</v>
      </c>
      <c r="E7277" t="str">
        <f>"$ 2,132"</f>
        <v>$ 2,132</v>
      </c>
      <c r="F7277">
        <v>702</v>
      </c>
    </row>
    <row r="7278" spans="1:6">
      <c r="A7278" t="s">
        <v>7251</v>
      </c>
      <c r="B7278" t="str">
        <f t="shared" si="295"/>
        <v>0.00028%</v>
      </c>
      <c r="C7278" t="s">
        <v>10</v>
      </c>
      <c r="D7278" t="s">
        <v>10</v>
      </c>
      <c r="E7278" t="str">
        <f>"$ 2,182"</f>
        <v>$ 2,182</v>
      </c>
      <c r="F7278">
        <v>130</v>
      </c>
    </row>
    <row r="7279" spans="1:6">
      <c r="A7279" t="s">
        <v>7252</v>
      </c>
      <c r="B7279" t="str">
        <f t="shared" si="295"/>
        <v>0.00028%</v>
      </c>
      <c r="C7279" t="s">
        <v>10</v>
      </c>
      <c r="D7279" t="s">
        <v>10</v>
      </c>
      <c r="E7279" t="str">
        <f>"$ 2,173"</f>
        <v>$ 2,173</v>
      </c>
      <c r="F7279" s="1">
        <v>2789</v>
      </c>
    </row>
    <row r="7280" spans="1:6">
      <c r="A7280" t="s">
        <v>7253</v>
      </c>
      <c r="B7280" t="str">
        <f t="shared" ref="B7280:B7311" si="296">"0.00027%"</f>
        <v>0.00027%</v>
      </c>
      <c r="C7280" t="s">
        <v>10</v>
      </c>
      <c r="D7280" t="s">
        <v>10</v>
      </c>
      <c r="E7280" t="str">
        <f>"$ 2,103"</f>
        <v>$ 2,103</v>
      </c>
      <c r="F7280" s="1">
        <v>1517</v>
      </c>
    </row>
    <row r="7281" spans="1:6">
      <c r="A7281" t="s">
        <v>7254</v>
      </c>
      <c r="B7281" t="str">
        <f t="shared" si="296"/>
        <v>0.00027%</v>
      </c>
      <c r="C7281" t="s">
        <v>10</v>
      </c>
      <c r="D7281" t="s">
        <v>10</v>
      </c>
      <c r="E7281" t="str">
        <f>"$ 2,108"</f>
        <v>$ 2,108</v>
      </c>
      <c r="F7281">
        <v>327</v>
      </c>
    </row>
    <row r="7282" spans="1:6">
      <c r="A7282" t="s">
        <v>7255</v>
      </c>
      <c r="B7282" t="str">
        <f t="shared" si="296"/>
        <v>0.00027%</v>
      </c>
      <c r="C7282" t="s">
        <v>10</v>
      </c>
      <c r="D7282" t="s">
        <v>10</v>
      </c>
      <c r="E7282" t="str">
        <f>"$ 2,118"</f>
        <v>$ 2,118</v>
      </c>
      <c r="F7282">
        <v>333</v>
      </c>
    </row>
    <row r="7283" spans="1:6">
      <c r="A7283" t="s">
        <v>7256</v>
      </c>
      <c r="B7283" t="str">
        <f t="shared" si="296"/>
        <v>0.00027%</v>
      </c>
      <c r="C7283" t="s">
        <v>10</v>
      </c>
      <c r="D7283" t="s">
        <v>10</v>
      </c>
      <c r="E7283" t="str">
        <f>"$ 2,102"</f>
        <v>$ 2,102</v>
      </c>
      <c r="F7283">
        <v>673</v>
      </c>
    </row>
    <row r="7284" spans="1:6">
      <c r="A7284" t="s">
        <v>7257</v>
      </c>
      <c r="B7284" t="str">
        <f t="shared" si="296"/>
        <v>0.00027%</v>
      </c>
      <c r="C7284" t="s">
        <v>10</v>
      </c>
      <c r="D7284" t="s">
        <v>10</v>
      </c>
      <c r="E7284" t="str">
        <f>"$ 2,101"</f>
        <v>$ 2,101</v>
      </c>
      <c r="F7284" s="1">
        <v>3194</v>
      </c>
    </row>
    <row r="7285" spans="1:6">
      <c r="A7285" t="s">
        <v>7258</v>
      </c>
      <c r="B7285" t="str">
        <f t="shared" si="296"/>
        <v>0.00027%</v>
      </c>
      <c r="C7285" t="s">
        <v>10</v>
      </c>
      <c r="D7285" t="s">
        <v>10</v>
      </c>
      <c r="E7285" t="str">
        <f>"$ 2,049"</f>
        <v>$ 2,049</v>
      </c>
      <c r="F7285">
        <v>66</v>
      </c>
    </row>
    <row r="7286" spans="1:6">
      <c r="A7286" t="s">
        <v>7259</v>
      </c>
      <c r="B7286" t="str">
        <f t="shared" si="296"/>
        <v>0.00027%</v>
      </c>
      <c r="C7286" t="s">
        <v>10</v>
      </c>
      <c r="D7286" t="s">
        <v>10</v>
      </c>
      <c r="E7286" t="str">
        <f>"$ 2,057"</f>
        <v>$ 2,057</v>
      </c>
      <c r="F7286">
        <v>168</v>
      </c>
    </row>
    <row r="7287" spans="1:6">
      <c r="A7287" t="s">
        <v>7260</v>
      </c>
      <c r="B7287" t="str">
        <f t="shared" si="296"/>
        <v>0.00027%</v>
      </c>
      <c r="C7287" t="s">
        <v>10</v>
      </c>
      <c r="D7287" t="s">
        <v>10</v>
      </c>
      <c r="E7287" t="str">
        <f>"$ 2,110"</f>
        <v>$ 2,110</v>
      </c>
      <c r="F7287" s="1">
        <v>2140</v>
      </c>
    </row>
    <row r="7288" spans="1:6">
      <c r="A7288" t="s">
        <v>7261</v>
      </c>
      <c r="B7288" t="str">
        <f t="shared" si="296"/>
        <v>0.00027%</v>
      </c>
      <c r="C7288" t="s">
        <v>10</v>
      </c>
      <c r="D7288" t="s">
        <v>10</v>
      </c>
      <c r="E7288" t="str">
        <f>"$ 2,112"</f>
        <v>$ 2,112</v>
      </c>
      <c r="F7288">
        <v>33</v>
      </c>
    </row>
    <row r="7289" spans="1:6">
      <c r="A7289" t="s">
        <v>7262</v>
      </c>
      <c r="B7289" t="str">
        <f t="shared" si="296"/>
        <v>0.00027%</v>
      </c>
      <c r="C7289" t="s">
        <v>10</v>
      </c>
      <c r="D7289" t="s">
        <v>10</v>
      </c>
      <c r="E7289" t="str">
        <f>"$ 2,050"</f>
        <v>$ 2,050</v>
      </c>
      <c r="F7289">
        <v>428</v>
      </c>
    </row>
    <row r="7290" spans="1:6">
      <c r="A7290" t="s">
        <v>7263</v>
      </c>
      <c r="B7290" t="str">
        <f t="shared" si="296"/>
        <v>0.00027%</v>
      </c>
      <c r="C7290" t="s">
        <v>10</v>
      </c>
      <c r="D7290" t="s">
        <v>10</v>
      </c>
      <c r="E7290" t="str">
        <f>"$ 2,115"</f>
        <v>$ 2,115</v>
      </c>
      <c r="F7290">
        <v>66</v>
      </c>
    </row>
    <row r="7291" spans="1:6">
      <c r="A7291" t="s">
        <v>7264</v>
      </c>
      <c r="B7291" t="str">
        <f t="shared" si="296"/>
        <v>0.00027%</v>
      </c>
      <c r="C7291" t="s">
        <v>10</v>
      </c>
      <c r="D7291" t="s">
        <v>10</v>
      </c>
      <c r="E7291" t="str">
        <f>"$ 2,109"</f>
        <v>$ 2,109</v>
      </c>
      <c r="F7291">
        <v>82</v>
      </c>
    </row>
    <row r="7292" spans="1:6">
      <c r="A7292" t="s">
        <v>7265</v>
      </c>
      <c r="B7292" t="str">
        <f t="shared" si="296"/>
        <v>0.00027%</v>
      </c>
      <c r="C7292" t="s">
        <v>10</v>
      </c>
      <c r="D7292" t="s">
        <v>10</v>
      </c>
      <c r="E7292" t="str">
        <f>"$ 2,097"</f>
        <v>$ 2,097</v>
      </c>
      <c r="F7292">
        <v>814</v>
      </c>
    </row>
    <row r="7293" spans="1:6">
      <c r="A7293" t="s">
        <v>7266</v>
      </c>
      <c r="B7293" t="str">
        <f t="shared" si="296"/>
        <v>0.00027%</v>
      </c>
      <c r="C7293" t="s">
        <v>10</v>
      </c>
      <c r="D7293" t="s">
        <v>10</v>
      </c>
      <c r="E7293" t="str">
        <f>"$ 2,064"</f>
        <v>$ 2,064</v>
      </c>
      <c r="F7293">
        <v>527</v>
      </c>
    </row>
    <row r="7294" spans="1:6">
      <c r="A7294" t="s">
        <v>7267</v>
      </c>
      <c r="B7294" t="str">
        <f t="shared" si="296"/>
        <v>0.00027%</v>
      </c>
      <c r="C7294" t="s">
        <v>10</v>
      </c>
      <c r="D7294" t="s">
        <v>10</v>
      </c>
      <c r="E7294" t="str">
        <f>"$ 2,068"</f>
        <v>$ 2,068</v>
      </c>
      <c r="F7294">
        <v>33</v>
      </c>
    </row>
    <row r="7295" spans="1:6">
      <c r="A7295" t="s">
        <v>7268</v>
      </c>
      <c r="B7295" t="str">
        <f t="shared" si="296"/>
        <v>0.00027%</v>
      </c>
      <c r="C7295" t="s">
        <v>10</v>
      </c>
      <c r="D7295" t="s">
        <v>10</v>
      </c>
      <c r="E7295" t="str">
        <f>"$ 2,098"</f>
        <v>$ 2,098</v>
      </c>
      <c r="F7295">
        <v>165</v>
      </c>
    </row>
    <row r="7296" spans="1:6">
      <c r="A7296" t="s">
        <v>7269</v>
      </c>
      <c r="B7296" t="str">
        <f t="shared" si="296"/>
        <v>0.00027%</v>
      </c>
      <c r="C7296" t="s">
        <v>10</v>
      </c>
      <c r="D7296" t="s">
        <v>10</v>
      </c>
      <c r="E7296" t="str">
        <f>"$ 2,085"</f>
        <v>$ 2,085</v>
      </c>
      <c r="F7296">
        <v>148</v>
      </c>
    </row>
    <row r="7297" spans="1:6">
      <c r="A7297" t="s">
        <v>7270</v>
      </c>
      <c r="B7297" t="str">
        <f t="shared" si="296"/>
        <v>0.00027%</v>
      </c>
      <c r="C7297" t="s">
        <v>10</v>
      </c>
      <c r="D7297" t="s">
        <v>10</v>
      </c>
      <c r="E7297" t="str">
        <f>"$ 2,098"</f>
        <v>$ 2,098</v>
      </c>
      <c r="F7297">
        <v>82</v>
      </c>
    </row>
    <row r="7298" spans="1:6">
      <c r="A7298" t="s">
        <v>7271</v>
      </c>
      <c r="B7298" t="str">
        <f t="shared" si="296"/>
        <v>0.00027%</v>
      </c>
      <c r="C7298" t="s">
        <v>10</v>
      </c>
      <c r="D7298" t="s">
        <v>10</v>
      </c>
      <c r="E7298" t="str">
        <f>"$ 2,078"</f>
        <v>$ 2,078</v>
      </c>
      <c r="F7298">
        <v>165</v>
      </c>
    </row>
    <row r="7299" spans="1:6">
      <c r="A7299" t="s">
        <v>7272</v>
      </c>
      <c r="B7299" t="str">
        <f t="shared" si="296"/>
        <v>0.00027%</v>
      </c>
      <c r="C7299" t="s">
        <v>10</v>
      </c>
      <c r="D7299" t="s">
        <v>10</v>
      </c>
      <c r="E7299" t="str">
        <f>"$ 2,084"</f>
        <v>$ 2,084</v>
      </c>
      <c r="F7299" s="1">
        <v>1772</v>
      </c>
    </row>
    <row r="7300" spans="1:6">
      <c r="A7300" t="s">
        <v>7273</v>
      </c>
      <c r="B7300" t="str">
        <f t="shared" si="296"/>
        <v>0.00027%</v>
      </c>
      <c r="C7300" t="s">
        <v>10</v>
      </c>
      <c r="D7300" t="s">
        <v>10</v>
      </c>
      <c r="E7300" t="str">
        <f>"$ 2,111"</f>
        <v>$ 2,111</v>
      </c>
      <c r="F7300">
        <v>596</v>
      </c>
    </row>
    <row r="7301" spans="1:6">
      <c r="A7301" t="s">
        <v>7274</v>
      </c>
      <c r="B7301" t="str">
        <f t="shared" si="296"/>
        <v>0.00027%</v>
      </c>
      <c r="C7301" t="s">
        <v>10</v>
      </c>
      <c r="D7301" t="s">
        <v>10</v>
      </c>
      <c r="E7301" t="str">
        <f>"$ 2,106"</f>
        <v>$ 2,106</v>
      </c>
      <c r="F7301">
        <v>203</v>
      </c>
    </row>
    <row r="7302" spans="1:6">
      <c r="A7302" t="s">
        <v>7275</v>
      </c>
      <c r="B7302" t="str">
        <f t="shared" si="296"/>
        <v>0.00027%</v>
      </c>
      <c r="C7302" t="s">
        <v>10</v>
      </c>
      <c r="D7302" t="s">
        <v>10</v>
      </c>
      <c r="E7302" t="str">
        <f>"$ 2,072"</f>
        <v>$ 2,072</v>
      </c>
      <c r="F7302">
        <v>544</v>
      </c>
    </row>
    <row r="7303" spans="1:6">
      <c r="A7303" t="s">
        <v>7276</v>
      </c>
      <c r="B7303" t="str">
        <f t="shared" si="296"/>
        <v>0.00027%</v>
      </c>
      <c r="C7303" t="s">
        <v>10</v>
      </c>
      <c r="D7303" t="s">
        <v>10</v>
      </c>
      <c r="E7303" t="str">
        <f>"$ 2,114"</f>
        <v>$ 2,114</v>
      </c>
      <c r="F7303">
        <v>33</v>
      </c>
    </row>
    <row r="7304" spans="1:6">
      <c r="A7304" t="s">
        <v>7277</v>
      </c>
      <c r="B7304" t="str">
        <f t="shared" si="296"/>
        <v>0.00027%</v>
      </c>
      <c r="C7304" t="s">
        <v>10</v>
      </c>
      <c r="D7304" t="s">
        <v>10</v>
      </c>
      <c r="E7304" t="str">
        <f>"$ 2,101"</f>
        <v>$ 2,101</v>
      </c>
      <c r="F7304" s="1">
        <v>5520</v>
      </c>
    </row>
    <row r="7305" spans="1:6">
      <c r="A7305" t="s">
        <v>7278</v>
      </c>
      <c r="B7305" t="str">
        <f t="shared" si="296"/>
        <v>0.00027%</v>
      </c>
      <c r="C7305" t="s">
        <v>10</v>
      </c>
      <c r="D7305" t="s">
        <v>10</v>
      </c>
      <c r="E7305" t="str">
        <f>"$ 2,074"</f>
        <v>$ 2,074</v>
      </c>
      <c r="F7305" s="1">
        <v>1165</v>
      </c>
    </row>
    <row r="7306" spans="1:6">
      <c r="A7306" t="s">
        <v>7279</v>
      </c>
      <c r="B7306" t="str">
        <f t="shared" si="296"/>
        <v>0.00027%</v>
      </c>
      <c r="C7306" t="s">
        <v>10</v>
      </c>
      <c r="D7306" t="s">
        <v>10</v>
      </c>
      <c r="E7306" t="str">
        <f>"$ 2,056"</f>
        <v>$ 2,056</v>
      </c>
      <c r="F7306" s="1">
        <v>1931</v>
      </c>
    </row>
    <row r="7307" spans="1:6">
      <c r="A7307" t="s">
        <v>7280</v>
      </c>
      <c r="B7307" t="str">
        <f t="shared" si="296"/>
        <v>0.00027%</v>
      </c>
      <c r="C7307" t="s">
        <v>10</v>
      </c>
      <c r="D7307" t="s">
        <v>10</v>
      </c>
      <c r="E7307" t="str">
        <f>"$ 2,078"</f>
        <v>$ 2,078</v>
      </c>
      <c r="F7307">
        <v>841</v>
      </c>
    </row>
    <row r="7308" spans="1:6">
      <c r="A7308" t="s">
        <v>7281</v>
      </c>
      <c r="B7308" t="str">
        <f t="shared" si="296"/>
        <v>0.00027%</v>
      </c>
      <c r="C7308" t="s">
        <v>10</v>
      </c>
      <c r="D7308" t="s">
        <v>10</v>
      </c>
      <c r="E7308" t="str">
        <f>"$ 2,052"</f>
        <v>$ 2,052</v>
      </c>
      <c r="F7308" s="1">
        <v>1209</v>
      </c>
    </row>
    <row r="7309" spans="1:6">
      <c r="A7309" t="s">
        <v>7282</v>
      </c>
      <c r="B7309" t="str">
        <f t="shared" si="296"/>
        <v>0.00027%</v>
      </c>
      <c r="C7309" t="s">
        <v>10</v>
      </c>
      <c r="D7309" t="s">
        <v>10</v>
      </c>
      <c r="E7309" t="str">
        <f>"$ 2,091"</f>
        <v>$ 2,091</v>
      </c>
      <c r="F7309">
        <v>14</v>
      </c>
    </row>
    <row r="7310" spans="1:6">
      <c r="A7310" t="s">
        <v>7283</v>
      </c>
      <c r="B7310" t="str">
        <f t="shared" si="296"/>
        <v>0.00027%</v>
      </c>
      <c r="C7310" t="s">
        <v>10</v>
      </c>
      <c r="D7310" t="s">
        <v>10</v>
      </c>
      <c r="E7310" t="str">
        <f>"$ 2,120"</f>
        <v>$ 2,120</v>
      </c>
      <c r="F7310">
        <v>33</v>
      </c>
    </row>
    <row r="7311" spans="1:6">
      <c r="A7311" t="s">
        <v>7284</v>
      </c>
      <c r="B7311" t="str">
        <f t="shared" si="296"/>
        <v>0.00027%</v>
      </c>
      <c r="C7311" t="s">
        <v>10</v>
      </c>
      <c r="D7311" t="s">
        <v>10</v>
      </c>
      <c r="E7311" t="str">
        <f>"$ 2,121"</f>
        <v>$ 2,121</v>
      </c>
      <c r="F7311">
        <v>350</v>
      </c>
    </row>
    <row r="7312" spans="1:6">
      <c r="A7312" t="s">
        <v>7285</v>
      </c>
      <c r="B7312" t="str">
        <f t="shared" ref="B7312:B7343" si="297">"0.00027%"</f>
        <v>0.00027%</v>
      </c>
      <c r="C7312" t="s">
        <v>10</v>
      </c>
      <c r="D7312" t="s">
        <v>10</v>
      </c>
      <c r="E7312" t="str">
        <f>"$ 2,094"</f>
        <v>$ 2,094</v>
      </c>
      <c r="F7312">
        <v>600</v>
      </c>
    </row>
    <row r="7313" spans="1:6">
      <c r="A7313" t="s">
        <v>6733</v>
      </c>
      <c r="B7313" t="str">
        <f t="shared" si="297"/>
        <v>0.00027%</v>
      </c>
      <c r="C7313" t="s">
        <v>10</v>
      </c>
      <c r="D7313" t="s">
        <v>10</v>
      </c>
      <c r="E7313" t="str">
        <f>"$ 2,098"</f>
        <v>$ 2,098</v>
      </c>
      <c r="F7313">
        <v>118</v>
      </c>
    </row>
    <row r="7314" spans="1:6">
      <c r="A7314" t="s">
        <v>7286</v>
      </c>
      <c r="B7314" t="str">
        <f t="shared" si="297"/>
        <v>0.00027%</v>
      </c>
      <c r="C7314" t="s">
        <v>10</v>
      </c>
      <c r="D7314" t="s">
        <v>10</v>
      </c>
      <c r="E7314" t="str">
        <f>"$ 2,122"</f>
        <v>$ 2,122</v>
      </c>
      <c r="F7314">
        <v>82</v>
      </c>
    </row>
    <row r="7315" spans="1:6">
      <c r="A7315" t="s">
        <v>7287</v>
      </c>
      <c r="B7315" t="str">
        <f t="shared" si="297"/>
        <v>0.00027%</v>
      </c>
      <c r="C7315" t="s">
        <v>10</v>
      </c>
      <c r="D7315" t="s">
        <v>10</v>
      </c>
      <c r="E7315" t="str">
        <f>"$ 2,104"</f>
        <v>$ 2,104</v>
      </c>
      <c r="F7315">
        <v>81</v>
      </c>
    </row>
    <row r="7316" spans="1:6">
      <c r="A7316" t="s">
        <v>7288</v>
      </c>
      <c r="B7316" t="str">
        <f t="shared" si="297"/>
        <v>0.00027%</v>
      </c>
      <c r="C7316" t="s">
        <v>10</v>
      </c>
      <c r="D7316" t="s">
        <v>10</v>
      </c>
      <c r="E7316" t="str">
        <f>"$ 2,083"</f>
        <v>$ 2,083</v>
      </c>
      <c r="F7316">
        <v>82</v>
      </c>
    </row>
    <row r="7317" spans="1:6">
      <c r="A7317" t="s">
        <v>7289</v>
      </c>
      <c r="B7317" t="str">
        <f t="shared" si="297"/>
        <v>0.00027%</v>
      </c>
      <c r="C7317" t="s">
        <v>10</v>
      </c>
      <c r="D7317" t="s">
        <v>10</v>
      </c>
      <c r="E7317" t="str">
        <f>"$ 2,060"</f>
        <v>$ 2,060</v>
      </c>
      <c r="F7317">
        <v>125</v>
      </c>
    </row>
    <row r="7318" spans="1:6">
      <c r="A7318" t="s">
        <v>7290</v>
      </c>
      <c r="B7318" t="str">
        <f t="shared" si="297"/>
        <v>0.00027%</v>
      </c>
      <c r="C7318" t="s">
        <v>10</v>
      </c>
      <c r="D7318" t="s">
        <v>10</v>
      </c>
      <c r="E7318" t="str">
        <f>"$ 2,076"</f>
        <v>$ 2,076</v>
      </c>
      <c r="F7318">
        <v>93</v>
      </c>
    </row>
    <row r="7319" spans="1:6">
      <c r="A7319" t="s">
        <v>7291</v>
      </c>
      <c r="B7319" t="str">
        <f t="shared" si="297"/>
        <v>0.00027%</v>
      </c>
      <c r="C7319" t="s">
        <v>10</v>
      </c>
      <c r="D7319" t="s">
        <v>10</v>
      </c>
      <c r="E7319" t="str">
        <f>"$ 2,076"</f>
        <v>$ 2,076</v>
      </c>
      <c r="F7319">
        <v>87</v>
      </c>
    </row>
    <row r="7320" spans="1:6">
      <c r="A7320" t="s">
        <v>7292</v>
      </c>
      <c r="B7320" t="str">
        <f t="shared" si="297"/>
        <v>0.00027%</v>
      </c>
      <c r="C7320" t="s">
        <v>10</v>
      </c>
      <c r="D7320" t="s">
        <v>10</v>
      </c>
      <c r="E7320" t="str">
        <f>"$ 2,086"</f>
        <v>$ 2,086</v>
      </c>
      <c r="F7320">
        <v>25</v>
      </c>
    </row>
    <row r="7321" spans="1:6">
      <c r="A7321" t="s">
        <v>7293</v>
      </c>
      <c r="B7321" t="str">
        <f t="shared" si="297"/>
        <v>0.00027%</v>
      </c>
      <c r="C7321" t="s">
        <v>10</v>
      </c>
      <c r="D7321" t="s">
        <v>10</v>
      </c>
      <c r="E7321" t="str">
        <f>"$ 2,100"</f>
        <v>$ 2,100</v>
      </c>
      <c r="F7321">
        <v>154</v>
      </c>
    </row>
    <row r="7322" spans="1:6">
      <c r="A7322" t="s">
        <v>7294</v>
      </c>
      <c r="B7322" t="str">
        <f t="shared" si="297"/>
        <v>0.00027%</v>
      </c>
      <c r="C7322" t="s">
        <v>10</v>
      </c>
      <c r="D7322" t="s">
        <v>10</v>
      </c>
      <c r="E7322" t="str">
        <f>"$ 2,078"</f>
        <v>$ 2,078</v>
      </c>
      <c r="F7322">
        <v>76</v>
      </c>
    </row>
    <row r="7323" spans="1:6">
      <c r="A7323" t="s">
        <v>7295</v>
      </c>
      <c r="B7323" t="str">
        <f t="shared" si="297"/>
        <v>0.00027%</v>
      </c>
      <c r="C7323" t="s">
        <v>10</v>
      </c>
      <c r="D7323" t="s">
        <v>10</v>
      </c>
      <c r="E7323" t="str">
        <f>"$ 2,064"</f>
        <v>$ 2,064</v>
      </c>
      <c r="F7323">
        <v>344</v>
      </c>
    </row>
    <row r="7324" spans="1:6">
      <c r="A7324" t="s">
        <v>7296</v>
      </c>
      <c r="B7324" t="str">
        <f t="shared" si="297"/>
        <v>0.00027%</v>
      </c>
      <c r="C7324" t="s">
        <v>10</v>
      </c>
      <c r="D7324" t="s">
        <v>10</v>
      </c>
      <c r="E7324" t="str">
        <f>"$ 2,070"</f>
        <v>$ 2,070</v>
      </c>
      <c r="F7324">
        <v>210</v>
      </c>
    </row>
    <row r="7325" spans="1:6">
      <c r="A7325" t="s">
        <v>7297</v>
      </c>
      <c r="B7325" t="str">
        <f t="shared" si="297"/>
        <v>0.00027%</v>
      </c>
      <c r="C7325" t="s">
        <v>10</v>
      </c>
      <c r="D7325" t="s">
        <v>10</v>
      </c>
      <c r="E7325" t="str">
        <f>"$ 2,079"</f>
        <v>$ 2,079</v>
      </c>
      <c r="F7325" s="1">
        <v>1251</v>
      </c>
    </row>
    <row r="7326" spans="1:6">
      <c r="A7326" t="s">
        <v>7298</v>
      </c>
      <c r="B7326" t="str">
        <f t="shared" si="297"/>
        <v>0.00027%</v>
      </c>
      <c r="C7326" t="s">
        <v>10</v>
      </c>
      <c r="D7326" t="s">
        <v>10</v>
      </c>
      <c r="E7326" t="str">
        <f>"$ 2,083"</f>
        <v>$ 2,083</v>
      </c>
      <c r="F7326">
        <v>355</v>
      </c>
    </row>
    <row r="7327" spans="1:6">
      <c r="A7327" t="s">
        <v>7299</v>
      </c>
      <c r="B7327" t="str">
        <f t="shared" si="297"/>
        <v>0.00027%</v>
      </c>
      <c r="C7327" t="s">
        <v>10</v>
      </c>
      <c r="D7327" t="s">
        <v>10</v>
      </c>
      <c r="E7327" t="str">
        <f>"$ 2,102"</f>
        <v>$ 2,102</v>
      </c>
      <c r="F7327">
        <v>363</v>
      </c>
    </row>
    <row r="7328" spans="1:6">
      <c r="A7328" t="s">
        <v>7300</v>
      </c>
      <c r="B7328" t="str">
        <f t="shared" si="297"/>
        <v>0.00027%</v>
      </c>
      <c r="C7328" t="s">
        <v>10</v>
      </c>
      <c r="D7328" t="s">
        <v>10</v>
      </c>
      <c r="E7328" t="str">
        <f>"$ 2,077"</f>
        <v>$ 2,077</v>
      </c>
      <c r="F7328">
        <v>66</v>
      </c>
    </row>
    <row r="7329" spans="1:6">
      <c r="A7329" t="s">
        <v>7301</v>
      </c>
      <c r="B7329" t="str">
        <f t="shared" si="297"/>
        <v>0.00027%</v>
      </c>
      <c r="C7329" t="s">
        <v>10</v>
      </c>
      <c r="D7329" t="s">
        <v>10</v>
      </c>
      <c r="E7329" t="str">
        <f>"$ 2,068"</f>
        <v>$ 2,068</v>
      </c>
      <c r="F7329">
        <v>910</v>
      </c>
    </row>
    <row r="7330" spans="1:6">
      <c r="A7330" t="s">
        <v>7302</v>
      </c>
      <c r="B7330" t="str">
        <f t="shared" si="297"/>
        <v>0.00027%</v>
      </c>
      <c r="C7330" t="s">
        <v>10</v>
      </c>
      <c r="D7330" t="s">
        <v>10</v>
      </c>
      <c r="E7330" t="str">
        <f>"$ 2,095"</f>
        <v>$ 2,095</v>
      </c>
      <c r="F7330">
        <v>289</v>
      </c>
    </row>
    <row r="7331" spans="1:6">
      <c r="A7331" t="s">
        <v>7303</v>
      </c>
      <c r="B7331" t="str">
        <f t="shared" si="297"/>
        <v>0.00027%</v>
      </c>
      <c r="C7331" t="s">
        <v>10</v>
      </c>
      <c r="D7331" t="s">
        <v>10</v>
      </c>
      <c r="E7331" t="str">
        <f>"$ 2,103"</f>
        <v>$ 2,103</v>
      </c>
      <c r="F7331">
        <v>148</v>
      </c>
    </row>
    <row r="7332" spans="1:6">
      <c r="A7332" t="s">
        <v>7304</v>
      </c>
      <c r="B7332" t="str">
        <f t="shared" si="297"/>
        <v>0.00027%</v>
      </c>
      <c r="C7332" t="s">
        <v>10</v>
      </c>
      <c r="D7332" t="s">
        <v>10</v>
      </c>
      <c r="E7332" t="str">
        <f>"$ 2,072"</f>
        <v>$ 2,072</v>
      </c>
      <c r="F7332" s="1">
        <v>2630</v>
      </c>
    </row>
    <row r="7333" spans="1:6">
      <c r="A7333" t="s">
        <v>7305</v>
      </c>
      <c r="B7333" t="str">
        <f t="shared" si="297"/>
        <v>0.00027%</v>
      </c>
      <c r="C7333" t="s">
        <v>10</v>
      </c>
      <c r="D7333" t="s">
        <v>10</v>
      </c>
      <c r="E7333" t="str">
        <f>"$ 2,099"</f>
        <v>$ 2,099</v>
      </c>
      <c r="F7333">
        <v>79</v>
      </c>
    </row>
    <row r="7334" spans="1:6">
      <c r="A7334" t="s">
        <v>7306</v>
      </c>
      <c r="B7334" t="str">
        <f t="shared" si="297"/>
        <v>0.00027%</v>
      </c>
      <c r="C7334" t="s">
        <v>10</v>
      </c>
      <c r="D7334" t="s">
        <v>10</v>
      </c>
      <c r="E7334" t="str">
        <f>"$ 2,071"</f>
        <v>$ 2,071</v>
      </c>
      <c r="F7334">
        <v>341</v>
      </c>
    </row>
    <row r="7335" spans="1:6">
      <c r="A7335" t="s">
        <v>7307</v>
      </c>
      <c r="B7335" t="str">
        <f t="shared" si="297"/>
        <v>0.00027%</v>
      </c>
      <c r="C7335" t="s">
        <v>10</v>
      </c>
      <c r="D7335" t="s">
        <v>10</v>
      </c>
      <c r="E7335" t="str">
        <f>"$ 2,081"</f>
        <v>$ 2,081</v>
      </c>
      <c r="F7335" s="1">
        <v>8002</v>
      </c>
    </row>
    <row r="7336" spans="1:6">
      <c r="A7336" t="s">
        <v>7308</v>
      </c>
      <c r="B7336" t="str">
        <f t="shared" si="297"/>
        <v>0.00027%</v>
      </c>
      <c r="C7336" t="s">
        <v>10</v>
      </c>
      <c r="D7336" t="s">
        <v>10</v>
      </c>
      <c r="E7336" t="str">
        <f>"$ 2,054"</f>
        <v>$ 2,054</v>
      </c>
      <c r="F7336">
        <v>68</v>
      </c>
    </row>
    <row r="7337" spans="1:6">
      <c r="A7337" t="s">
        <v>7309</v>
      </c>
      <c r="B7337" t="str">
        <f t="shared" si="297"/>
        <v>0.00027%</v>
      </c>
      <c r="C7337" t="s">
        <v>10</v>
      </c>
      <c r="D7337" t="s">
        <v>10</v>
      </c>
      <c r="E7337" t="str">
        <f>"$ 2,056"</f>
        <v>$ 2,056</v>
      </c>
      <c r="F7337">
        <v>50</v>
      </c>
    </row>
    <row r="7338" spans="1:6">
      <c r="A7338" t="s">
        <v>7310</v>
      </c>
      <c r="B7338" t="str">
        <f t="shared" si="297"/>
        <v>0.00027%</v>
      </c>
      <c r="C7338" t="s">
        <v>10</v>
      </c>
      <c r="D7338" t="s">
        <v>10</v>
      </c>
      <c r="E7338" t="str">
        <f>"$ 2,075"</f>
        <v>$ 2,075</v>
      </c>
      <c r="F7338">
        <v>132</v>
      </c>
    </row>
    <row r="7339" spans="1:6">
      <c r="A7339" t="s">
        <v>7311</v>
      </c>
      <c r="B7339" t="str">
        <f t="shared" si="297"/>
        <v>0.00027%</v>
      </c>
      <c r="C7339" t="s">
        <v>10</v>
      </c>
      <c r="D7339" t="s">
        <v>10</v>
      </c>
      <c r="E7339" t="str">
        <f>"$ 2,058"</f>
        <v>$ 2,058</v>
      </c>
      <c r="F7339">
        <v>129</v>
      </c>
    </row>
    <row r="7340" spans="1:6">
      <c r="A7340" t="s">
        <v>7312</v>
      </c>
      <c r="B7340" t="str">
        <f t="shared" si="297"/>
        <v>0.00027%</v>
      </c>
      <c r="C7340" t="s">
        <v>10</v>
      </c>
      <c r="D7340" t="s">
        <v>10</v>
      </c>
      <c r="E7340" t="str">
        <f>"$ 2,086"</f>
        <v>$ 2,086</v>
      </c>
      <c r="F7340">
        <v>83</v>
      </c>
    </row>
    <row r="7341" spans="1:6">
      <c r="A7341" t="s">
        <v>7313</v>
      </c>
      <c r="B7341" t="str">
        <f t="shared" si="297"/>
        <v>0.00027%</v>
      </c>
      <c r="C7341" t="s">
        <v>10</v>
      </c>
      <c r="D7341" t="s">
        <v>10</v>
      </c>
      <c r="E7341" t="str">
        <f>"$ 2,086"</f>
        <v>$ 2,086</v>
      </c>
      <c r="F7341">
        <v>30</v>
      </c>
    </row>
    <row r="7342" spans="1:6">
      <c r="A7342" t="s">
        <v>7314</v>
      </c>
      <c r="B7342" t="str">
        <f t="shared" si="297"/>
        <v>0.00027%</v>
      </c>
      <c r="C7342" t="s">
        <v>10</v>
      </c>
      <c r="D7342" t="s">
        <v>10</v>
      </c>
      <c r="E7342" t="str">
        <f>"$ 2,102"</f>
        <v>$ 2,102</v>
      </c>
      <c r="F7342">
        <v>105</v>
      </c>
    </row>
    <row r="7343" spans="1:6">
      <c r="A7343" t="s">
        <v>7315</v>
      </c>
      <c r="B7343" t="str">
        <f t="shared" si="297"/>
        <v>0.00027%</v>
      </c>
      <c r="C7343" t="s">
        <v>10</v>
      </c>
      <c r="D7343" t="s">
        <v>10</v>
      </c>
      <c r="E7343" t="str">
        <f>"$ 2,106"</f>
        <v>$ 2,106</v>
      </c>
      <c r="F7343">
        <v>274</v>
      </c>
    </row>
    <row r="7344" spans="1:6">
      <c r="A7344" t="s">
        <v>7316</v>
      </c>
      <c r="B7344" t="str">
        <f t="shared" ref="B7344:B7362" si="298">"0.00027%"</f>
        <v>0.00027%</v>
      </c>
      <c r="C7344" t="s">
        <v>10</v>
      </c>
      <c r="D7344" t="s">
        <v>10</v>
      </c>
      <c r="E7344" t="str">
        <f>"$ 2,116"</f>
        <v>$ 2,116</v>
      </c>
      <c r="F7344">
        <v>129</v>
      </c>
    </row>
    <row r="7345" spans="1:6">
      <c r="A7345" t="s">
        <v>7317</v>
      </c>
      <c r="B7345" t="str">
        <f t="shared" si="298"/>
        <v>0.00027%</v>
      </c>
      <c r="C7345" t="s">
        <v>10</v>
      </c>
      <c r="D7345" t="s">
        <v>10</v>
      </c>
      <c r="E7345" t="str">
        <f>"$ 2,114"</f>
        <v>$ 2,114</v>
      </c>
      <c r="F7345">
        <v>213</v>
      </c>
    </row>
    <row r="7346" spans="1:6">
      <c r="A7346" t="s">
        <v>7318</v>
      </c>
      <c r="B7346" t="str">
        <f t="shared" si="298"/>
        <v>0.00027%</v>
      </c>
      <c r="C7346" t="s">
        <v>10</v>
      </c>
      <c r="D7346" t="s">
        <v>10</v>
      </c>
      <c r="E7346" t="str">
        <f>"$ 2,056"</f>
        <v>$ 2,056</v>
      </c>
      <c r="F7346">
        <v>803</v>
      </c>
    </row>
    <row r="7347" spans="1:6">
      <c r="A7347" t="s">
        <v>7319</v>
      </c>
      <c r="B7347" t="str">
        <f t="shared" si="298"/>
        <v>0.00027%</v>
      </c>
      <c r="C7347" t="s">
        <v>10</v>
      </c>
      <c r="D7347" t="s">
        <v>10</v>
      </c>
      <c r="E7347" t="str">
        <f>"$ 2,084"</f>
        <v>$ 2,084</v>
      </c>
      <c r="F7347">
        <v>51</v>
      </c>
    </row>
    <row r="7348" spans="1:6">
      <c r="A7348" t="s">
        <v>7320</v>
      </c>
      <c r="B7348" t="str">
        <f t="shared" si="298"/>
        <v>0.00027%</v>
      </c>
      <c r="C7348" t="s">
        <v>10</v>
      </c>
      <c r="D7348" t="s">
        <v>10</v>
      </c>
      <c r="E7348" t="str">
        <f>"$ 2,090"</f>
        <v>$ 2,090</v>
      </c>
      <c r="F7348">
        <v>96</v>
      </c>
    </row>
    <row r="7349" spans="1:6">
      <c r="A7349" t="s">
        <v>5435</v>
      </c>
      <c r="B7349" t="str">
        <f t="shared" si="298"/>
        <v>0.00027%</v>
      </c>
      <c r="C7349" t="s">
        <v>10</v>
      </c>
      <c r="D7349" t="s">
        <v>10</v>
      </c>
      <c r="E7349" t="str">
        <f>"$ 2,050"</f>
        <v>$ 2,050</v>
      </c>
      <c r="F7349">
        <v>763</v>
      </c>
    </row>
    <row r="7350" spans="1:6">
      <c r="A7350" t="s">
        <v>7321</v>
      </c>
      <c r="B7350" t="str">
        <f t="shared" si="298"/>
        <v>0.00027%</v>
      </c>
      <c r="C7350" t="s">
        <v>10</v>
      </c>
      <c r="D7350" t="s">
        <v>10</v>
      </c>
      <c r="E7350" t="str">
        <f>"$ 2,094"</f>
        <v>$ 2,094</v>
      </c>
      <c r="F7350" s="1">
        <v>11046</v>
      </c>
    </row>
    <row r="7351" spans="1:6">
      <c r="A7351" t="s">
        <v>7322</v>
      </c>
      <c r="B7351" t="str">
        <f t="shared" si="298"/>
        <v>0.00027%</v>
      </c>
      <c r="C7351" t="s">
        <v>10</v>
      </c>
      <c r="D7351" t="s">
        <v>10</v>
      </c>
      <c r="E7351" t="str">
        <f>"$ 2,109"</f>
        <v>$ 2,109</v>
      </c>
      <c r="F7351" s="1">
        <v>3590</v>
      </c>
    </row>
    <row r="7352" spans="1:6">
      <c r="A7352" t="s">
        <v>7323</v>
      </c>
      <c r="B7352" t="str">
        <f t="shared" si="298"/>
        <v>0.00027%</v>
      </c>
      <c r="C7352" t="s">
        <v>10</v>
      </c>
      <c r="D7352" t="s">
        <v>10</v>
      </c>
      <c r="E7352" t="str">
        <f>"$ 2,095"</f>
        <v>$ 2,095</v>
      </c>
      <c r="F7352" s="1">
        <v>1592</v>
      </c>
    </row>
    <row r="7353" spans="1:6">
      <c r="A7353" t="s">
        <v>7324</v>
      </c>
      <c r="B7353" t="str">
        <f t="shared" si="298"/>
        <v>0.00027%</v>
      </c>
      <c r="C7353" t="s">
        <v>10</v>
      </c>
      <c r="D7353" t="s">
        <v>10</v>
      </c>
      <c r="E7353" t="str">
        <f>"$ 2,116"</f>
        <v>$ 2,116</v>
      </c>
      <c r="F7353" s="1">
        <v>2078</v>
      </c>
    </row>
    <row r="7354" spans="1:6">
      <c r="A7354" t="s">
        <v>7325</v>
      </c>
      <c r="B7354" t="str">
        <f t="shared" si="298"/>
        <v>0.00027%</v>
      </c>
      <c r="C7354" t="s">
        <v>10</v>
      </c>
      <c r="D7354" t="s">
        <v>10</v>
      </c>
      <c r="E7354" t="str">
        <f>"$ 2,083"</f>
        <v>$ 2,083</v>
      </c>
      <c r="F7354" s="1">
        <v>2755</v>
      </c>
    </row>
    <row r="7355" spans="1:6">
      <c r="A7355" t="s">
        <v>7326</v>
      </c>
      <c r="B7355" t="str">
        <f t="shared" si="298"/>
        <v>0.00027%</v>
      </c>
      <c r="C7355" t="s">
        <v>10</v>
      </c>
      <c r="D7355" t="s">
        <v>10</v>
      </c>
      <c r="E7355" t="str">
        <f>"$ 2,067"</f>
        <v>$ 2,067</v>
      </c>
      <c r="F7355">
        <v>71</v>
      </c>
    </row>
    <row r="7356" spans="1:6">
      <c r="A7356" t="s">
        <v>7327</v>
      </c>
      <c r="B7356" t="str">
        <f t="shared" si="298"/>
        <v>0.00027%</v>
      </c>
      <c r="C7356" t="s">
        <v>10</v>
      </c>
      <c r="D7356" t="s">
        <v>10</v>
      </c>
      <c r="E7356" t="str">
        <f>"$ 2,048"</f>
        <v>$ 2,048</v>
      </c>
      <c r="F7356">
        <v>297</v>
      </c>
    </row>
    <row r="7357" spans="1:6">
      <c r="A7357" t="s">
        <v>7328</v>
      </c>
      <c r="B7357" t="str">
        <f t="shared" si="298"/>
        <v>0.00027%</v>
      </c>
      <c r="C7357" t="s">
        <v>10</v>
      </c>
      <c r="D7357" t="s">
        <v>10</v>
      </c>
      <c r="E7357" t="str">
        <f>"$ 2,077"</f>
        <v>$ 2,077</v>
      </c>
      <c r="F7357">
        <v>249</v>
      </c>
    </row>
    <row r="7358" spans="1:6">
      <c r="A7358" t="s">
        <v>7329</v>
      </c>
      <c r="B7358" t="str">
        <f t="shared" si="298"/>
        <v>0.00027%</v>
      </c>
      <c r="C7358" t="s">
        <v>10</v>
      </c>
      <c r="D7358" t="s">
        <v>10</v>
      </c>
      <c r="E7358" t="str">
        <f>"$ 2,095"</f>
        <v>$ 2,095</v>
      </c>
      <c r="F7358" s="1">
        <v>1772</v>
      </c>
    </row>
    <row r="7359" spans="1:6">
      <c r="A7359" t="s">
        <v>7330</v>
      </c>
      <c r="B7359" t="str">
        <f t="shared" si="298"/>
        <v>0.00027%</v>
      </c>
      <c r="C7359" t="s">
        <v>10</v>
      </c>
      <c r="D7359" t="s">
        <v>10</v>
      </c>
      <c r="E7359" t="str">
        <f>"$ 2,115"</f>
        <v>$ 2,115</v>
      </c>
      <c r="F7359">
        <v>277</v>
      </c>
    </row>
    <row r="7360" spans="1:6">
      <c r="A7360" t="s">
        <v>7331</v>
      </c>
      <c r="B7360" t="str">
        <f t="shared" si="298"/>
        <v>0.00027%</v>
      </c>
      <c r="C7360" t="s">
        <v>10</v>
      </c>
      <c r="D7360" t="s">
        <v>10</v>
      </c>
      <c r="E7360" t="str">
        <f>"$ 2,118"</f>
        <v>$ 2,118</v>
      </c>
      <c r="F7360" s="1">
        <v>10557</v>
      </c>
    </row>
    <row r="7361" spans="1:6">
      <c r="A7361" t="s">
        <v>7332</v>
      </c>
      <c r="B7361" t="str">
        <f t="shared" si="298"/>
        <v>0.00027%</v>
      </c>
      <c r="C7361" t="s">
        <v>10</v>
      </c>
      <c r="D7361" t="s">
        <v>10</v>
      </c>
      <c r="E7361" t="str">
        <f>"$ 2,084"</f>
        <v>$ 2,084</v>
      </c>
      <c r="F7361">
        <v>566</v>
      </c>
    </row>
    <row r="7362" spans="1:6">
      <c r="A7362" t="s">
        <v>7333</v>
      </c>
      <c r="B7362" t="str">
        <f t="shared" si="298"/>
        <v>0.00027%</v>
      </c>
      <c r="C7362" t="s">
        <v>10</v>
      </c>
      <c r="D7362" t="s">
        <v>10</v>
      </c>
      <c r="E7362" t="str">
        <f>"$ 2,073"</f>
        <v>$ 2,073</v>
      </c>
      <c r="F7362" s="1">
        <v>16862</v>
      </c>
    </row>
    <row r="7363" spans="1:6">
      <c r="A7363" t="s">
        <v>7334</v>
      </c>
      <c r="B7363" t="str">
        <f t="shared" ref="B7363:B7394" si="299">"0.00026%"</f>
        <v>0.00026%</v>
      </c>
      <c r="C7363" t="s">
        <v>10</v>
      </c>
      <c r="D7363" t="s">
        <v>10</v>
      </c>
      <c r="E7363" t="str">
        <f>"$ 1,973"</f>
        <v>$ 1,973</v>
      </c>
      <c r="F7363">
        <v>132</v>
      </c>
    </row>
    <row r="7364" spans="1:6">
      <c r="A7364" t="s">
        <v>7335</v>
      </c>
      <c r="B7364" t="str">
        <f t="shared" si="299"/>
        <v>0.00026%</v>
      </c>
      <c r="C7364" t="s">
        <v>10</v>
      </c>
      <c r="D7364" t="s">
        <v>10</v>
      </c>
      <c r="E7364" t="str">
        <f>"$ 1,997"</f>
        <v>$ 1,997</v>
      </c>
      <c r="F7364">
        <v>66</v>
      </c>
    </row>
    <row r="7365" spans="1:6">
      <c r="A7365" t="s">
        <v>7336</v>
      </c>
      <c r="B7365" t="str">
        <f t="shared" si="299"/>
        <v>0.00026%</v>
      </c>
      <c r="C7365" t="s">
        <v>10</v>
      </c>
      <c r="D7365" t="s">
        <v>10</v>
      </c>
      <c r="E7365" t="str">
        <f>"$ 2,043"</f>
        <v>$ 2,043</v>
      </c>
      <c r="F7365">
        <v>99</v>
      </c>
    </row>
    <row r="7366" spans="1:6">
      <c r="A7366" t="s">
        <v>7337</v>
      </c>
      <c r="B7366" t="str">
        <f t="shared" si="299"/>
        <v>0.00026%</v>
      </c>
      <c r="C7366" t="s">
        <v>10</v>
      </c>
      <c r="D7366" t="s">
        <v>10</v>
      </c>
      <c r="E7366" t="str">
        <f>"$ 1,984"</f>
        <v>$ 1,984</v>
      </c>
      <c r="F7366" s="1">
        <v>11969</v>
      </c>
    </row>
    <row r="7367" spans="1:6">
      <c r="A7367" t="s">
        <v>7338</v>
      </c>
      <c r="B7367" t="str">
        <f t="shared" si="299"/>
        <v>0.00026%</v>
      </c>
      <c r="C7367" t="s">
        <v>10</v>
      </c>
      <c r="D7367" t="s">
        <v>10</v>
      </c>
      <c r="E7367" t="str">
        <f>"$ 1,970"</f>
        <v>$ 1,970</v>
      </c>
      <c r="F7367">
        <v>53</v>
      </c>
    </row>
    <row r="7368" spans="1:6">
      <c r="A7368" t="s">
        <v>7339</v>
      </c>
      <c r="B7368" t="str">
        <f t="shared" si="299"/>
        <v>0.00026%</v>
      </c>
      <c r="C7368" t="s">
        <v>10</v>
      </c>
      <c r="D7368" t="s">
        <v>10</v>
      </c>
      <c r="E7368" t="str">
        <f>"$ 2,035"</f>
        <v>$ 2,035</v>
      </c>
      <c r="F7368">
        <v>49</v>
      </c>
    </row>
    <row r="7369" spans="1:6">
      <c r="A7369" t="s">
        <v>7340</v>
      </c>
      <c r="B7369" t="str">
        <f t="shared" si="299"/>
        <v>0.00026%</v>
      </c>
      <c r="C7369" t="s">
        <v>10</v>
      </c>
      <c r="D7369" t="s">
        <v>10</v>
      </c>
      <c r="E7369" t="str">
        <f>"$ 2,014"</f>
        <v>$ 2,014</v>
      </c>
      <c r="F7369">
        <v>411</v>
      </c>
    </row>
    <row r="7370" spans="1:6">
      <c r="A7370" t="s">
        <v>7341</v>
      </c>
      <c r="B7370" t="str">
        <f t="shared" si="299"/>
        <v>0.00026%</v>
      </c>
      <c r="C7370" t="s">
        <v>10</v>
      </c>
      <c r="D7370" t="s">
        <v>10</v>
      </c>
      <c r="E7370" t="str">
        <f>"$ 2,022"</f>
        <v>$ 2,022</v>
      </c>
      <c r="F7370">
        <v>9</v>
      </c>
    </row>
    <row r="7371" spans="1:6">
      <c r="A7371" t="s">
        <v>7342</v>
      </c>
      <c r="B7371" t="str">
        <f t="shared" si="299"/>
        <v>0.00026%</v>
      </c>
      <c r="C7371" t="s">
        <v>10</v>
      </c>
      <c r="D7371" t="s">
        <v>10</v>
      </c>
      <c r="E7371" t="str">
        <f>"$ 1,995"</f>
        <v>$ 1,995</v>
      </c>
      <c r="F7371">
        <v>989</v>
      </c>
    </row>
    <row r="7372" spans="1:6">
      <c r="A7372" t="s">
        <v>7343</v>
      </c>
      <c r="B7372" t="str">
        <f t="shared" si="299"/>
        <v>0.00026%</v>
      </c>
      <c r="C7372" t="s">
        <v>10</v>
      </c>
      <c r="D7372" t="s">
        <v>10</v>
      </c>
      <c r="E7372" t="str">
        <f>"$ 2,037"</f>
        <v>$ 2,037</v>
      </c>
      <c r="F7372">
        <v>49</v>
      </c>
    </row>
    <row r="7373" spans="1:6">
      <c r="A7373" t="s">
        <v>7344</v>
      </c>
      <c r="B7373" t="str">
        <f t="shared" si="299"/>
        <v>0.00026%</v>
      </c>
      <c r="C7373" t="s">
        <v>10</v>
      </c>
      <c r="D7373" t="s">
        <v>10</v>
      </c>
      <c r="E7373" t="str">
        <f>"$ 1,987"</f>
        <v>$ 1,987</v>
      </c>
      <c r="F7373" s="1">
        <v>1855</v>
      </c>
    </row>
    <row r="7374" spans="1:6">
      <c r="A7374" t="s">
        <v>7345</v>
      </c>
      <c r="B7374" t="str">
        <f t="shared" si="299"/>
        <v>0.00026%</v>
      </c>
      <c r="C7374" t="s">
        <v>10</v>
      </c>
      <c r="D7374" t="s">
        <v>10</v>
      </c>
      <c r="E7374" t="str">
        <f>"$ 1,989"</f>
        <v>$ 1,989</v>
      </c>
      <c r="F7374">
        <v>69</v>
      </c>
    </row>
    <row r="7375" spans="1:6">
      <c r="A7375" t="s">
        <v>7346</v>
      </c>
      <c r="B7375" t="str">
        <f t="shared" si="299"/>
        <v>0.00026%</v>
      </c>
      <c r="C7375" t="s">
        <v>10</v>
      </c>
      <c r="D7375" t="s">
        <v>10</v>
      </c>
      <c r="E7375" t="str">
        <f>"$ 1,994"</f>
        <v>$ 1,994</v>
      </c>
      <c r="F7375">
        <v>192</v>
      </c>
    </row>
    <row r="7376" spans="1:6">
      <c r="A7376" t="s">
        <v>7347</v>
      </c>
      <c r="B7376" t="str">
        <f t="shared" si="299"/>
        <v>0.00026%</v>
      </c>
      <c r="C7376" t="s">
        <v>10</v>
      </c>
      <c r="D7376" t="s">
        <v>10</v>
      </c>
      <c r="E7376" t="str">
        <f>"$ 1,998"</f>
        <v>$ 1,998</v>
      </c>
      <c r="F7376" s="1">
        <v>5818</v>
      </c>
    </row>
    <row r="7377" spans="1:6">
      <c r="A7377" t="s">
        <v>7348</v>
      </c>
      <c r="B7377" t="str">
        <f t="shared" si="299"/>
        <v>0.00026%</v>
      </c>
      <c r="C7377" t="s">
        <v>10</v>
      </c>
      <c r="D7377" t="s">
        <v>10</v>
      </c>
      <c r="E7377" t="str">
        <f>"$ 1,985"</f>
        <v>$ 1,985</v>
      </c>
      <c r="F7377" s="1">
        <v>20202</v>
      </c>
    </row>
    <row r="7378" spans="1:6">
      <c r="A7378" t="s">
        <v>7349</v>
      </c>
      <c r="B7378" t="str">
        <f t="shared" si="299"/>
        <v>0.00026%</v>
      </c>
      <c r="C7378" t="s">
        <v>10</v>
      </c>
      <c r="D7378" t="s">
        <v>10</v>
      </c>
      <c r="E7378" t="str">
        <f>"$ 2,003"</f>
        <v>$ 2,003</v>
      </c>
      <c r="F7378" s="1">
        <v>1403</v>
      </c>
    </row>
    <row r="7379" spans="1:6">
      <c r="A7379" t="s">
        <v>7350</v>
      </c>
      <c r="B7379" t="str">
        <f t="shared" si="299"/>
        <v>0.00026%</v>
      </c>
      <c r="C7379" t="s">
        <v>10</v>
      </c>
      <c r="D7379" t="s">
        <v>10</v>
      </c>
      <c r="E7379" t="str">
        <f>"$ 2,024"</f>
        <v>$ 2,024</v>
      </c>
      <c r="F7379">
        <v>398</v>
      </c>
    </row>
    <row r="7380" spans="1:6">
      <c r="A7380" t="s">
        <v>7351</v>
      </c>
      <c r="B7380" t="str">
        <f t="shared" si="299"/>
        <v>0.00026%</v>
      </c>
      <c r="C7380" t="s">
        <v>10</v>
      </c>
      <c r="D7380" t="s">
        <v>10</v>
      </c>
      <c r="E7380" t="str">
        <f>"$ 1,975"</f>
        <v>$ 1,975</v>
      </c>
      <c r="F7380">
        <v>87</v>
      </c>
    </row>
    <row r="7381" spans="1:6">
      <c r="A7381" t="s">
        <v>7352</v>
      </c>
      <c r="B7381" t="str">
        <f t="shared" si="299"/>
        <v>0.00026%</v>
      </c>
      <c r="C7381" t="s">
        <v>10</v>
      </c>
      <c r="D7381" t="s">
        <v>10</v>
      </c>
      <c r="E7381" t="str">
        <f>"$ 2,021"</f>
        <v>$ 2,021</v>
      </c>
      <c r="F7381" s="1">
        <v>3094</v>
      </c>
    </row>
    <row r="7382" spans="1:6">
      <c r="A7382" t="s">
        <v>7353</v>
      </c>
      <c r="B7382" t="str">
        <f t="shared" si="299"/>
        <v>0.00026%</v>
      </c>
      <c r="C7382" t="s">
        <v>10</v>
      </c>
      <c r="D7382" t="s">
        <v>10</v>
      </c>
      <c r="E7382" t="str">
        <f>"$ 2,007"</f>
        <v>$ 2,007</v>
      </c>
      <c r="F7382">
        <v>706</v>
      </c>
    </row>
    <row r="7383" spans="1:6">
      <c r="A7383" t="s">
        <v>7354</v>
      </c>
      <c r="B7383" t="str">
        <f t="shared" si="299"/>
        <v>0.00026%</v>
      </c>
      <c r="C7383" t="s">
        <v>10</v>
      </c>
      <c r="D7383" t="s">
        <v>10</v>
      </c>
      <c r="E7383" t="str">
        <f>"$ 2,026"</f>
        <v>$ 2,026</v>
      </c>
      <c r="F7383">
        <v>87</v>
      </c>
    </row>
    <row r="7384" spans="1:6">
      <c r="A7384" t="s">
        <v>7355</v>
      </c>
      <c r="B7384" t="str">
        <f t="shared" si="299"/>
        <v>0.00026%</v>
      </c>
      <c r="C7384" t="s">
        <v>10</v>
      </c>
      <c r="D7384" t="s">
        <v>10</v>
      </c>
      <c r="E7384" t="str">
        <f>"$ 1,986"</f>
        <v>$ 1,986</v>
      </c>
      <c r="F7384">
        <v>165</v>
      </c>
    </row>
    <row r="7385" spans="1:6">
      <c r="A7385" t="s">
        <v>7356</v>
      </c>
      <c r="B7385" t="str">
        <f t="shared" si="299"/>
        <v>0.00026%</v>
      </c>
      <c r="C7385" t="s">
        <v>10</v>
      </c>
      <c r="D7385" t="s">
        <v>10</v>
      </c>
      <c r="E7385" t="str">
        <f>"$ 1,989"</f>
        <v>$ 1,989</v>
      </c>
      <c r="F7385">
        <v>82</v>
      </c>
    </row>
    <row r="7386" spans="1:6">
      <c r="A7386" t="s">
        <v>7357</v>
      </c>
      <c r="B7386" t="str">
        <f t="shared" si="299"/>
        <v>0.00026%</v>
      </c>
      <c r="C7386" t="s">
        <v>10</v>
      </c>
      <c r="D7386" t="s">
        <v>10</v>
      </c>
      <c r="E7386" t="str">
        <f>"$ 1,988"</f>
        <v>$ 1,988</v>
      </c>
      <c r="F7386">
        <v>32</v>
      </c>
    </row>
    <row r="7387" spans="1:6">
      <c r="A7387" t="s">
        <v>7358</v>
      </c>
      <c r="B7387" t="str">
        <f t="shared" si="299"/>
        <v>0.00026%</v>
      </c>
      <c r="C7387" t="s">
        <v>10</v>
      </c>
      <c r="D7387" t="s">
        <v>10</v>
      </c>
      <c r="E7387" t="str">
        <f>"$ 1,998"</f>
        <v>$ 1,998</v>
      </c>
      <c r="F7387" s="1">
        <v>2214</v>
      </c>
    </row>
    <row r="7388" spans="1:6">
      <c r="A7388" t="s">
        <v>7359</v>
      </c>
      <c r="B7388" t="str">
        <f t="shared" si="299"/>
        <v>0.00026%</v>
      </c>
      <c r="C7388" t="s">
        <v>10</v>
      </c>
      <c r="D7388" t="s">
        <v>10</v>
      </c>
      <c r="E7388" t="str">
        <f>"$ 2,042"</f>
        <v>$ 2,042</v>
      </c>
      <c r="F7388">
        <v>66</v>
      </c>
    </row>
    <row r="7389" spans="1:6">
      <c r="A7389" t="s">
        <v>7360</v>
      </c>
      <c r="B7389" t="str">
        <f t="shared" si="299"/>
        <v>0.00026%</v>
      </c>
      <c r="C7389" t="s">
        <v>10</v>
      </c>
      <c r="D7389" t="s">
        <v>10</v>
      </c>
      <c r="E7389" t="str">
        <f>"$ 2,030"</f>
        <v>$ 2,030</v>
      </c>
      <c r="F7389" s="1">
        <v>1811</v>
      </c>
    </row>
    <row r="7390" spans="1:6">
      <c r="A7390" t="s">
        <v>7361</v>
      </c>
      <c r="B7390" t="str">
        <f t="shared" si="299"/>
        <v>0.00026%</v>
      </c>
      <c r="C7390" t="s">
        <v>10</v>
      </c>
      <c r="D7390" t="s">
        <v>10</v>
      </c>
      <c r="E7390" t="str">
        <f>"$ 2,043"</f>
        <v>$ 2,043</v>
      </c>
      <c r="F7390">
        <v>74</v>
      </c>
    </row>
    <row r="7391" spans="1:6">
      <c r="A7391" t="s">
        <v>7362</v>
      </c>
      <c r="B7391" t="str">
        <f t="shared" si="299"/>
        <v>0.00026%</v>
      </c>
      <c r="C7391" t="s">
        <v>10</v>
      </c>
      <c r="D7391" t="s">
        <v>10</v>
      </c>
      <c r="E7391" t="str">
        <f>"$ 1,996"</f>
        <v>$ 1,996</v>
      </c>
      <c r="F7391">
        <v>228</v>
      </c>
    </row>
    <row r="7392" spans="1:6">
      <c r="A7392" t="s">
        <v>7363</v>
      </c>
      <c r="B7392" t="str">
        <f t="shared" si="299"/>
        <v>0.00026%</v>
      </c>
      <c r="C7392" t="s">
        <v>10</v>
      </c>
      <c r="D7392" t="s">
        <v>10</v>
      </c>
      <c r="E7392" t="str">
        <f>"$ 2,040"</f>
        <v>$ 2,040</v>
      </c>
      <c r="F7392" s="1">
        <v>2841</v>
      </c>
    </row>
    <row r="7393" spans="1:6">
      <c r="A7393" t="s">
        <v>7364</v>
      </c>
      <c r="B7393" t="str">
        <f t="shared" si="299"/>
        <v>0.00026%</v>
      </c>
      <c r="C7393" t="s">
        <v>10</v>
      </c>
      <c r="D7393" t="s">
        <v>10</v>
      </c>
      <c r="E7393" t="str">
        <f>"$ 2,023"</f>
        <v>$ 2,023</v>
      </c>
      <c r="F7393">
        <v>132</v>
      </c>
    </row>
    <row r="7394" spans="1:6">
      <c r="A7394" t="s">
        <v>7365</v>
      </c>
      <c r="B7394" t="str">
        <f t="shared" si="299"/>
        <v>0.00026%</v>
      </c>
      <c r="C7394" t="s">
        <v>10</v>
      </c>
      <c r="D7394" t="s">
        <v>10</v>
      </c>
      <c r="E7394" t="str">
        <f>"$ 1,992"</f>
        <v>$ 1,992</v>
      </c>
      <c r="F7394">
        <v>82</v>
      </c>
    </row>
    <row r="7395" spans="1:6">
      <c r="A7395" t="s">
        <v>7366</v>
      </c>
      <c r="B7395" t="str">
        <f t="shared" ref="B7395:B7426" si="300">"0.00026%"</f>
        <v>0.00026%</v>
      </c>
      <c r="C7395" t="s">
        <v>10</v>
      </c>
      <c r="D7395" t="s">
        <v>10</v>
      </c>
      <c r="E7395" t="str">
        <f>"$ 2,022"</f>
        <v>$ 2,022</v>
      </c>
      <c r="F7395">
        <v>65</v>
      </c>
    </row>
    <row r="7396" spans="1:6">
      <c r="A7396" t="s">
        <v>7367</v>
      </c>
      <c r="B7396" t="str">
        <f t="shared" si="300"/>
        <v>0.00026%</v>
      </c>
      <c r="C7396" t="s">
        <v>10</v>
      </c>
      <c r="D7396" t="s">
        <v>10</v>
      </c>
      <c r="E7396" t="str">
        <f>"$ 2,045"</f>
        <v>$ 2,045</v>
      </c>
      <c r="F7396">
        <v>99</v>
      </c>
    </row>
    <row r="7397" spans="1:6">
      <c r="A7397" t="s">
        <v>7368</v>
      </c>
      <c r="B7397" t="str">
        <f t="shared" si="300"/>
        <v>0.00026%</v>
      </c>
      <c r="C7397" t="s">
        <v>10</v>
      </c>
      <c r="D7397" t="s">
        <v>10</v>
      </c>
      <c r="E7397" t="str">
        <f>"$ 1,976"</f>
        <v>$ 1,976</v>
      </c>
      <c r="F7397" s="1">
        <v>1602</v>
      </c>
    </row>
    <row r="7398" spans="1:6">
      <c r="A7398" t="s">
        <v>7369</v>
      </c>
      <c r="B7398" t="str">
        <f t="shared" si="300"/>
        <v>0.00026%</v>
      </c>
      <c r="C7398" t="s">
        <v>10</v>
      </c>
      <c r="D7398" t="s">
        <v>10</v>
      </c>
      <c r="E7398" t="str">
        <f>"$ 1,982"</f>
        <v>$ 1,982</v>
      </c>
      <c r="F7398">
        <v>482</v>
      </c>
    </row>
    <row r="7399" spans="1:6">
      <c r="A7399" t="s">
        <v>7370</v>
      </c>
      <c r="B7399" t="str">
        <f t="shared" si="300"/>
        <v>0.00026%</v>
      </c>
      <c r="C7399" t="s">
        <v>10</v>
      </c>
      <c r="D7399" t="s">
        <v>10</v>
      </c>
      <c r="E7399" t="str">
        <f>"$ 1,976"</f>
        <v>$ 1,976</v>
      </c>
      <c r="F7399">
        <v>33</v>
      </c>
    </row>
    <row r="7400" spans="1:6">
      <c r="A7400" t="s">
        <v>7146</v>
      </c>
      <c r="B7400" t="str">
        <f t="shared" si="300"/>
        <v>0.00026%</v>
      </c>
      <c r="C7400" t="s">
        <v>10</v>
      </c>
      <c r="D7400" t="s">
        <v>10</v>
      </c>
      <c r="E7400" t="str">
        <f>"$ 2,014"</f>
        <v>$ 2,014</v>
      </c>
      <c r="F7400">
        <v>330</v>
      </c>
    </row>
    <row r="7401" spans="1:6">
      <c r="A7401" t="s">
        <v>7371</v>
      </c>
      <c r="B7401" t="str">
        <f t="shared" si="300"/>
        <v>0.00026%</v>
      </c>
      <c r="C7401" t="s">
        <v>10</v>
      </c>
      <c r="D7401" t="s">
        <v>10</v>
      </c>
      <c r="E7401" t="str">
        <f>"$ 2,043"</f>
        <v>$ 2,043</v>
      </c>
      <c r="F7401" s="1">
        <v>2027</v>
      </c>
    </row>
    <row r="7402" spans="1:6">
      <c r="A7402" t="s">
        <v>7372</v>
      </c>
      <c r="B7402" t="str">
        <f t="shared" si="300"/>
        <v>0.00026%</v>
      </c>
      <c r="C7402" t="s">
        <v>10</v>
      </c>
      <c r="D7402" t="s">
        <v>10</v>
      </c>
      <c r="E7402" t="str">
        <f>"$ 2,035"</f>
        <v>$ 2,035</v>
      </c>
      <c r="F7402">
        <v>77</v>
      </c>
    </row>
    <row r="7403" spans="1:6">
      <c r="A7403" t="s">
        <v>7373</v>
      </c>
      <c r="B7403" t="str">
        <f t="shared" si="300"/>
        <v>0.00026%</v>
      </c>
      <c r="C7403" t="s">
        <v>10</v>
      </c>
      <c r="D7403" t="s">
        <v>10</v>
      </c>
      <c r="E7403" t="str">
        <f>"$ 2,005"</f>
        <v>$ 2,005</v>
      </c>
      <c r="F7403">
        <v>13</v>
      </c>
    </row>
    <row r="7404" spans="1:6">
      <c r="A7404" t="s">
        <v>7374</v>
      </c>
      <c r="B7404" t="str">
        <f t="shared" si="300"/>
        <v>0.00026%</v>
      </c>
      <c r="C7404" t="s">
        <v>10</v>
      </c>
      <c r="D7404" t="s">
        <v>10</v>
      </c>
      <c r="E7404" t="str">
        <f>"$ 1,978"</f>
        <v>$ 1,978</v>
      </c>
      <c r="F7404" s="1">
        <v>3817</v>
      </c>
    </row>
    <row r="7405" spans="1:6">
      <c r="A7405" t="s">
        <v>7375</v>
      </c>
      <c r="B7405" t="str">
        <f t="shared" si="300"/>
        <v>0.00026%</v>
      </c>
      <c r="C7405" t="s">
        <v>10</v>
      </c>
      <c r="D7405" t="s">
        <v>10</v>
      </c>
      <c r="E7405" t="str">
        <f>"$ 2,039"</f>
        <v>$ 2,039</v>
      </c>
      <c r="F7405">
        <v>66</v>
      </c>
    </row>
    <row r="7406" spans="1:6">
      <c r="A7406" t="s">
        <v>7376</v>
      </c>
      <c r="B7406" t="str">
        <f t="shared" si="300"/>
        <v>0.00026%</v>
      </c>
      <c r="C7406" t="s">
        <v>10</v>
      </c>
      <c r="D7406" t="s">
        <v>10</v>
      </c>
      <c r="E7406" t="str">
        <f>"$ 2,032"</f>
        <v>$ 2,032</v>
      </c>
      <c r="F7406">
        <v>33</v>
      </c>
    </row>
    <row r="7407" spans="1:6">
      <c r="A7407" t="s">
        <v>7377</v>
      </c>
      <c r="B7407" t="str">
        <f t="shared" si="300"/>
        <v>0.00026%</v>
      </c>
      <c r="C7407" t="s">
        <v>10</v>
      </c>
      <c r="D7407" t="s">
        <v>10</v>
      </c>
      <c r="E7407" t="str">
        <f>"$ 1,994"</f>
        <v>$ 1,994</v>
      </c>
      <c r="F7407">
        <v>679</v>
      </c>
    </row>
    <row r="7408" spans="1:6">
      <c r="A7408" t="s">
        <v>7378</v>
      </c>
      <c r="B7408" t="str">
        <f t="shared" si="300"/>
        <v>0.00026%</v>
      </c>
      <c r="C7408" t="s">
        <v>10</v>
      </c>
      <c r="D7408" t="s">
        <v>10</v>
      </c>
      <c r="E7408" t="str">
        <f>"$ 1,998"</f>
        <v>$ 1,998</v>
      </c>
      <c r="F7408">
        <v>840</v>
      </c>
    </row>
    <row r="7409" spans="1:6">
      <c r="A7409" t="s">
        <v>7379</v>
      </c>
      <c r="B7409" t="str">
        <f t="shared" si="300"/>
        <v>0.00026%</v>
      </c>
      <c r="C7409" t="s">
        <v>10</v>
      </c>
      <c r="D7409" t="s">
        <v>10</v>
      </c>
      <c r="E7409" t="str">
        <f>"$ 1,985"</f>
        <v>$ 1,985</v>
      </c>
      <c r="F7409">
        <v>240</v>
      </c>
    </row>
    <row r="7410" spans="1:6">
      <c r="A7410" t="s">
        <v>7380</v>
      </c>
      <c r="B7410" t="str">
        <f t="shared" si="300"/>
        <v>0.00026%</v>
      </c>
      <c r="C7410" t="s">
        <v>10</v>
      </c>
      <c r="D7410" t="s">
        <v>10</v>
      </c>
      <c r="E7410" t="str">
        <f>"$ 2,001"</f>
        <v>$ 2,001</v>
      </c>
      <c r="F7410">
        <v>87</v>
      </c>
    </row>
    <row r="7411" spans="1:6">
      <c r="A7411" t="s">
        <v>7381</v>
      </c>
      <c r="B7411" t="str">
        <f t="shared" si="300"/>
        <v>0.00026%</v>
      </c>
      <c r="C7411" t="s">
        <v>10</v>
      </c>
      <c r="D7411" t="s">
        <v>10</v>
      </c>
      <c r="E7411" t="str">
        <f>"$ 2,046"</f>
        <v>$ 2,046</v>
      </c>
      <c r="F7411">
        <v>66</v>
      </c>
    </row>
    <row r="7412" spans="1:6">
      <c r="A7412" t="s">
        <v>7382</v>
      </c>
      <c r="B7412" t="str">
        <f t="shared" si="300"/>
        <v>0.00026%</v>
      </c>
      <c r="C7412" t="s">
        <v>10</v>
      </c>
      <c r="D7412" t="s">
        <v>10</v>
      </c>
      <c r="E7412" t="str">
        <f>"$ 1,982"</f>
        <v>$ 1,982</v>
      </c>
      <c r="F7412">
        <v>100</v>
      </c>
    </row>
    <row r="7413" spans="1:6">
      <c r="A7413" t="s">
        <v>7383</v>
      </c>
      <c r="B7413" t="str">
        <f t="shared" si="300"/>
        <v>0.00026%</v>
      </c>
      <c r="C7413" t="s">
        <v>10</v>
      </c>
      <c r="D7413" t="s">
        <v>10</v>
      </c>
      <c r="E7413" t="str">
        <f>"$ 2,036"</f>
        <v>$ 2,036</v>
      </c>
      <c r="F7413">
        <v>12</v>
      </c>
    </row>
    <row r="7414" spans="1:6">
      <c r="A7414" t="s">
        <v>7384</v>
      </c>
      <c r="B7414" t="str">
        <f t="shared" si="300"/>
        <v>0.00026%</v>
      </c>
      <c r="C7414" t="s">
        <v>10</v>
      </c>
      <c r="D7414" t="s">
        <v>10</v>
      </c>
      <c r="E7414" t="str">
        <f>"$ 2,045"</f>
        <v>$ 2,045</v>
      </c>
      <c r="F7414">
        <v>242</v>
      </c>
    </row>
    <row r="7415" spans="1:6">
      <c r="A7415" t="s">
        <v>7385</v>
      </c>
      <c r="B7415" t="str">
        <f t="shared" si="300"/>
        <v>0.00026%</v>
      </c>
      <c r="C7415" t="s">
        <v>10</v>
      </c>
      <c r="D7415" t="s">
        <v>10</v>
      </c>
      <c r="E7415" t="str">
        <f>"$ 1,999"</f>
        <v>$ 1,999</v>
      </c>
      <c r="F7415">
        <v>624</v>
      </c>
    </row>
    <row r="7416" spans="1:6">
      <c r="A7416" t="s">
        <v>7386</v>
      </c>
      <c r="B7416" t="str">
        <f t="shared" si="300"/>
        <v>0.00026%</v>
      </c>
      <c r="C7416" t="s">
        <v>10</v>
      </c>
      <c r="D7416" t="s">
        <v>10</v>
      </c>
      <c r="E7416" t="str">
        <f>"$ 2,004"</f>
        <v>$ 2,004</v>
      </c>
      <c r="F7416">
        <v>154</v>
      </c>
    </row>
    <row r="7417" spans="1:6">
      <c r="A7417" t="s">
        <v>7387</v>
      </c>
      <c r="B7417" t="str">
        <f t="shared" si="300"/>
        <v>0.00026%</v>
      </c>
      <c r="C7417" t="s">
        <v>10</v>
      </c>
      <c r="D7417" t="s">
        <v>10</v>
      </c>
      <c r="E7417" t="str">
        <f>"$ 1,988"</f>
        <v>$ 1,988</v>
      </c>
      <c r="F7417">
        <v>266</v>
      </c>
    </row>
    <row r="7418" spans="1:6">
      <c r="A7418" t="s">
        <v>7388</v>
      </c>
      <c r="B7418" t="str">
        <f t="shared" si="300"/>
        <v>0.00026%</v>
      </c>
      <c r="C7418" t="s">
        <v>10</v>
      </c>
      <c r="D7418" t="s">
        <v>10</v>
      </c>
      <c r="E7418" t="str">
        <f>"$ 1,982"</f>
        <v>$ 1,982</v>
      </c>
      <c r="F7418">
        <v>33</v>
      </c>
    </row>
    <row r="7419" spans="1:6">
      <c r="A7419" t="s">
        <v>7389</v>
      </c>
      <c r="B7419" t="str">
        <f t="shared" si="300"/>
        <v>0.00026%</v>
      </c>
      <c r="C7419" t="s">
        <v>10</v>
      </c>
      <c r="D7419" t="s">
        <v>10</v>
      </c>
      <c r="E7419" t="str">
        <f>"$ 1,978"</f>
        <v>$ 1,978</v>
      </c>
      <c r="F7419">
        <v>49</v>
      </c>
    </row>
    <row r="7420" spans="1:6">
      <c r="A7420" t="s">
        <v>7390</v>
      </c>
      <c r="B7420" t="str">
        <f t="shared" si="300"/>
        <v>0.00026%</v>
      </c>
      <c r="C7420" t="s">
        <v>10</v>
      </c>
      <c r="D7420" t="s">
        <v>10</v>
      </c>
      <c r="E7420" t="str">
        <f>"$ 1,986"</f>
        <v>$ 1,986</v>
      </c>
      <c r="F7420">
        <v>37</v>
      </c>
    </row>
    <row r="7421" spans="1:6">
      <c r="A7421" t="s">
        <v>7391</v>
      </c>
      <c r="B7421" t="str">
        <f t="shared" si="300"/>
        <v>0.00026%</v>
      </c>
      <c r="C7421" t="s">
        <v>10</v>
      </c>
      <c r="D7421" t="s">
        <v>10</v>
      </c>
      <c r="E7421" t="str">
        <f>"$ 2,017"</f>
        <v>$ 2,017</v>
      </c>
      <c r="F7421">
        <v>409</v>
      </c>
    </row>
    <row r="7422" spans="1:6">
      <c r="A7422" t="s">
        <v>7392</v>
      </c>
      <c r="B7422" t="str">
        <f t="shared" si="300"/>
        <v>0.00026%</v>
      </c>
      <c r="C7422" t="s">
        <v>10</v>
      </c>
      <c r="D7422" t="s">
        <v>10</v>
      </c>
      <c r="E7422" t="str">
        <f>"$ 1,977"</f>
        <v>$ 1,977</v>
      </c>
      <c r="F7422" s="1">
        <v>2941</v>
      </c>
    </row>
    <row r="7423" spans="1:6">
      <c r="A7423" t="s">
        <v>7393</v>
      </c>
      <c r="B7423" t="str">
        <f t="shared" si="300"/>
        <v>0.00026%</v>
      </c>
      <c r="C7423" t="s">
        <v>10</v>
      </c>
      <c r="D7423" t="s">
        <v>10</v>
      </c>
      <c r="E7423" t="str">
        <f>"$ 1,971"</f>
        <v>$ 1,971</v>
      </c>
      <c r="F7423" s="1">
        <v>2502</v>
      </c>
    </row>
    <row r="7424" spans="1:6">
      <c r="A7424" t="s">
        <v>7394</v>
      </c>
      <c r="B7424" t="str">
        <f t="shared" si="300"/>
        <v>0.00026%</v>
      </c>
      <c r="C7424" t="s">
        <v>10</v>
      </c>
      <c r="D7424" t="s">
        <v>10</v>
      </c>
      <c r="E7424" t="str">
        <f>"$ 2,033"</f>
        <v>$ 2,033</v>
      </c>
      <c r="F7424">
        <v>401</v>
      </c>
    </row>
    <row r="7425" spans="1:6">
      <c r="A7425" t="s">
        <v>7395</v>
      </c>
      <c r="B7425" t="str">
        <f t="shared" si="300"/>
        <v>0.00026%</v>
      </c>
      <c r="C7425" t="s">
        <v>10</v>
      </c>
      <c r="D7425" t="s">
        <v>10</v>
      </c>
      <c r="E7425" t="str">
        <f>"$ 2,013"</f>
        <v>$ 2,013</v>
      </c>
      <c r="F7425">
        <v>140</v>
      </c>
    </row>
    <row r="7426" spans="1:6">
      <c r="A7426" t="s">
        <v>7396</v>
      </c>
      <c r="B7426" t="str">
        <f t="shared" si="300"/>
        <v>0.00026%</v>
      </c>
      <c r="C7426" t="s">
        <v>10</v>
      </c>
      <c r="D7426" t="s">
        <v>10</v>
      </c>
      <c r="E7426" t="str">
        <f>"$ 2,016"</f>
        <v>$ 2,016</v>
      </c>
      <c r="F7426" s="1">
        <v>6075</v>
      </c>
    </row>
    <row r="7427" spans="1:6">
      <c r="A7427" t="s">
        <v>7397</v>
      </c>
      <c r="B7427" t="str">
        <f t="shared" ref="B7427:B7452" si="301">"0.00026%"</f>
        <v>0.00026%</v>
      </c>
      <c r="C7427" t="s">
        <v>10</v>
      </c>
      <c r="D7427" t="s">
        <v>10</v>
      </c>
      <c r="E7427" t="str">
        <f>"$ 2,039"</f>
        <v>$ 2,039</v>
      </c>
      <c r="F7427">
        <v>143</v>
      </c>
    </row>
    <row r="7428" spans="1:6">
      <c r="A7428" t="s">
        <v>7398</v>
      </c>
      <c r="B7428" t="str">
        <f t="shared" si="301"/>
        <v>0.00026%</v>
      </c>
      <c r="C7428" t="s">
        <v>10</v>
      </c>
      <c r="D7428" t="s">
        <v>10</v>
      </c>
      <c r="E7428" t="str">
        <f>"$ 1,976"</f>
        <v>$ 1,976</v>
      </c>
      <c r="F7428">
        <v>166</v>
      </c>
    </row>
    <row r="7429" spans="1:6">
      <c r="A7429" t="s">
        <v>7399</v>
      </c>
      <c r="B7429" t="str">
        <f t="shared" si="301"/>
        <v>0.00026%</v>
      </c>
      <c r="C7429" t="s">
        <v>10</v>
      </c>
      <c r="D7429" t="s">
        <v>10</v>
      </c>
      <c r="E7429" t="str">
        <f>"$ 1,987"</f>
        <v>$ 1,987</v>
      </c>
      <c r="F7429">
        <v>221</v>
      </c>
    </row>
    <row r="7430" spans="1:6">
      <c r="A7430" t="s">
        <v>7400</v>
      </c>
      <c r="B7430" t="str">
        <f t="shared" si="301"/>
        <v>0.00026%</v>
      </c>
      <c r="C7430" t="s">
        <v>10</v>
      </c>
      <c r="D7430" t="s">
        <v>10</v>
      </c>
      <c r="E7430" t="str">
        <f>"$ 1,986"</f>
        <v>$ 1,986</v>
      </c>
      <c r="F7430">
        <v>274</v>
      </c>
    </row>
    <row r="7431" spans="1:6">
      <c r="A7431" t="s">
        <v>7401</v>
      </c>
      <c r="B7431" t="str">
        <f t="shared" si="301"/>
        <v>0.00026%</v>
      </c>
      <c r="C7431" t="s">
        <v>10</v>
      </c>
      <c r="D7431" t="s">
        <v>10</v>
      </c>
      <c r="E7431" t="str">
        <f>"$ 1,977"</f>
        <v>$ 1,977</v>
      </c>
      <c r="F7431">
        <v>619</v>
      </c>
    </row>
    <row r="7432" spans="1:6">
      <c r="A7432" t="s">
        <v>7402</v>
      </c>
      <c r="B7432" t="str">
        <f t="shared" si="301"/>
        <v>0.00026%</v>
      </c>
      <c r="C7432" t="s">
        <v>10</v>
      </c>
      <c r="D7432" t="s">
        <v>10</v>
      </c>
      <c r="E7432" t="str">
        <f>"$ 1,980"</f>
        <v>$ 1,980</v>
      </c>
      <c r="F7432">
        <v>98</v>
      </c>
    </row>
    <row r="7433" spans="1:6">
      <c r="A7433" t="s">
        <v>7403</v>
      </c>
      <c r="B7433" t="str">
        <f t="shared" si="301"/>
        <v>0.00026%</v>
      </c>
      <c r="C7433" t="s">
        <v>10</v>
      </c>
      <c r="D7433" t="s">
        <v>10</v>
      </c>
      <c r="E7433" t="str">
        <f>"$ 2,028"</f>
        <v>$ 2,028</v>
      </c>
      <c r="F7433">
        <v>17</v>
      </c>
    </row>
    <row r="7434" spans="1:6">
      <c r="A7434" t="s">
        <v>5903</v>
      </c>
      <c r="B7434" t="str">
        <f t="shared" si="301"/>
        <v>0.00026%</v>
      </c>
      <c r="C7434" t="s">
        <v>10</v>
      </c>
      <c r="D7434" t="s">
        <v>10</v>
      </c>
      <c r="E7434" t="str">
        <f>"$ 2,024"</f>
        <v>$ 2,024</v>
      </c>
      <c r="F7434" s="1">
        <v>2439</v>
      </c>
    </row>
    <row r="7435" spans="1:6">
      <c r="A7435" t="s">
        <v>7404</v>
      </c>
      <c r="B7435" t="str">
        <f t="shared" si="301"/>
        <v>0.00026%</v>
      </c>
      <c r="C7435" t="s">
        <v>10</v>
      </c>
      <c r="D7435" t="s">
        <v>10</v>
      </c>
      <c r="E7435" t="str">
        <f>"$ 1,997"</f>
        <v>$ 1,997</v>
      </c>
      <c r="F7435">
        <v>291</v>
      </c>
    </row>
    <row r="7436" spans="1:6">
      <c r="A7436" t="s">
        <v>7405</v>
      </c>
      <c r="B7436" t="str">
        <f t="shared" si="301"/>
        <v>0.00026%</v>
      </c>
      <c r="C7436" t="s">
        <v>10</v>
      </c>
      <c r="D7436" t="s">
        <v>10</v>
      </c>
      <c r="E7436" t="str">
        <f>"$ 1,980"</f>
        <v>$ 1,980</v>
      </c>
      <c r="F7436">
        <v>103</v>
      </c>
    </row>
    <row r="7437" spans="1:6">
      <c r="A7437" t="s">
        <v>7406</v>
      </c>
      <c r="B7437" t="str">
        <f t="shared" si="301"/>
        <v>0.00026%</v>
      </c>
      <c r="C7437" t="s">
        <v>10</v>
      </c>
      <c r="D7437" t="s">
        <v>10</v>
      </c>
      <c r="E7437" t="str">
        <f>"$ 2,001"</f>
        <v>$ 2,001</v>
      </c>
      <c r="F7437" s="1">
        <v>9509</v>
      </c>
    </row>
    <row r="7438" spans="1:6">
      <c r="A7438" t="s">
        <v>7407</v>
      </c>
      <c r="B7438" t="str">
        <f t="shared" si="301"/>
        <v>0.00026%</v>
      </c>
      <c r="C7438" t="s">
        <v>10</v>
      </c>
      <c r="D7438" t="s">
        <v>10</v>
      </c>
      <c r="E7438" t="str">
        <f>"$ 2,013"</f>
        <v>$ 2,013</v>
      </c>
      <c r="F7438" s="1">
        <v>63747</v>
      </c>
    </row>
    <row r="7439" spans="1:6">
      <c r="A7439" t="s">
        <v>7408</v>
      </c>
      <c r="B7439" t="str">
        <f t="shared" si="301"/>
        <v>0.00026%</v>
      </c>
      <c r="C7439" t="s">
        <v>10</v>
      </c>
      <c r="D7439" t="s">
        <v>10</v>
      </c>
      <c r="E7439" t="str">
        <f>"$ 2,030"</f>
        <v>$ 2,030</v>
      </c>
      <c r="F7439" s="1">
        <v>1604</v>
      </c>
    </row>
    <row r="7440" spans="1:6">
      <c r="A7440" t="s">
        <v>7409</v>
      </c>
      <c r="B7440" t="str">
        <f t="shared" si="301"/>
        <v>0.00026%</v>
      </c>
      <c r="C7440" t="s">
        <v>10</v>
      </c>
      <c r="D7440" t="s">
        <v>10</v>
      </c>
      <c r="E7440" t="str">
        <f>"$ 2,033"</f>
        <v>$ 2,033</v>
      </c>
      <c r="F7440">
        <v>43</v>
      </c>
    </row>
    <row r="7441" spans="1:6">
      <c r="A7441" t="s">
        <v>7410</v>
      </c>
      <c r="B7441" t="str">
        <f t="shared" si="301"/>
        <v>0.00026%</v>
      </c>
      <c r="C7441" t="s">
        <v>10</v>
      </c>
      <c r="D7441" t="s">
        <v>10</v>
      </c>
      <c r="E7441" t="str">
        <f>"$ 2,041"</f>
        <v>$ 2,041</v>
      </c>
      <c r="F7441">
        <v>736</v>
      </c>
    </row>
    <row r="7442" spans="1:6">
      <c r="A7442" t="s">
        <v>7411</v>
      </c>
      <c r="B7442" t="str">
        <f t="shared" si="301"/>
        <v>0.00026%</v>
      </c>
      <c r="C7442" t="s">
        <v>10</v>
      </c>
      <c r="D7442" t="s">
        <v>10</v>
      </c>
      <c r="E7442" t="str">
        <f>"$ 2,045"</f>
        <v>$ 2,045</v>
      </c>
      <c r="F7442" s="1">
        <v>1502</v>
      </c>
    </row>
    <row r="7443" spans="1:6">
      <c r="A7443" t="s">
        <v>7412</v>
      </c>
      <c r="B7443" t="str">
        <f t="shared" si="301"/>
        <v>0.00026%</v>
      </c>
      <c r="C7443" t="s">
        <v>10</v>
      </c>
      <c r="D7443" t="s">
        <v>10</v>
      </c>
      <c r="E7443" t="str">
        <f>"$ 2,015"</f>
        <v>$ 2,015</v>
      </c>
      <c r="F7443" s="1">
        <v>1332</v>
      </c>
    </row>
    <row r="7444" spans="1:6">
      <c r="A7444" t="s">
        <v>7413</v>
      </c>
      <c r="B7444" t="str">
        <f t="shared" si="301"/>
        <v>0.00026%</v>
      </c>
      <c r="C7444" t="s">
        <v>10</v>
      </c>
      <c r="D7444" t="s">
        <v>10</v>
      </c>
      <c r="E7444" t="str">
        <f>"$ 2,025"</f>
        <v>$ 2,025</v>
      </c>
      <c r="F7444" s="1">
        <v>5411</v>
      </c>
    </row>
    <row r="7445" spans="1:6">
      <c r="A7445" t="s">
        <v>7414</v>
      </c>
      <c r="B7445" t="str">
        <f t="shared" si="301"/>
        <v>0.00026%</v>
      </c>
      <c r="C7445" t="s">
        <v>10</v>
      </c>
      <c r="D7445" t="s">
        <v>10</v>
      </c>
      <c r="E7445" t="str">
        <f>"$ 1,992"</f>
        <v>$ 1,992</v>
      </c>
      <c r="F7445" s="1">
        <v>2906</v>
      </c>
    </row>
    <row r="7446" spans="1:6">
      <c r="A7446" t="s">
        <v>7415</v>
      </c>
      <c r="B7446" t="str">
        <f t="shared" si="301"/>
        <v>0.00026%</v>
      </c>
      <c r="C7446" t="s">
        <v>10</v>
      </c>
      <c r="D7446" t="s">
        <v>10</v>
      </c>
      <c r="E7446" t="str">
        <f>"$ 2,033"</f>
        <v>$ 2,033</v>
      </c>
      <c r="F7446" s="1">
        <v>1462</v>
      </c>
    </row>
    <row r="7447" spans="1:6">
      <c r="A7447" t="s">
        <v>7416</v>
      </c>
      <c r="B7447" t="str">
        <f t="shared" si="301"/>
        <v>0.00026%</v>
      </c>
      <c r="C7447" t="s">
        <v>10</v>
      </c>
      <c r="D7447" t="s">
        <v>10</v>
      </c>
      <c r="E7447" t="str">
        <f>"$ 1,997"</f>
        <v>$ 1,997</v>
      </c>
      <c r="F7447">
        <v>112</v>
      </c>
    </row>
    <row r="7448" spans="1:6">
      <c r="A7448" t="s">
        <v>7417</v>
      </c>
      <c r="B7448" t="str">
        <f t="shared" si="301"/>
        <v>0.00026%</v>
      </c>
      <c r="C7448" t="s">
        <v>10</v>
      </c>
      <c r="D7448" t="s">
        <v>10</v>
      </c>
      <c r="E7448" t="str">
        <f>"$ 1,975"</f>
        <v>$ 1,975</v>
      </c>
      <c r="F7448" s="1">
        <v>1008</v>
      </c>
    </row>
    <row r="7449" spans="1:6">
      <c r="A7449" t="s">
        <v>7418</v>
      </c>
      <c r="B7449" t="str">
        <f t="shared" si="301"/>
        <v>0.00026%</v>
      </c>
      <c r="C7449" t="s">
        <v>10</v>
      </c>
      <c r="D7449" t="s">
        <v>10</v>
      </c>
      <c r="E7449" t="str">
        <f>"$ 1,972"</f>
        <v>$ 1,972</v>
      </c>
      <c r="F7449">
        <v>62</v>
      </c>
    </row>
    <row r="7450" spans="1:6">
      <c r="A7450" t="s">
        <v>7419</v>
      </c>
      <c r="B7450" t="str">
        <f t="shared" si="301"/>
        <v>0.00026%</v>
      </c>
      <c r="C7450" t="s">
        <v>10</v>
      </c>
      <c r="D7450" t="s">
        <v>10</v>
      </c>
      <c r="E7450" t="str">
        <f>"$ 2,011"</f>
        <v>$ 2,011</v>
      </c>
      <c r="F7450" s="1">
        <v>1095</v>
      </c>
    </row>
    <row r="7451" spans="1:6">
      <c r="A7451" t="s">
        <v>7420</v>
      </c>
      <c r="B7451" t="str">
        <f t="shared" si="301"/>
        <v>0.00026%</v>
      </c>
      <c r="C7451" t="s">
        <v>10</v>
      </c>
      <c r="D7451" t="s">
        <v>10</v>
      </c>
      <c r="E7451" t="str">
        <f>"$ 2,027"</f>
        <v>$ 2,027</v>
      </c>
      <c r="F7451">
        <v>821</v>
      </c>
    </row>
    <row r="7452" spans="1:6">
      <c r="A7452" t="s">
        <v>7421</v>
      </c>
      <c r="B7452" t="str">
        <f t="shared" si="301"/>
        <v>0.00026%</v>
      </c>
      <c r="C7452" t="s">
        <v>10</v>
      </c>
      <c r="D7452" t="s">
        <v>10</v>
      </c>
      <c r="E7452" t="str">
        <f>"$ 2,045"</f>
        <v>$ 2,045</v>
      </c>
      <c r="F7452">
        <v>98</v>
      </c>
    </row>
    <row r="7453" spans="1:6">
      <c r="A7453" t="s">
        <v>7422</v>
      </c>
      <c r="B7453" t="str">
        <f t="shared" ref="B7453:B7484" si="302">"0.00025%"</f>
        <v>0.00025%</v>
      </c>
      <c r="C7453" t="s">
        <v>10</v>
      </c>
      <c r="D7453" t="s">
        <v>10</v>
      </c>
      <c r="E7453" t="str">
        <f>"$ 1,915"</f>
        <v>$ 1,915</v>
      </c>
      <c r="F7453">
        <v>112</v>
      </c>
    </row>
    <row r="7454" spans="1:6">
      <c r="A7454" t="s">
        <v>7423</v>
      </c>
      <c r="B7454" t="str">
        <f t="shared" si="302"/>
        <v>0.00025%</v>
      </c>
      <c r="C7454" t="s">
        <v>10</v>
      </c>
      <c r="D7454" t="s">
        <v>10</v>
      </c>
      <c r="E7454" t="str">
        <f>"$ 1,920"</f>
        <v>$ 1,920</v>
      </c>
      <c r="F7454" s="1">
        <v>1102</v>
      </c>
    </row>
    <row r="7455" spans="1:6">
      <c r="A7455" t="s">
        <v>7424</v>
      </c>
      <c r="B7455" t="str">
        <f t="shared" si="302"/>
        <v>0.00025%</v>
      </c>
      <c r="C7455" t="s">
        <v>10</v>
      </c>
      <c r="D7455" t="s">
        <v>10</v>
      </c>
      <c r="E7455" t="str">
        <f>"$ 1,941"</f>
        <v>$ 1,941</v>
      </c>
      <c r="F7455">
        <v>206</v>
      </c>
    </row>
    <row r="7456" spans="1:6">
      <c r="A7456" t="s">
        <v>7425</v>
      </c>
      <c r="B7456" t="str">
        <f t="shared" si="302"/>
        <v>0.00025%</v>
      </c>
      <c r="C7456" t="s">
        <v>10</v>
      </c>
      <c r="D7456" t="s">
        <v>10</v>
      </c>
      <c r="E7456" t="str">
        <f>"$ 1,954"</f>
        <v>$ 1,954</v>
      </c>
      <c r="F7456">
        <v>97</v>
      </c>
    </row>
    <row r="7457" spans="1:6">
      <c r="A7457" t="s">
        <v>7426</v>
      </c>
      <c r="B7457" t="str">
        <f t="shared" si="302"/>
        <v>0.00025%</v>
      </c>
      <c r="C7457" t="s">
        <v>10</v>
      </c>
      <c r="D7457" t="s">
        <v>10</v>
      </c>
      <c r="E7457" t="str">
        <f>"$ 1,957"</f>
        <v>$ 1,957</v>
      </c>
      <c r="F7457">
        <v>167</v>
      </c>
    </row>
    <row r="7458" spans="1:6">
      <c r="A7458" t="s">
        <v>7427</v>
      </c>
      <c r="B7458" t="str">
        <f t="shared" si="302"/>
        <v>0.00025%</v>
      </c>
      <c r="C7458" t="s">
        <v>10</v>
      </c>
      <c r="D7458" t="s">
        <v>10</v>
      </c>
      <c r="E7458" t="str">
        <f>"$ 1,960"</f>
        <v>$ 1,960</v>
      </c>
      <c r="F7458">
        <v>94</v>
      </c>
    </row>
    <row r="7459" spans="1:6">
      <c r="A7459" t="s">
        <v>7428</v>
      </c>
      <c r="B7459" t="str">
        <f t="shared" si="302"/>
        <v>0.00025%</v>
      </c>
      <c r="C7459" t="s">
        <v>10</v>
      </c>
      <c r="D7459" t="s">
        <v>10</v>
      </c>
      <c r="E7459" t="str">
        <f>"$ 1,963"</f>
        <v>$ 1,963</v>
      </c>
      <c r="F7459" s="1">
        <v>10944</v>
      </c>
    </row>
    <row r="7460" spans="1:6">
      <c r="A7460" t="s">
        <v>7429</v>
      </c>
      <c r="B7460" t="str">
        <f t="shared" si="302"/>
        <v>0.00025%</v>
      </c>
      <c r="C7460" t="s">
        <v>10</v>
      </c>
      <c r="D7460" t="s">
        <v>10</v>
      </c>
      <c r="E7460" t="str">
        <f>"$ 1,902"</f>
        <v>$ 1,902</v>
      </c>
      <c r="F7460" s="1">
        <v>14411</v>
      </c>
    </row>
    <row r="7461" spans="1:6">
      <c r="A7461" t="s">
        <v>7430</v>
      </c>
      <c r="B7461" t="str">
        <f t="shared" si="302"/>
        <v>0.00025%</v>
      </c>
      <c r="C7461" t="s">
        <v>10</v>
      </c>
      <c r="D7461" t="s">
        <v>10</v>
      </c>
      <c r="E7461" t="str">
        <f>"$ 1,931"</f>
        <v>$ 1,931</v>
      </c>
      <c r="F7461">
        <v>49</v>
      </c>
    </row>
    <row r="7462" spans="1:6">
      <c r="A7462" t="s">
        <v>7431</v>
      </c>
      <c r="B7462" t="str">
        <f t="shared" si="302"/>
        <v>0.00025%</v>
      </c>
      <c r="C7462" t="s">
        <v>10</v>
      </c>
      <c r="D7462" t="s">
        <v>10</v>
      </c>
      <c r="E7462" t="str">
        <f>"$ 1,934"</f>
        <v>$ 1,934</v>
      </c>
      <c r="F7462">
        <v>77</v>
      </c>
    </row>
    <row r="7463" spans="1:6">
      <c r="A7463" t="s">
        <v>7432</v>
      </c>
      <c r="B7463" t="str">
        <f t="shared" si="302"/>
        <v>0.00025%</v>
      </c>
      <c r="C7463" t="s">
        <v>10</v>
      </c>
      <c r="D7463" t="s">
        <v>10</v>
      </c>
      <c r="E7463" t="str">
        <f>"$ 1,942"</f>
        <v>$ 1,942</v>
      </c>
      <c r="F7463">
        <v>148</v>
      </c>
    </row>
    <row r="7464" spans="1:6">
      <c r="A7464" t="s">
        <v>7433</v>
      </c>
      <c r="B7464" t="str">
        <f t="shared" si="302"/>
        <v>0.00025%</v>
      </c>
      <c r="C7464" t="s">
        <v>10</v>
      </c>
      <c r="D7464" t="s">
        <v>10</v>
      </c>
      <c r="E7464" t="str">
        <f>"$ 1,948"</f>
        <v>$ 1,948</v>
      </c>
      <c r="F7464">
        <v>476</v>
      </c>
    </row>
    <row r="7465" spans="1:6">
      <c r="A7465" t="s">
        <v>7434</v>
      </c>
      <c r="B7465" t="str">
        <f t="shared" si="302"/>
        <v>0.00025%</v>
      </c>
      <c r="C7465" t="s">
        <v>10</v>
      </c>
      <c r="D7465" t="s">
        <v>10</v>
      </c>
      <c r="E7465" t="str">
        <f>"$ 1,898"</f>
        <v>$ 1,898</v>
      </c>
      <c r="F7465">
        <v>86</v>
      </c>
    </row>
    <row r="7466" spans="1:6">
      <c r="A7466" t="s">
        <v>7435</v>
      </c>
      <c r="B7466" t="str">
        <f t="shared" si="302"/>
        <v>0.00025%</v>
      </c>
      <c r="C7466" t="s">
        <v>10</v>
      </c>
      <c r="D7466" t="s">
        <v>10</v>
      </c>
      <c r="E7466" t="str">
        <f>"$ 1,892"</f>
        <v>$ 1,892</v>
      </c>
      <c r="F7466" s="1">
        <v>1002</v>
      </c>
    </row>
    <row r="7467" spans="1:6">
      <c r="A7467" t="s">
        <v>7436</v>
      </c>
      <c r="B7467" t="str">
        <f t="shared" si="302"/>
        <v>0.00025%</v>
      </c>
      <c r="C7467" t="s">
        <v>10</v>
      </c>
      <c r="D7467" t="s">
        <v>10</v>
      </c>
      <c r="E7467" t="str">
        <f>"$ 1,961"</f>
        <v>$ 1,961</v>
      </c>
      <c r="F7467" s="1">
        <v>5794</v>
      </c>
    </row>
    <row r="7468" spans="1:6">
      <c r="A7468" t="s">
        <v>7437</v>
      </c>
      <c r="B7468" t="str">
        <f t="shared" si="302"/>
        <v>0.00025%</v>
      </c>
      <c r="C7468" t="s">
        <v>10</v>
      </c>
      <c r="D7468" t="s">
        <v>10</v>
      </c>
      <c r="E7468" t="str">
        <f>"$ 1,914"</f>
        <v>$ 1,914</v>
      </c>
      <c r="F7468" s="1">
        <v>5412</v>
      </c>
    </row>
    <row r="7469" spans="1:6">
      <c r="A7469" t="s">
        <v>7438</v>
      </c>
      <c r="B7469" t="str">
        <f t="shared" si="302"/>
        <v>0.00025%</v>
      </c>
      <c r="C7469" t="s">
        <v>10</v>
      </c>
      <c r="D7469" t="s">
        <v>10</v>
      </c>
      <c r="E7469" t="str">
        <f>"$ 1,950"</f>
        <v>$ 1,950</v>
      </c>
      <c r="F7469">
        <v>336</v>
      </c>
    </row>
    <row r="7470" spans="1:6">
      <c r="A7470" t="s">
        <v>7439</v>
      </c>
      <c r="B7470" t="str">
        <f t="shared" si="302"/>
        <v>0.00025%</v>
      </c>
      <c r="C7470" t="s">
        <v>10</v>
      </c>
      <c r="D7470" t="s">
        <v>10</v>
      </c>
      <c r="E7470" t="str">
        <f>"$ 1,956"</f>
        <v>$ 1,956</v>
      </c>
      <c r="F7470">
        <v>198</v>
      </c>
    </row>
    <row r="7471" spans="1:6">
      <c r="A7471" t="s">
        <v>7440</v>
      </c>
      <c r="B7471" t="str">
        <f t="shared" si="302"/>
        <v>0.00025%</v>
      </c>
      <c r="C7471" t="s">
        <v>10</v>
      </c>
      <c r="D7471" t="s">
        <v>10</v>
      </c>
      <c r="E7471" t="str">
        <f>"$ 1,948"</f>
        <v>$ 1,948</v>
      </c>
      <c r="F7471">
        <v>49</v>
      </c>
    </row>
    <row r="7472" spans="1:6">
      <c r="A7472" t="s">
        <v>7441</v>
      </c>
      <c r="B7472" t="str">
        <f t="shared" si="302"/>
        <v>0.00025%</v>
      </c>
      <c r="C7472" t="s">
        <v>10</v>
      </c>
      <c r="D7472" t="s">
        <v>10</v>
      </c>
      <c r="E7472" t="str">
        <f>"$ 1,968"</f>
        <v>$ 1,968</v>
      </c>
      <c r="F7472">
        <v>122</v>
      </c>
    </row>
    <row r="7473" spans="1:6">
      <c r="A7473" t="s">
        <v>7442</v>
      </c>
      <c r="B7473" t="str">
        <f t="shared" si="302"/>
        <v>0.00025%</v>
      </c>
      <c r="C7473" t="s">
        <v>10</v>
      </c>
      <c r="D7473" t="s">
        <v>10</v>
      </c>
      <c r="E7473" t="str">
        <f>"$ 1,907"</f>
        <v>$ 1,907</v>
      </c>
      <c r="F7473">
        <v>61</v>
      </c>
    </row>
    <row r="7474" spans="1:6">
      <c r="A7474" t="s">
        <v>7443</v>
      </c>
      <c r="B7474" t="str">
        <f t="shared" si="302"/>
        <v>0.00025%</v>
      </c>
      <c r="C7474" t="s">
        <v>10</v>
      </c>
      <c r="D7474" t="s">
        <v>10</v>
      </c>
      <c r="E7474" t="str">
        <f>"$ 1,924"</f>
        <v>$ 1,924</v>
      </c>
      <c r="F7474" s="1">
        <v>2298</v>
      </c>
    </row>
    <row r="7475" spans="1:6">
      <c r="A7475" t="s">
        <v>7444</v>
      </c>
      <c r="B7475" t="str">
        <f t="shared" si="302"/>
        <v>0.00025%</v>
      </c>
      <c r="C7475" t="s">
        <v>10</v>
      </c>
      <c r="D7475" t="s">
        <v>10</v>
      </c>
      <c r="E7475" t="str">
        <f>"$ 1,925"</f>
        <v>$ 1,925</v>
      </c>
      <c r="F7475">
        <v>115</v>
      </c>
    </row>
    <row r="7476" spans="1:6">
      <c r="A7476" t="s">
        <v>7445</v>
      </c>
      <c r="B7476" t="str">
        <f t="shared" si="302"/>
        <v>0.00025%</v>
      </c>
      <c r="C7476" t="s">
        <v>10</v>
      </c>
      <c r="D7476" t="s">
        <v>10</v>
      </c>
      <c r="E7476" t="str">
        <f>"$ 1,920"</f>
        <v>$ 1,920</v>
      </c>
      <c r="F7476" s="1">
        <v>1510</v>
      </c>
    </row>
    <row r="7477" spans="1:6">
      <c r="A7477" t="s">
        <v>7446</v>
      </c>
      <c r="B7477" t="str">
        <f t="shared" si="302"/>
        <v>0.00025%</v>
      </c>
      <c r="C7477" t="s">
        <v>10</v>
      </c>
      <c r="D7477" t="s">
        <v>10</v>
      </c>
      <c r="E7477" t="str">
        <f>"$ 1,967"</f>
        <v>$ 1,967</v>
      </c>
      <c r="F7477">
        <v>45</v>
      </c>
    </row>
    <row r="7478" spans="1:6">
      <c r="A7478" t="s">
        <v>7447</v>
      </c>
      <c r="B7478" t="str">
        <f t="shared" si="302"/>
        <v>0.00025%</v>
      </c>
      <c r="C7478" t="s">
        <v>10</v>
      </c>
      <c r="D7478" t="s">
        <v>10</v>
      </c>
      <c r="E7478" t="str">
        <f>"$ 1,943"</f>
        <v>$ 1,943</v>
      </c>
      <c r="F7478">
        <v>583</v>
      </c>
    </row>
    <row r="7479" spans="1:6">
      <c r="A7479" t="s">
        <v>7448</v>
      </c>
      <c r="B7479" t="str">
        <f t="shared" si="302"/>
        <v>0.00025%</v>
      </c>
      <c r="C7479" t="s">
        <v>10</v>
      </c>
      <c r="D7479" t="s">
        <v>10</v>
      </c>
      <c r="E7479" t="str">
        <f>"$ 1,943"</f>
        <v>$ 1,943</v>
      </c>
      <c r="F7479" s="1">
        <v>8651</v>
      </c>
    </row>
    <row r="7480" spans="1:6">
      <c r="A7480" t="s">
        <v>7449</v>
      </c>
      <c r="B7480" t="str">
        <f t="shared" si="302"/>
        <v>0.00025%</v>
      </c>
      <c r="C7480" t="s">
        <v>10</v>
      </c>
      <c r="D7480" t="s">
        <v>10</v>
      </c>
      <c r="E7480" t="str">
        <f>"$ 1,940"</f>
        <v>$ 1,940</v>
      </c>
      <c r="F7480">
        <v>266</v>
      </c>
    </row>
    <row r="7481" spans="1:6">
      <c r="A7481" t="s">
        <v>7450</v>
      </c>
      <c r="B7481" t="str">
        <f t="shared" si="302"/>
        <v>0.00025%</v>
      </c>
      <c r="C7481" t="s">
        <v>10</v>
      </c>
      <c r="D7481" t="s">
        <v>10</v>
      </c>
      <c r="E7481" t="str">
        <f>"$ 1,966"</f>
        <v>$ 1,966</v>
      </c>
      <c r="F7481" s="1">
        <v>178584</v>
      </c>
    </row>
    <row r="7482" spans="1:6">
      <c r="A7482" t="s">
        <v>7451</v>
      </c>
      <c r="B7482" t="str">
        <f t="shared" si="302"/>
        <v>0.00025%</v>
      </c>
      <c r="C7482" t="s">
        <v>10</v>
      </c>
      <c r="D7482" t="s">
        <v>10</v>
      </c>
      <c r="E7482" t="str">
        <f>"$ 1,951"</f>
        <v>$ 1,951</v>
      </c>
      <c r="F7482">
        <v>29</v>
      </c>
    </row>
    <row r="7483" spans="1:6">
      <c r="A7483" t="s">
        <v>7452</v>
      </c>
      <c r="B7483" t="str">
        <f t="shared" si="302"/>
        <v>0.00025%</v>
      </c>
      <c r="C7483" t="s">
        <v>10</v>
      </c>
      <c r="D7483" t="s">
        <v>10</v>
      </c>
      <c r="E7483" t="str">
        <f>"$ 1,934"</f>
        <v>$ 1,934</v>
      </c>
      <c r="F7483">
        <v>280</v>
      </c>
    </row>
    <row r="7484" spans="1:6">
      <c r="A7484" t="s">
        <v>7453</v>
      </c>
      <c r="B7484" t="str">
        <f t="shared" si="302"/>
        <v>0.00025%</v>
      </c>
      <c r="C7484" t="s">
        <v>10</v>
      </c>
      <c r="D7484" t="s">
        <v>10</v>
      </c>
      <c r="E7484" t="str">
        <f>"$ 1,923"</f>
        <v>$ 1,923</v>
      </c>
      <c r="F7484">
        <v>211</v>
      </c>
    </row>
    <row r="7485" spans="1:6">
      <c r="A7485" t="s">
        <v>7454</v>
      </c>
      <c r="B7485" t="str">
        <f t="shared" ref="B7485:B7516" si="303">"0.00025%"</f>
        <v>0.00025%</v>
      </c>
      <c r="C7485" t="s">
        <v>10</v>
      </c>
      <c r="D7485" t="s">
        <v>10</v>
      </c>
      <c r="E7485" t="str">
        <f>"$ 1,941"</f>
        <v>$ 1,941</v>
      </c>
      <c r="F7485">
        <v>66</v>
      </c>
    </row>
    <row r="7486" spans="1:6">
      <c r="A7486" t="s">
        <v>7455</v>
      </c>
      <c r="B7486" t="str">
        <f t="shared" si="303"/>
        <v>0.00025%</v>
      </c>
      <c r="C7486" t="s">
        <v>10</v>
      </c>
      <c r="D7486" t="s">
        <v>10</v>
      </c>
      <c r="E7486" t="str">
        <f>"$ 1,943"</f>
        <v>$ 1,943</v>
      </c>
      <c r="F7486">
        <v>89</v>
      </c>
    </row>
    <row r="7487" spans="1:6">
      <c r="A7487" t="s">
        <v>7456</v>
      </c>
      <c r="B7487" t="str">
        <f t="shared" si="303"/>
        <v>0.00025%</v>
      </c>
      <c r="C7487" t="s">
        <v>10</v>
      </c>
      <c r="D7487" t="s">
        <v>10</v>
      </c>
      <c r="E7487" t="str">
        <f>"$ 1,903"</f>
        <v>$ 1,903</v>
      </c>
      <c r="F7487">
        <v>788</v>
      </c>
    </row>
    <row r="7488" spans="1:6">
      <c r="A7488" t="s">
        <v>7457</v>
      </c>
      <c r="B7488" t="str">
        <f t="shared" si="303"/>
        <v>0.00025%</v>
      </c>
      <c r="C7488" t="s">
        <v>10</v>
      </c>
      <c r="D7488" t="s">
        <v>10</v>
      </c>
      <c r="E7488" t="str">
        <f>"$ 1,948"</f>
        <v>$ 1,948</v>
      </c>
      <c r="F7488">
        <v>183</v>
      </c>
    </row>
    <row r="7489" spans="1:6">
      <c r="A7489" t="s">
        <v>7458</v>
      </c>
      <c r="B7489" t="str">
        <f t="shared" si="303"/>
        <v>0.00025%</v>
      </c>
      <c r="C7489" t="s">
        <v>10</v>
      </c>
      <c r="D7489" t="s">
        <v>10</v>
      </c>
      <c r="E7489" t="str">
        <f>"$ 1,951"</f>
        <v>$ 1,951</v>
      </c>
      <c r="F7489">
        <v>441</v>
      </c>
    </row>
    <row r="7490" spans="1:6">
      <c r="A7490" t="s">
        <v>7459</v>
      </c>
      <c r="B7490" t="str">
        <f t="shared" si="303"/>
        <v>0.00025%</v>
      </c>
      <c r="C7490" t="s">
        <v>10</v>
      </c>
      <c r="D7490" t="s">
        <v>10</v>
      </c>
      <c r="E7490" t="str">
        <f>"$ 1,958"</f>
        <v>$ 1,958</v>
      </c>
      <c r="F7490">
        <v>49</v>
      </c>
    </row>
    <row r="7491" spans="1:6">
      <c r="A7491" t="s">
        <v>7460</v>
      </c>
      <c r="B7491" t="str">
        <f t="shared" si="303"/>
        <v>0.00025%</v>
      </c>
      <c r="C7491" t="s">
        <v>10</v>
      </c>
      <c r="D7491" t="s">
        <v>10</v>
      </c>
      <c r="E7491" t="str">
        <f>"$ 1,940"</f>
        <v>$ 1,940</v>
      </c>
      <c r="F7491">
        <v>21</v>
      </c>
    </row>
    <row r="7492" spans="1:6">
      <c r="A7492" t="s">
        <v>7461</v>
      </c>
      <c r="B7492" t="str">
        <f t="shared" si="303"/>
        <v>0.00025%</v>
      </c>
      <c r="C7492" t="s">
        <v>10</v>
      </c>
      <c r="D7492" t="s">
        <v>10</v>
      </c>
      <c r="E7492" t="str">
        <f>"$ 1,952"</f>
        <v>$ 1,952</v>
      </c>
      <c r="F7492" s="1">
        <v>3054</v>
      </c>
    </row>
    <row r="7493" spans="1:6">
      <c r="A7493" t="s">
        <v>7462</v>
      </c>
      <c r="B7493" t="str">
        <f t="shared" si="303"/>
        <v>0.00025%</v>
      </c>
      <c r="C7493" t="s">
        <v>10</v>
      </c>
      <c r="D7493" t="s">
        <v>10</v>
      </c>
      <c r="E7493" t="str">
        <f>"$ 1,950"</f>
        <v>$ 1,950</v>
      </c>
      <c r="F7493">
        <v>642</v>
      </c>
    </row>
    <row r="7494" spans="1:6">
      <c r="A7494" t="s">
        <v>7463</v>
      </c>
      <c r="B7494" t="str">
        <f t="shared" si="303"/>
        <v>0.00025%</v>
      </c>
      <c r="C7494" t="s">
        <v>10</v>
      </c>
      <c r="D7494" t="s">
        <v>10</v>
      </c>
      <c r="E7494" t="str">
        <f>"$ 1,892"</f>
        <v>$ 1,892</v>
      </c>
      <c r="F7494">
        <v>66</v>
      </c>
    </row>
    <row r="7495" spans="1:6">
      <c r="A7495" t="s">
        <v>7464</v>
      </c>
      <c r="B7495" t="str">
        <f t="shared" si="303"/>
        <v>0.00025%</v>
      </c>
      <c r="C7495" t="s">
        <v>10</v>
      </c>
      <c r="D7495" t="s">
        <v>10</v>
      </c>
      <c r="E7495" t="str">
        <f>"$ 1,915"</f>
        <v>$ 1,915</v>
      </c>
      <c r="F7495" s="1">
        <v>1009</v>
      </c>
    </row>
    <row r="7496" spans="1:6">
      <c r="A7496" t="s">
        <v>7465</v>
      </c>
      <c r="B7496" t="str">
        <f t="shared" si="303"/>
        <v>0.00025%</v>
      </c>
      <c r="C7496" t="s">
        <v>10</v>
      </c>
      <c r="D7496" t="s">
        <v>10</v>
      </c>
      <c r="E7496" t="str">
        <f>"$ 1,957"</f>
        <v>$ 1,957</v>
      </c>
      <c r="F7496" s="1">
        <v>6705</v>
      </c>
    </row>
    <row r="7497" spans="1:6">
      <c r="A7497" t="s">
        <v>7466</v>
      </c>
      <c r="B7497" t="str">
        <f t="shared" si="303"/>
        <v>0.00025%</v>
      </c>
      <c r="C7497" t="s">
        <v>10</v>
      </c>
      <c r="D7497" t="s">
        <v>10</v>
      </c>
      <c r="E7497" t="str">
        <f>"$ 1,963"</f>
        <v>$ 1,963</v>
      </c>
      <c r="F7497">
        <v>2</v>
      </c>
    </row>
    <row r="7498" spans="1:6">
      <c r="A7498" t="s">
        <v>7467</v>
      </c>
      <c r="B7498" t="str">
        <f t="shared" si="303"/>
        <v>0.00025%</v>
      </c>
      <c r="C7498" t="s">
        <v>10</v>
      </c>
      <c r="D7498" t="s">
        <v>10</v>
      </c>
      <c r="E7498" t="str">
        <f>"$ 1,954"</f>
        <v>$ 1,954</v>
      </c>
      <c r="F7498">
        <v>303</v>
      </c>
    </row>
    <row r="7499" spans="1:6">
      <c r="A7499" t="s">
        <v>7468</v>
      </c>
      <c r="B7499" t="str">
        <f t="shared" si="303"/>
        <v>0.00025%</v>
      </c>
      <c r="C7499" t="s">
        <v>10</v>
      </c>
      <c r="D7499" t="s">
        <v>10</v>
      </c>
      <c r="E7499" t="str">
        <f>"$ 1,939"</f>
        <v>$ 1,939</v>
      </c>
      <c r="F7499">
        <v>146</v>
      </c>
    </row>
    <row r="7500" spans="1:6">
      <c r="A7500" t="s">
        <v>7469</v>
      </c>
      <c r="B7500" t="str">
        <f t="shared" si="303"/>
        <v>0.00025%</v>
      </c>
      <c r="C7500" t="s">
        <v>10</v>
      </c>
      <c r="D7500" t="s">
        <v>10</v>
      </c>
      <c r="E7500" t="str">
        <f>"$ 1,929"</f>
        <v>$ 1,929</v>
      </c>
      <c r="F7500">
        <v>560</v>
      </c>
    </row>
    <row r="7501" spans="1:6">
      <c r="A7501" t="s">
        <v>7470</v>
      </c>
      <c r="B7501" t="str">
        <f t="shared" si="303"/>
        <v>0.00025%</v>
      </c>
      <c r="C7501" t="s">
        <v>10</v>
      </c>
      <c r="D7501" t="s">
        <v>10</v>
      </c>
      <c r="E7501" t="str">
        <f>"$ 1,948"</f>
        <v>$ 1,948</v>
      </c>
      <c r="F7501">
        <v>132</v>
      </c>
    </row>
    <row r="7502" spans="1:6">
      <c r="A7502" t="s">
        <v>7471</v>
      </c>
      <c r="B7502" t="str">
        <f t="shared" si="303"/>
        <v>0.00025%</v>
      </c>
      <c r="C7502" t="s">
        <v>10</v>
      </c>
      <c r="D7502" t="s">
        <v>10</v>
      </c>
      <c r="E7502" t="str">
        <f>"$ 1,918"</f>
        <v>$ 1,918</v>
      </c>
      <c r="F7502">
        <v>16</v>
      </c>
    </row>
    <row r="7503" spans="1:6">
      <c r="A7503" t="s">
        <v>7472</v>
      </c>
      <c r="B7503" t="str">
        <f t="shared" si="303"/>
        <v>0.00025%</v>
      </c>
      <c r="C7503" t="s">
        <v>10</v>
      </c>
      <c r="D7503" t="s">
        <v>10</v>
      </c>
      <c r="E7503" t="str">
        <f>"$ 1,908"</f>
        <v>$ 1,908</v>
      </c>
      <c r="F7503">
        <v>454</v>
      </c>
    </row>
    <row r="7504" spans="1:6">
      <c r="A7504" t="s">
        <v>7473</v>
      </c>
      <c r="B7504" t="str">
        <f t="shared" si="303"/>
        <v>0.00025%</v>
      </c>
      <c r="C7504" t="s">
        <v>10</v>
      </c>
      <c r="D7504" t="s">
        <v>10</v>
      </c>
      <c r="E7504" t="str">
        <f>"$ 1,911"</f>
        <v>$ 1,911</v>
      </c>
      <c r="F7504">
        <v>601</v>
      </c>
    </row>
    <row r="7505" spans="1:6">
      <c r="A7505" t="s">
        <v>7474</v>
      </c>
      <c r="B7505" t="str">
        <f t="shared" si="303"/>
        <v>0.00025%</v>
      </c>
      <c r="C7505" t="s">
        <v>10</v>
      </c>
      <c r="D7505" t="s">
        <v>10</v>
      </c>
      <c r="E7505" t="str">
        <f>"$ 1,958"</f>
        <v>$ 1,958</v>
      </c>
      <c r="F7505">
        <v>79</v>
      </c>
    </row>
    <row r="7506" spans="1:6">
      <c r="A7506" t="s">
        <v>7475</v>
      </c>
      <c r="B7506" t="str">
        <f t="shared" si="303"/>
        <v>0.00025%</v>
      </c>
      <c r="C7506" t="s">
        <v>10</v>
      </c>
      <c r="D7506" t="s">
        <v>10</v>
      </c>
      <c r="E7506" t="str">
        <f>"$ 1,946"</f>
        <v>$ 1,946</v>
      </c>
      <c r="F7506" s="1">
        <v>1428</v>
      </c>
    </row>
    <row r="7507" spans="1:6">
      <c r="A7507" t="s">
        <v>7476</v>
      </c>
      <c r="B7507" t="str">
        <f t="shared" si="303"/>
        <v>0.00025%</v>
      </c>
      <c r="C7507" t="s">
        <v>10</v>
      </c>
      <c r="D7507" t="s">
        <v>10</v>
      </c>
      <c r="E7507" t="str">
        <f>"$ 1,961"</f>
        <v>$ 1,961</v>
      </c>
      <c r="F7507">
        <v>340</v>
      </c>
    </row>
    <row r="7508" spans="1:6">
      <c r="A7508" t="s">
        <v>7477</v>
      </c>
      <c r="B7508" t="str">
        <f t="shared" si="303"/>
        <v>0.00025%</v>
      </c>
      <c r="C7508" t="s">
        <v>10</v>
      </c>
      <c r="D7508" t="s">
        <v>10</v>
      </c>
      <c r="E7508" t="str">
        <f>"$ 1,950"</f>
        <v>$ 1,950</v>
      </c>
      <c r="F7508" s="1">
        <v>2507</v>
      </c>
    </row>
    <row r="7509" spans="1:6">
      <c r="A7509" t="s">
        <v>7478</v>
      </c>
      <c r="B7509" t="str">
        <f t="shared" si="303"/>
        <v>0.00025%</v>
      </c>
      <c r="C7509" t="s">
        <v>10</v>
      </c>
      <c r="D7509" t="s">
        <v>10</v>
      </c>
      <c r="E7509" t="str">
        <f>"$ 1,900"</f>
        <v>$ 1,900</v>
      </c>
      <c r="F7509">
        <v>66</v>
      </c>
    </row>
    <row r="7510" spans="1:6">
      <c r="A7510" t="s">
        <v>7479</v>
      </c>
      <c r="B7510" t="str">
        <f t="shared" si="303"/>
        <v>0.00025%</v>
      </c>
      <c r="C7510" t="s">
        <v>10</v>
      </c>
      <c r="D7510" t="s">
        <v>10</v>
      </c>
      <c r="E7510" t="str">
        <f>"$ 1,948"</f>
        <v>$ 1,948</v>
      </c>
      <c r="F7510">
        <v>82</v>
      </c>
    </row>
    <row r="7511" spans="1:6">
      <c r="A7511" t="s">
        <v>7480</v>
      </c>
      <c r="B7511" t="str">
        <f t="shared" si="303"/>
        <v>0.00025%</v>
      </c>
      <c r="C7511" t="s">
        <v>10</v>
      </c>
      <c r="D7511" t="s">
        <v>10</v>
      </c>
      <c r="E7511" t="str">
        <f>"$ 1,965"</f>
        <v>$ 1,965</v>
      </c>
      <c r="F7511">
        <v>115</v>
      </c>
    </row>
    <row r="7512" spans="1:6">
      <c r="A7512" t="s">
        <v>7481</v>
      </c>
      <c r="B7512" t="str">
        <f t="shared" si="303"/>
        <v>0.00025%</v>
      </c>
      <c r="C7512" t="s">
        <v>10</v>
      </c>
      <c r="D7512" t="s">
        <v>10</v>
      </c>
      <c r="E7512" t="str">
        <f>"$ 1,950"</f>
        <v>$ 1,950</v>
      </c>
      <c r="F7512">
        <v>21</v>
      </c>
    </row>
    <row r="7513" spans="1:6">
      <c r="A7513" t="s">
        <v>7482</v>
      </c>
      <c r="B7513" t="str">
        <f t="shared" si="303"/>
        <v>0.00025%</v>
      </c>
      <c r="C7513" t="s">
        <v>10</v>
      </c>
      <c r="D7513" t="s">
        <v>10</v>
      </c>
      <c r="E7513" t="str">
        <f>"$ 1,910"</f>
        <v>$ 1,910</v>
      </c>
      <c r="F7513">
        <v>49</v>
      </c>
    </row>
    <row r="7514" spans="1:6">
      <c r="A7514" t="s">
        <v>7483</v>
      </c>
      <c r="B7514" t="str">
        <f t="shared" si="303"/>
        <v>0.00025%</v>
      </c>
      <c r="C7514" t="s">
        <v>10</v>
      </c>
      <c r="D7514" t="s">
        <v>10</v>
      </c>
      <c r="E7514" t="str">
        <f>"$ 1,964"</f>
        <v>$ 1,964</v>
      </c>
      <c r="F7514" s="1">
        <v>1402</v>
      </c>
    </row>
    <row r="7515" spans="1:6">
      <c r="A7515" t="s">
        <v>7484</v>
      </c>
      <c r="B7515" t="str">
        <f t="shared" si="303"/>
        <v>0.00025%</v>
      </c>
      <c r="C7515" t="s">
        <v>10</v>
      </c>
      <c r="D7515" t="s">
        <v>10</v>
      </c>
      <c r="E7515" t="str">
        <f>"$ 1,902"</f>
        <v>$ 1,902</v>
      </c>
      <c r="F7515" s="1">
        <v>2080</v>
      </c>
    </row>
    <row r="7516" spans="1:6">
      <c r="A7516" t="s">
        <v>7485</v>
      </c>
      <c r="B7516" t="str">
        <f t="shared" si="303"/>
        <v>0.00025%</v>
      </c>
      <c r="C7516" t="s">
        <v>10</v>
      </c>
      <c r="D7516" t="s">
        <v>10</v>
      </c>
      <c r="E7516" t="str">
        <f>"$ 1,965"</f>
        <v>$ 1,965</v>
      </c>
      <c r="F7516">
        <v>46</v>
      </c>
    </row>
    <row r="7517" spans="1:6">
      <c r="A7517" t="s">
        <v>7486</v>
      </c>
      <c r="B7517" t="str">
        <f t="shared" ref="B7517:B7544" si="304">"0.00025%"</f>
        <v>0.00025%</v>
      </c>
      <c r="C7517" t="s">
        <v>10</v>
      </c>
      <c r="D7517" t="s">
        <v>10</v>
      </c>
      <c r="E7517" t="str">
        <f>"$ 1,952"</f>
        <v>$ 1,952</v>
      </c>
      <c r="F7517">
        <v>8</v>
      </c>
    </row>
    <row r="7518" spans="1:6">
      <c r="A7518" t="s">
        <v>7487</v>
      </c>
      <c r="B7518" t="str">
        <f t="shared" si="304"/>
        <v>0.00025%</v>
      </c>
      <c r="C7518" t="s">
        <v>10</v>
      </c>
      <c r="D7518" t="s">
        <v>10</v>
      </c>
      <c r="E7518" t="str">
        <f>"$ 1,965"</f>
        <v>$ 1,965</v>
      </c>
      <c r="F7518">
        <v>55</v>
      </c>
    </row>
    <row r="7519" spans="1:6">
      <c r="A7519" t="s">
        <v>7488</v>
      </c>
      <c r="B7519" t="str">
        <f t="shared" si="304"/>
        <v>0.00025%</v>
      </c>
      <c r="C7519" t="s">
        <v>10</v>
      </c>
      <c r="D7519" t="s">
        <v>10</v>
      </c>
      <c r="E7519" t="str">
        <f>"$ 1,914"</f>
        <v>$ 1,914</v>
      </c>
      <c r="F7519">
        <v>132</v>
      </c>
    </row>
    <row r="7520" spans="1:6">
      <c r="A7520" t="s">
        <v>7489</v>
      </c>
      <c r="B7520" t="str">
        <f t="shared" si="304"/>
        <v>0.00025%</v>
      </c>
      <c r="C7520" t="s">
        <v>10</v>
      </c>
      <c r="D7520" t="s">
        <v>10</v>
      </c>
      <c r="E7520" t="str">
        <f>"$ 1,917"</f>
        <v>$ 1,917</v>
      </c>
      <c r="F7520">
        <v>99</v>
      </c>
    </row>
    <row r="7521" spans="1:6">
      <c r="A7521" t="s">
        <v>7490</v>
      </c>
      <c r="B7521" t="str">
        <f t="shared" si="304"/>
        <v>0.00025%</v>
      </c>
      <c r="C7521" t="s">
        <v>10</v>
      </c>
      <c r="D7521" t="s">
        <v>10</v>
      </c>
      <c r="E7521" t="str">
        <f>"$ 1,949"</f>
        <v>$ 1,949</v>
      </c>
      <c r="F7521">
        <v>49</v>
      </c>
    </row>
    <row r="7522" spans="1:6">
      <c r="A7522" t="s">
        <v>7491</v>
      </c>
      <c r="B7522" t="str">
        <f t="shared" si="304"/>
        <v>0.00025%</v>
      </c>
      <c r="C7522" t="s">
        <v>10</v>
      </c>
      <c r="D7522" t="s">
        <v>10</v>
      </c>
      <c r="E7522" t="str">
        <f>"$ 1,958"</f>
        <v>$ 1,958</v>
      </c>
      <c r="F7522">
        <v>80</v>
      </c>
    </row>
    <row r="7523" spans="1:6">
      <c r="A7523" t="s">
        <v>7492</v>
      </c>
      <c r="B7523" t="str">
        <f t="shared" si="304"/>
        <v>0.00025%</v>
      </c>
      <c r="C7523" t="s">
        <v>10</v>
      </c>
      <c r="D7523" t="s">
        <v>10</v>
      </c>
      <c r="E7523" t="str">
        <f>"$ 1,958"</f>
        <v>$ 1,958</v>
      </c>
      <c r="F7523">
        <v>165</v>
      </c>
    </row>
    <row r="7524" spans="1:6">
      <c r="A7524" t="s">
        <v>7493</v>
      </c>
      <c r="B7524" t="str">
        <f t="shared" si="304"/>
        <v>0.00025%</v>
      </c>
      <c r="C7524" t="s">
        <v>10</v>
      </c>
      <c r="D7524" t="s">
        <v>10</v>
      </c>
      <c r="E7524" t="str">
        <f>"$ 1,966"</f>
        <v>$ 1,966</v>
      </c>
      <c r="F7524">
        <v>813</v>
      </c>
    </row>
    <row r="7525" spans="1:6">
      <c r="A7525" t="s">
        <v>7494</v>
      </c>
      <c r="B7525" t="str">
        <f t="shared" si="304"/>
        <v>0.00025%</v>
      </c>
      <c r="C7525" t="s">
        <v>10</v>
      </c>
      <c r="D7525" t="s">
        <v>10</v>
      </c>
      <c r="E7525" t="str">
        <f>"$ 1,948"</f>
        <v>$ 1,948</v>
      </c>
      <c r="F7525" s="1">
        <v>3537</v>
      </c>
    </row>
    <row r="7526" spans="1:6">
      <c r="A7526" t="s">
        <v>7495</v>
      </c>
      <c r="B7526" t="str">
        <f t="shared" si="304"/>
        <v>0.00025%</v>
      </c>
      <c r="C7526" t="s">
        <v>10</v>
      </c>
      <c r="D7526" t="s">
        <v>10</v>
      </c>
      <c r="E7526" t="str">
        <f>"$ 1,916"</f>
        <v>$ 1,916</v>
      </c>
      <c r="F7526" s="1">
        <v>3603</v>
      </c>
    </row>
    <row r="7527" spans="1:6">
      <c r="A7527" t="s">
        <v>7496</v>
      </c>
      <c r="B7527" t="str">
        <f t="shared" si="304"/>
        <v>0.00025%</v>
      </c>
      <c r="C7527" t="s">
        <v>10</v>
      </c>
      <c r="D7527" t="s">
        <v>10</v>
      </c>
      <c r="E7527" t="str">
        <f>"$ 1,930"</f>
        <v>$ 1,930</v>
      </c>
      <c r="F7527">
        <v>75</v>
      </c>
    </row>
    <row r="7528" spans="1:6">
      <c r="A7528" t="s">
        <v>7497</v>
      </c>
      <c r="B7528" t="str">
        <f t="shared" si="304"/>
        <v>0.00025%</v>
      </c>
      <c r="C7528" t="s">
        <v>10</v>
      </c>
      <c r="D7528" t="s">
        <v>10</v>
      </c>
      <c r="E7528" t="str">
        <f>"$ 1,949"</f>
        <v>$ 1,949</v>
      </c>
      <c r="F7528" s="1">
        <v>1120</v>
      </c>
    </row>
    <row r="7529" spans="1:6">
      <c r="A7529" t="s">
        <v>7498</v>
      </c>
      <c r="B7529" t="str">
        <f t="shared" si="304"/>
        <v>0.00025%</v>
      </c>
      <c r="C7529" t="s">
        <v>10</v>
      </c>
      <c r="D7529" t="s">
        <v>10</v>
      </c>
      <c r="E7529" t="str">
        <f>"$ 1,908"</f>
        <v>$ 1,908</v>
      </c>
      <c r="F7529">
        <v>120</v>
      </c>
    </row>
    <row r="7530" spans="1:6">
      <c r="A7530" t="s">
        <v>7499</v>
      </c>
      <c r="B7530" t="str">
        <f t="shared" si="304"/>
        <v>0.00025%</v>
      </c>
      <c r="C7530" t="s">
        <v>10</v>
      </c>
      <c r="D7530" t="s">
        <v>10</v>
      </c>
      <c r="E7530" t="str">
        <f>"$ 1,920"</f>
        <v>$ 1,920</v>
      </c>
      <c r="F7530">
        <v>82</v>
      </c>
    </row>
    <row r="7531" spans="1:6">
      <c r="A7531" t="s">
        <v>7500</v>
      </c>
      <c r="B7531" t="str">
        <f t="shared" si="304"/>
        <v>0.00025%</v>
      </c>
      <c r="C7531" t="s">
        <v>10</v>
      </c>
      <c r="D7531" t="s">
        <v>10</v>
      </c>
      <c r="E7531" t="str">
        <f>"$ 1,957"</f>
        <v>$ 1,957</v>
      </c>
      <c r="F7531">
        <v>121</v>
      </c>
    </row>
    <row r="7532" spans="1:6">
      <c r="A7532" t="s">
        <v>7501</v>
      </c>
      <c r="B7532" t="str">
        <f t="shared" si="304"/>
        <v>0.00025%</v>
      </c>
      <c r="C7532" t="s">
        <v>10</v>
      </c>
      <c r="D7532" t="s">
        <v>10</v>
      </c>
      <c r="E7532" t="str">
        <f>"$ 1,907"</f>
        <v>$ 1,907</v>
      </c>
      <c r="F7532">
        <v>69</v>
      </c>
    </row>
    <row r="7533" spans="1:6">
      <c r="A7533" t="s">
        <v>7502</v>
      </c>
      <c r="B7533" t="str">
        <f t="shared" si="304"/>
        <v>0.00025%</v>
      </c>
      <c r="C7533" t="s">
        <v>10</v>
      </c>
      <c r="D7533" t="s">
        <v>10</v>
      </c>
      <c r="E7533" t="str">
        <f>"$ 1,901"</f>
        <v>$ 1,901</v>
      </c>
      <c r="F7533">
        <v>183</v>
      </c>
    </row>
    <row r="7534" spans="1:6">
      <c r="A7534" t="s">
        <v>7503</v>
      </c>
      <c r="B7534" t="str">
        <f t="shared" si="304"/>
        <v>0.00025%</v>
      </c>
      <c r="C7534" t="s">
        <v>10</v>
      </c>
      <c r="D7534" t="s">
        <v>10</v>
      </c>
      <c r="E7534" t="str">
        <f>"$ 1,937"</f>
        <v>$ 1,937</v>
      </c>
      <c r="F7534">
        <v>49</v>
      </c>
    </row>
    <row r="7535" spans="1:6">
      <c r="A7535" t="s">
        <v>7504</v>
      </c>
      <c r="B7535" t="str">
        <f t="shared" si="304"/>
        <v>0.00025%</v>
      </c>
      <c r="C7535" t="s">
        <v>10</v>
      </c>
      <c r="D7535" t="s">
        <v>10</v>
      </c>
      <c r="E7535" t="str">
        <f>"$ 1,905"</f>
        <v>$ 1,905</v>
      </c>
      <c r="F7535" s="1">
        <v>1371</v>
      </c>
    </row>
    <row r="7536" spans="1:6">
      <c r="A7536" t="s">
        <v>7505</v>
      </c>
      <c r="B7536" t="str">
        <f t="shared" si="304"/>
        <v>0.00025%</v>
      </c>
      <c r="C7536" t="s">
        <v>10</v>
      </c>
      <c r="D7536" t="s">
        <v>10</v>
      </c>
      <c r="E7536" t="str">
        <f>"$ 1,910"</f>
        <v>$ 1,910</v>
      </c>
      <c r="F7536">
        <v>724</v>
      </c>
    </row>
    <row r="7537" spans="1:6">
      <c r="A7537" t="s">
        <v>7506</v>
      </c>
      <c r="B7537" t="str">
        <f t="shared" si="304"/>
        <v>0.00025%</v>
      </c>
      <c r="C7537" t="s">
        <v>10</v>
      </c>
      <c r="D7537" t="s">
        <v>10</v>
      </c>
      <c r="E7537" t="str">
        <f>"$ 1,958"</f>
        <v>$ 1,958</v>
      </c>
      <c r="F7537">
        <v>865</v>
      </c>
    </row>
    <row r="7538" spans="1:6">
      <c r="A7538" t="s">
        <v>7507</v>
      </c>
      <c r="B7538" t="str">
        <f t="shared" si="304"/>
        <v>0.00025%</v>
      </c>
      <c r="C7538" t="s">
        <v>10</v>
      </c>
      <c r="D7538" t="s">
        <v>10</v>
      </c>
      <c r="E7538" t="str">
        <f>"$ 1,959"</f>
        <v>$ 1,959</v>
      </c>
      <c r="F7538" s="1">
        <v>4090</v>
      </c>
    </row>
    <row r="7539" spans="1:6">
      <c r="A7539" t="s">
        <v>7508</v>
      </c>
      <c r="B7539" t="str">
        <f t="shared" si="304"/>
        <v>0.00025%</v>
      </c>
      <c r="C7539" t="s">
        <v>10</v>
      </c>
      <c r="D7539" t="s">
        <v>10</v>
      </c>
      <c r="E7539" t="str">
        <f>"$ 1,913"</f>
        <v>$ 1,913</v>
      </c>
      <c r="F7539">
        <v>495</v>
      </c>
    </row>
    <row r="7540" spans="1:6">
      <c r="A7540" t="s">
        <v>7509</v>
      </c>
      <c r="B7540" t="str">
        <f t="shared" si="304"/>
        <v>0.00025%</v>
      </c>
      <c r="C7540" t="s">
        <v>10</v>
      </c>
      <c r="D7540" t="s">
        <v>10</v>
      </c>
      <c r="E7540" t="str">
        <f>"$ 1,899"</f>
        <v>$ 1,899</v>
      </c>
      <c r="F7540" s="1">
        <v>1278</v>
      </c>
    </row>
    <row r="7541" spans="1:6">
      <c r="A7541" t="s">
        <v>7510</v>
      </c>
      <c r="B7541" t="str">
        <f t="shared" si="304"/>
        <v>0.00025%</v>
      </c>
      <c r="C7541" t="s">
        <v>10</v>
      </c>
      <c r="D7541" t="s">
        <v>10</v>
      </c>
      <c r="E7541" t="str">
        <f>"$ 1,966"</f>
        <v>$ 1,966</v>
      </c>
      <c r="F7541">
        <v>49</v>
      </c>
    </row>
    <row r="7542" spans="1:6">
      <c r="A7542" t="s">
        <v>7511</v>
      </c>
      <c r="B7542" t="str">
        <f t="shared" si="304"/>
        <v>0.00025%</v>
      </c>
      <c r="C7542" t="s">
        <v>10</v>
      </c>
      <c r="D7542" t="s">
        <v>10</v>
      </c>
      <c r="E7542" t="str">
        <f>"$ 1,966"</f>
        <v>$ 1,966</v>
      </c>
      <c r="F7542">
        <v>612</v>
      </c>
    </row>
    <row r="7543" spans="1:6">
      <c r="A7543" t="s">
        <v>7512</v>
      </c>
      <c r="B7543" t="str">
        <f t="shared" si="304"/>
        <v>0.00025%</v>
      </c>
      <c r="C7543" t="s">
        <v>10</v>
      </c>
      <c r="D7543" t="s">
        <v>10</v>
      </c>
      <c r="E7543" t="str">
        <f>"$ 1,931"</f>
        <v>$ 1,931</v>
      </c>
      <c r="F7543" s="1">
        <v>1929</v>
      </c>
    </row>
    <row r="7544" spans="1:6">
      <c r="A7544" t="s">
        <v>7513</v>
      </c>
      <c r="B7544" t="str">
        <f t="shared" si="304"/>
        <v>0.00025%</v>
      </c>
      <c r="C7544" t="s">
        <v>10</v>
      </c>
      <c r="D7544" t="s">
        <v>10</v>
      </c>
      <c r="E7544" t="str">
        <f>"$ 1,948"</f>
        <v>$ 1,948</v>
      </c>
      <c r="F7544">
        <v>49</v>
      </c>
    </row>
    <row r="7545" spans="1:6">
      <c r="A7545" t="s">
        <v>7514</v>
      </c>
      <c r="B7545" t="str">
        <f t="shared" ref="B7545:B7576" si="305">"0.00024%"</f>
        <v>0.00024%</v>
      </c>
      <c r="C7545" t="s">
        <v>10</v>
      </c>
      <c r="D7545" t="s">
        <v>10</v>
      </c>
      <c r="E7545" t="str">
        <f>"$ 1,821"</f>
        <v>$ 1,821</v>
      </c>
      <c r="F7545">
        <v>85</v>
      </c>
    </row>
    <row r="7546" spans="1:6">
      <c r="A7546" t="s">
        <v>7515</v>
      </c>
      <c r="B7546" t="str">
        <f t="shared" si="305"/>
        <v>0.00024%</v>
      </c>
      <c r="C7546" t="s">
        <v>10</v>
      </c>
      <c r="D7546" t="s">
        <v>10</v>
      </c>
      <c r="E7546" t="str">
        <f>"$ 1,824"</f>
        <v>$ 1,824</v>
      </c>
      <c r="F7546">
        <v>100</v>
      </c>
    </row>
    <row r="7547" spans="1:6">
      <c r="A7547" t="s">
        <v>7516</v>
      </c>
      <c r="B7547" t="str">
        <f t="shared" si="305"/>
        <v>0.00024%</v>
      </c>
      <c r="C7547" t="s">
        <v>10</v>
      </c>
      <c r="D7547" t="s">
        <v>10</v>
      </c>
      <c r="E7547" t="str">
        <f>"$ 1,817"</f>
        <v>$ 1,817</v>
      </c>
      <c r="F7547" s="1">
        <v>2507</v>
      </c>
    </row>
    <row r="7548" spans="1:6">
      <c r="A7548" t="s">
        <v>7517</v>
      </c>
      <c r="B7548" t="str">
        <f t="shared" si="305"/>
        <v>0.00024%</v>
      </c>
      <c r="C7548" t="s">
        <v>10</v>
      </c>
      <c r="D7548" t="s">
        <v>10</v>
      </c>
      <c r="E7548" t="str">
        <f>"$ 1,850"</f>
        <v>$ 1,850</v>
      </c>
      <c r="F7548">
        <v>618</v>
      </c>
    </row>
    <row r="7549" spans="1:6">
      <c r="A7549" t="s">
        <v>7518</v>
      </c>
      <c r="B7549" t="str">
        <f t="shared" si="305"/>
        <v>0.00024%</v>
      </c>
      <c r="C7549" t="s">
        <v>10</v>
      </c>
      <c r="D7549" t="s">
        <v>10</v>
      </c>
      <c r="E7549" t="str">
        <f>"$ 1,877"</f>
        <v>$ 1,877</v>
      </c>
      <c r="F7549">
        <v>318</v>
      </c>
    </row>
    <row r="7550" spans="1:6">
      <c r="A7550" t="s">
        <v>7519</v>
      </c>
      <c r="B7550" t="str">
        <f t="shared" si="305"/>
        <v>0.00024%</v>
      </c>
      <c r="C7550" t="s">
        <v>10</v>
      </c>
      <c r="D7550" t="s">
        <v>10</v>
      </c>
      <c r="E7550" t="str">
        <f>"$ 1,867"</f>
        <v>$ 1,867</v>
      </c>
      <c r="F7550" s="1">
        <v>1407</v>
      </c>
    </row>
    <row r="7551" spans="1:6">
      <c r="A7551" t="s">
        <v>7520</v>
      </c>
      <c r="B7551" t="str">
        <f t="shared" si="305"/>
        <v>0.00024%</v>
      </c>
      <c r="C7551" t="s">
        <v>10</v>
      </c>
      <c r="D7551" t="s">
        <v>10</v>
      </c>
      <c r="E7551" t="str">
        <f>"$ 1,836"</f>
        <v>$ 1,836</v>
      </c>
      <c r="F7551">
        <v>82</v>
      </c>
    </row>
    <row r="7552" spans="1:6">
      <c r="A7552" t="s">
        <v>7521</v>
      </c>
      <c r="B7552" t="str">
        <f t="shared" si="305"/>
        <v>0.00024%</v>
      </c>
      <c r="C7552" t="s">
        <v>10</v>
      </c>
      <c r="D7552" t="s">
        <v>10</v>
      </c>
      <c r="E7552" t="str">
        <f>"$ 1,841"</f>
        <v>$ 1,841</v>
      </c>
      <c r="F7552">
        <v>212</v>
      </c>
    </row>
    <row r="7553" spans="1:6">
      <c r="A7553" t="s">
        <v>7522</v>
      </c>
      <c r="B7553" t="str">
        <f t="shared" si="305"/>
        <v>0.00024%</v>
      </c>
      <c r="C7553" t="s">
        <v>10</v>
      </c>
      <c r="D7553" t="s">
        <v>10</v>
      </c>
      <c r="E7553" t="str">
        <f>"$ 1,891"</f>
        <v>$ 1,891</v>
      </c>
      <c r="F7553">
        <v>87</v>
      </c>
    </row>
    <row r="7554" spans="1:6">
      <c r="A7554" t="s">
        <v>7523</v>
      </c>
      <c r="B7554" t="str">
        <f t="shared" si="305"/>
        <v>0.00024%</v>
      </c>
      <c r="C7554" t="s">
        <v>10</v>
      </c>
      <c r="D7554" t="s">
        <v>10</v>
      </c>
      <c r="E7554" t="str">
        <f>"$ 1,884"</f>
        <v>$ 1,884</v>
      </c>
      <c r="F7554" s="1">
        <v>2894</v>
      </c>
    </row>
    <row r="7555" spans="1:6">
      <c r="A7555" t="s">
        <v>7524</v>
      </c>
      <c r="B7555" t="str">
        <f t="shared" si="305"/>
        <v>0.00024%</v>
      </c>
      <c r="C7555" t="s">
        <v>10</v>
      </c>
      <c r="D7555" t="s">
        <v>10</v>
      </c>
      <c r="E7555" t="str">
        <f>"$ 1,822"</f>
        <v>$ 1,822</v>
      </c>
      <c r="F7555">
        <v>148</v>
      </c>
    </row>
    <row r="7556" spans="1:6">
      <c r="A7556" t="s">
        <v>7525</v>
      </c>
      <c r="B7556" t="str">
        <f t="shared" si="305"/>
        <v>0.00024%</v>
      </c>
      <c r="C7556" t="s">
        <v>10</v>
      </c>
      <c r="D7556" t="s">
        <v>10</v>
      </c>
      <c r="E7556" t="str">
        <f>"$ 1,836"</f>
        <v>$ 1,836</v>
      </c>
      <c r="F7556">
        <v>107</v>
      </c>
    </row>
    <row r="7557" spans="1:6">
      <c r="A7557" t="s">
        <v>7526</v>
      </c>
      <c r="B7557" t="str">
        <f t="shared" si="305"/>
        <v>0.00024%</v>
      </c>
      <c r="C7557" t="s">
        <v>10</v>
      </c>
      <c r="D7557" t="s">
        <v>10</v>
      </c>
      <c r="E7557" t="str">
        <f>"$ 1,821"</f>
        <v>$ 1,821</v>
      </c>
      <c r="F7557">
        <v>53</v>
      </c>
    </row>
    <row r="7558" spans="1:6">
      <c r="A7558" t="s">
        <v>7527</v>
      </c>
      <c r="B7558" t="str">
        <f t="shared" si="305"/>
        <v>0.00024%</v>
      </c>
      <c r="C7558" t="s">
        <v>10</v>
      </c>
      <c r="D7558" t="s">
        <v>10</v>
      </c>
      <c r="E7558" t="str">
        <f>"$ 1,827"</f>
        <v>$ 1,827</v>
      </c>
      <c r="F7558">
        <v>99</v>
      </c>
    </row>
    <row r="7559" spans="1:6">
      <c r="A7559" t="s">
        <v>7528</v>
      </c>
      <c r="B7559" t="str">
        <f t="shared" si="305"/>
        <v>0.00024%</v>
      </c>
      <c r="C7559" t="s">
        <v>10</v>
      </c>
      <c r="D7559" t="s">
        <v>10</v>
      </c>
      <c r="E7559" t="str">
        <f>"$ 1,884"</f>
        <v>$ 1,884</v>
      </c>
      <c r="F7559">
        <v>99</v>
      </c>
    </row>
    <row r="7560" spans="1:6">
      <c r="A7560" t="s">
        <v>7529</v>
      </c>
      <c r="B7560" t="str">
        <f t="shared" si="305"/>
        <v>0.00024%</v>
      </c>
      <c r="C7560" t="s">
        <v>10</v>
      </c>
      <c r="D7560" t="s">
        <v>10</v>
      </c>
      <c r="E7560" t="str">
        <f>"$ 1,887"</f>
        <v>$ 1,887</v>
      </c>
      <c r="F7560">
        <v>574</v>
      </c>
    </row>
    <row r="7561" spans="1:6">
      <c r="A7561" t="s">
        <v>7530</v>
      </c>
      <c r="B7561" t="str">
        <f t="shared" si="305"/>
        <v>0.00024%</v>
      </c>
      <c r="C7561" t="s">
        <v>10</v>
      </c>
      <c r="D7561" t="s">
        <v>10</v>
      </c>
      <c r="E7561" t="str">
        <f>"$ 1,867"</f>
        <v>$ 1,867</v>
      </c>
      <c r="F7561">
        <v>99</v>
      </c>
    </row>
    <row r="7562" spans="1:6">
      <c r="A7562" t="s">
        <v>7531</v>
      </c>
      <c r="B7562" t="str">
        <f t="shared" si="305"/>
        <v>0.00024%</v>
      </c>
      <c r="C7562" t="s">
        <v>10</v>
      </c>
      <c r="D7562" t="s">
        <v>10</v>
      </c>
      <c r="E7562" t="str">
        <f>"$ 1,830"</f>
        <v>$ 1,830</v>
      </c>
      <c r="F7562">
        <v>299</v>
      </c>
    </row>
    <row r="7563" spans="1:6">
      <c r="A7563" t="s">
        <v>7532</v>
      </c>
      <c r="B7563" t="str">
        <f t="shared" si="305"/>
        <v>0.00024%</v>
      </c>
      <c r="C7563" t="s">
        <v>10</v>
      </c>
      <c r="D7563" t="s">
        <v>10</v>
      </c>
      <c r="E7563" t="str">
        <f>"$ 1,861"</f>
        <v>$ 1,861</v>
      </c>
      <c r="F7563">
        <v>267</v>
      </c>
    </row>
    <row r="7564" spans="1:6">
      <c r="A7564" t="s">
        <v>7533</v>
      </c>
      <c r="B7564" t="str">
        <f t="shared" si="305"/>
        <v>0.00024%</v>
      </c>
      <c r="C7564" t="s">
        <v>10</v>
      </c>
      <c r="D7564" t="s">
        <v>10</v>
      </c>
      <c r="E7564" t="str">
        <f>"$ 1,850"</f>
        <v>$ 1,850</v>
      </c>
      <c r="F7564">
        <v>132</v>
      </c>
    </row>
    <row r="7565" spans="1:6">
      <c r="A7565" t="s">
        <v>7534</v>
      </c>
      <c r="B7565" t="str">
        <f t="shared" si="305"/>
        <v>0.00024%</v>
      </c>
      <c r="C7565" t="s">
        <v>10</v>
      </c>
      <c r="D7565" t="s">
        <v>10</v>
      </c>
      <c r="E7565" t="str">
        <f>"$ 1,881"</f>
        <v>$ 1,881</v>
      </c>
      <c r="F7565">
        <v>703</v>
      </c>
    </row>
    <row r="7566" spans="1:6">
      <c r="A7566" t="s">
        <v>7535</v>
      </c>
      <c r="B7566" t="str">
        <f t="shared" si="305"/>
        <v>0.00024%</v>
      </c>
      <c r="C7566" t="s">
        <v>10</v>
      </c>
      <c r="D7566" t="s">
        <v>10</v>
      </c>
      <c r="E7566" t="str">
        <f>"$ 1,848"</f>
        <v>$ 1,848</v>
      </c>
      <c r="F7566">
        <v>609</v>
      </c>
    </row>
    <row r="7567" spans="1:6">
      <c r="A7567" t="s">
        <v>7536</v>
      </c>
      <c r="B7567" t="str">
        <f t="shared" si="305"/>
        <v>0.00024%</v>
      </c>
      <c r="C7567" t="s">
        <v>10</v>
      </c>
      <c r="D7567" t="s">
        <v>10</v>
      </c>
      <c r="E7567" t="str">
        <f>"$ 1,854"</f>
        <v>$ 1,854</v>
      </c>
      <c r="F7567">
        <v>198</v>
      </c>
    </row>
    <row r="7568" spans="1:6">
      <c r="A7568" t="s">
        <v>7537</v>
      </c>
      <c r="B7568" t="str">
        <f t="shared" si="305"/>
        <v>0.00024%</v>
      </c>
      <c r="C7568" t="s">
        <v>10</v>
      </c>
      <c r="D7568" t="s">
        <v>10</v>
      </c>
      <c r="E7568" t="str">
        <f>"$ 1,820"</f>
        <v>$ 1,820</v>
      </c>
      <c r="F7568">
        <v>148</v>
      </c>
    </row>
    <row r="7569" spans="1:6">
      <c r="A7569" t="s">
        <v>7538</v>
      </c>
      <c r="B7569" t="str">
        <f t="shared" si="305"/>
        <v>0.00024%</v>
      </c>
      <c r="C7569" t="s">
        <v>10</v>
      </c>
      <c r="D7569" t="s">
        <v>10</v>
      </c>
      <c r="E7569" t="str">
        <f>"$ 1,887"</f>
        <v>$ 1,887</v>
      </c>
      <c r="F7569">
        <v>103</v>
      </c>
    </row>
    <row r="7570" spans="1:6">
      <c r="A7570" t="s">
        <v>7539</v>
      </c>
      <c r="B7570" t="str">
        <f t="shared" si="305"/>
        <v>0.00024%</v>
      </c>
      <c r="C7570" t="s">
        <v>10</v>
      </c>
      <c r="D7570" t="s">
        <v>10</v>
      </c>
      <c r="E7570" t="str">
        <f>"$ 1,834"</f>
        <v>$ 1,834</v>
      </c>
      <c r="F7570">
        <v>162</v>
      </c>
    </row>
    <row r="7571" spans="1:6">
      <c r="A7571" t="s">
        <v>7540</v>
      </c>
      <c r="B7571" t="str">
        <f t="shared" si="305"/>
        <v>0.00024%</v>
      </c>
      <c r="C7571" t="s">
        <v>10</v>
      </c>
      <c r="D7571" t="s">
        <v>10</v>
      </c>
      <c r="E7571" t="str">
        <f>"$ 1,851"</f>
        <v>$ 1,851</v>
      </c>
      <c r="F7571">
        <v>10</v>
      </c>
    </row>
    <row r="7572" spans="1:6">
      <c r="A7572" t="s">
        <v>7541</v>
      </c>
      <c r="B7572" t="str">
        <f t="shared" si="305"/>
        <v>0.00024%</v>
      </c>
      <c r="C7572" t="s">
        <v>10</v>
      </c>
      <c r="D7572" t="s">
        <v>10</v>
      </c>
      <c r="E7572" t="str">
        <f>"$ 1,877"</f>
        <v>$ 1,877</v>
      </c>
      <c r="F7572">
        <v>314</v>
      </c>
    </row>
    <row r="7573" spans="1:6">
      <c r="A7573" t="s">
        <v>7542</v>
      </c>
      <c r="B7573" t="str">
        <f t="shared" si="305"/>
        <v>0.00024%</v>
      </c>
      <c r="C7573" t="s">
        <v>10</v>
      </c>
      <c r="D7573" t="s">
        <v>10</v>
      </c>
      <c r="E7573" t="str">
        <f>"$ 1,890"</f>
        <v>$ 1,890</v>
      </c>
      <c r="F7573" s="1">
        <v>1288</v>
      </c>
    </row>
    <row r="7574" spans="1:6">
      <c r="A7574" t="s">
        <v>7543</v>
      </c>
      <c r="B7574" t="str">
        <f t="shared" si="305"/>
        <v>0.00024%</v>
      </c>
      <c r="C7574" t="s">
        <v>10</v>
      </c>
      <c r="D7574" t="s">
        <v>10</v>
      </c>
      <c r="E7574" t="str">
        <f>"$ 1,862"</f>
        <v>$ 1,862</v>
      </c>
      <c r="F7574">
        <v>49</v>
      </c>
    </row>
    <row r="7575" spans="1:6">
      <c r="A7575" t="s">
        <v>7544</v>
      </c>
      <c r="B7575" t="str">
        <f t="shared" si="305"/>
        <v>0.00024%</v>
      </c>
      <c r="C7575" t="s">
        <v>10</v>
      </c>
      <c r="D7575" t="s">
        <v>10</v>
      </c>
      <c r="E7575" t="str">
        <f>"$ 1,864"</f>
        <v>$ 1,864</v>
      </c>
      <c r="F7575">
        <v>231</v>
      </c>
    </row>
    <row r="7576" spans="1:6">
      <c r="A7576" t="s">
        <v>7545</v>
      </c>
      <c r="B7576" t="str">
        <f t="shared" si="305"/>
        <v>0.00024%</v>
      </c>
      <c r="C7576" t="s">
        <v>10</v>
      </c>
      <c r="D7576" t="s">
        <v>10</v>
      </c>
      <c r="E7576" t="str">
        <f>"$ 1,850"</f>
        <v>$ 1,850</v>
      </c>
      <c r="F7576">
        <v>283</v>
      </c>
    </row>
    <row r="7577" spans="1:6">
      <c r="A7577" t="s">
        <v>7546</v>
      </c>
      <c r="B7577" t="str">
        <f t="shared" ref="B7577:B7608" si="306">"0.00024%"</f>
        <v>0.00024%</v>
      </c>
      <c r="C7577" t="s">
        <v>10</v>
      </c>
      <c r="D7577" t="s">
        <v>10</v>
      </c>
      <c r="E7577" t="str">
        <f>"$ 1,870"</f>
        <v>$ 1,870</v>
      </c>
      <c r="F7577">
        <v>66</v>
      </c>
    </row>
    <row r="7578" spans="1:6">
      <c r="A7578" t="s">
        <v>7547</v>
      </c>
      <c r="B7578" t="str">
        <f t="shared" si="306"/>
        <v>0.00024%</v>
      </c>
      <c r="C7578" t="s">
        <v>10</v>
      </c>
      <c r="D7578" t="s">
        <v>10</v>
      </c>
      <c r="E7578" t="str">
        <f>"$ 1,832"</f>
        <v>$ 1,832</v>
      </c>
      <c r="F7578">
        <v>685</v>
      </c>
    </row>
    <row r="7579" spans="1:6">
      <c r="A7579" t="s">
        <v>7548</v>
      </c>
      <c r="B7579" t="str">
        <f t="shared" si="306"/>
        <v>0.00024%</v>
      </c>
      <c r="C7579" t="s">
        <v>10</v>
      </c>
      <c r="D7579" t="s">
        <v>10</v>
      </c>
      <c r="E7579" t="str">
        <f>"$ 1,869"</f>
        <v>$ 1,869</v>
      </c>
      <c r="F7579">
        <v>589</v>
      </c>
    </row>
    <row r="7580" spans="1:6">
      <c r="A7580" t="s">
        <v>7549</v>
      </c>
      <c r="B7580" t="str">
        <f t="shared" si="306"/>
        <v>0.00024%</v>
      </c>
      <c r="C7580" t="s">
        <v>10</v>
      </c>
      <c r="D7580" t="s">
        <v>10</v>
      </c>
      <c r="E7580" t="str">
        <f>"$ 1,860"</f>
        <v>$ 1,860</v>
      </c>
      <c r="F7580">
        <v>808</v>
      </c>
    </row>
    <row r="7581" spans="1:6">
      <c r="A7581" t="s">
        <v>7550</v>
      </c>
      <c r="B7581" t="str">
        <f t="shared" si="306"/>
        <v>0.00024%</v>
      </c>
      <c r="C7581" t="s">
        <v>10</v>
      </c>
      <c r="D7581" t="s">
        <v>10</v>
      </c>
      <c r="E7581" t="str">
        <f>"$ 1,855"</f>
        <v>$ 1,855</v>
      </c>
      <c r="F7581" s="1">
        <v>4485</v>
      </c>
    </row>
    <row r="7582" spans="1:6">
      <c r="A7582" t="s">
        <v>7551</v>
      </c>
      <c r="B7582" t="str">
        <f t="shared" si="306"/>
        <v>0.00024%</v>
      </c>
      <c r="C7582" t="s">
        <v>10</v>
      </c>
      <c r="D7582" t="s">
        <v>10</v>
      </c>
      <c r="E7582" t="str">
        <f>"$ 1,875"</f>
        <v>$ 1,875</v>
      </c>
      <c r="F7582">
        <v>129</v>
      </c>
    </row>
    <row r="7583" spans="1:6">
      <c r="A7583" t="s">
        <v>7552</v>
      </c>
      <c r="B7583" t="str">
        <f t="shared" si="306"/>
        <v>0.00024%</v>
      </c>
      <c r="C7583" t="s">
        <v>10</v>
      </c>
      <c r="D7583" t="s">
        <v>10</v>
      </c>
      <c r="E7583" t="str">
        <f>"$ 1,819"</f>
        <v>$ 1,819</v>
      </c>
      <c r="F7583">
        <v>40</v>
      </c>
    </row>
    <row r="7584" spans="1:6">
      <c r="A7584" t="s">
        <v>7553</v>
      </c>
      <c r="B7584" t="str">
        <f t="shared" si="306"/>
        <v>0.00024%</v>
      </c>
      <c r="C7584" t="s">
        <v>10</v>
      </c>
      <c r="D7584" t="s">
        <v>10</v>
      </c>
      <c r="E7584" t="str">
        <f>"$ 1,825"</f>
        <v>$ 1,825</v>
      </c>
      <c r="F7584">
        <v>60</v>
      </c>
    </row>
    <row r="7585" spans="1:6">
      <c r="A7585" t="s">
        <v>7554</v>
      </c>
      <c r="B7585" t="str">
        <f t="shared" si="306"/>
        <v>0.00024%</v>
      </c>
      <c r="C7585" t="s">
        <v>10</v>
      </c>
      <c r="D7585" t="s">
        <v>10</v>
      </c>
      <c r="E7585" t="str">
        <f>"$ 1,859"</f>
        <v>$ 1,859</v>
      </c>
      <c r="F7585">
        <v>91</v>
      </c>
    </row>
    <row r="7586" spans="1:6">
      <c r="A7586" t="s">
        <v>7555</v>
      </c>
      <c r="B7586" t="str">
        <f t="shared" si="306"/>
        <v>0.00024%</v>
      </c>
      <c r="C7586" t="s">
        <v>10</v>
      </c>
      <c r="D7586" t="s">
        <v>10</v>
      </c>
      <c r="E7586" t="str">
        <f>"$ 1,850"</f>
        <v>$ 1,850</v>
      </c>
      <c r="F7586">
        <v>92</v>
      </c>
    </row>
    <row r="7587" spans="1:6">
      <c r="A7587" t="s">
        <v>7556</v>
      </c>
      <c r="B7587" t="str">
        <f t="shared" si="306"/>
        <v>0.00024%</v>
      </c>
      <c r="C7587" t="s">
        <v>10</v>
      </c>
      <c r="D7587" t="s">
        <v>10</v>
      </c>
      <c r="E7587" t="str">
        <f>"$ 1,878"</f>
        <v>$ 1,878</v>
      </c>
      <c r="F7587">
        <v>133</v>
      </c>
    </row>
    <row r="7588" spans="1:6">
      <c r="A7588" t="s">
        <v>7557</v>
      </c>
      <c r="B7588" t="str">
        <f t="shared" si="306"/>
        <v>0.00024%</v>
      </c>
      <c r="C7588" t="s">
        <v>10</v>
      </c>
      <c r="D7588" t="s">
        <v>10</v>
      </c>
      <c r="E7588" t="str">
        <f>"$ 1,881"</f>
        <v>$ 1,881</v>
      </c>
      <c r="F7588">
        <v>285</v>
      </c>
    </row>
    <row r="7589" spans="1:6">
      <c r="A7589" t="s">
        <v>7558</v>
      </c>
      <c r="B7589" t="str">
        <f t="shared" si="306"/>
        <v>0.00024%</v>
      </c>
      <c r="C7589" t="s">
        <v>10</v>
      </c>
      <c r="D7589" t="s">
        <v>10</v>
      </c>
      <c r="E7589" t="str">
        <f>"$ 1,890"</f>
        <v>$ 1,890</v>
      </c>
      <c r="F7589">
        <v>118</v>
      </c>
    </row>
    <row r="7590" spans="1:6">
      <c r="A7590" t="s">
        <v>7559</v>
      </c>
      <c r="B7590" t="str">
        <f t="shared" si="306"/>
        <v>0.00024%</v>
      </c>
      <c r="C7590" t="s">
        <v>10</v>
      </c>
      <c r="D7590" t="s">
        <v>10</v>
      </c>
      <c r="E7590" t="str">
        <f>"$ 1,889"</f>
        <v>$ 1,889</v>
      </c>
      <c r="F7590">
        <v>45</v>
      </c>
    </row>
    <row r="7591" spans="1:6">
      <c r="A7591" t="s">
        <v>7560</v>
      </c>
      <c r="B7591" t="str">
        <f t="shared" si="306"/>
        <v>0.00024%</v>
      </c>
      <c r="C7591" t="s">
        <v>10</v>
      </c>
      <c r="D7591" t="s">
        <v>10</v>
      </c>
      <c r="E7591" t="str">
        <f>"$ 1,850"</f>
        <v>$ 1,850</v>
      </c>
      <c r="F7591">
        <v>973</v>
      </c>
    </row>
    <row r="7592" spans="1:6">
      <c r="A7592" t="s">
        <v>7561</v>
      </c>
      <c r="B7592" t="str">
        <f t="shared" si="306"/>
        <v>0.00024%</v>
      </c>
      <c r="C7592" t="s">
        <v>10</v>
      </c>
      <c r="D7592" t="s">
        <v>10</v>
      </c>
      <c r="E7592" t="str">
        <f>"$ 1,841"</f>
        <v>$ 1,841</v>
      </c>
      <c r="F7592">
        <v>451</v>
      </c>
    </row>
    <row r="7593" spans="1:6">
      <c r="A7593" t="s">
        <v>7562</v>
      </c>
      <c r="B7593" t="str">
        <f t="shared" si="306"/>
        <v>0.00024%</v>
      </c>
      <c r="C7593" t="s">
        <v>10</v>
      </c>
      <c r="D7593" t="s">
        <v>10</v>
      </c>
      <c r="E7593" t="str">
        <f>"$ 1,848"</f>
        <v>$ 1,848</v>
      </c>
      <c r="F7593">
        <v>379</v>
      </c>
    </row>
    <row r="7594" spans="1:6">
      <c r="A7594" t="s">
        <v>7563</v>
      </c>
      <c r="B7594" t="str">
        <f t="shared" si="306"/>
        <v>0.00024%</v>
      </c>
      <c r="C7594" t="s">
        <v>10</v>
      </c>
      <c r="D7594" t="s">
        <v>10</v>
      </c>
      <c r="E7594" t="str">
        <f>"$ 1,843"</f>
        <v>$ 1,843</v>
      </c>
      <c r="F7594">
        <v>65</v>
      </c>
    </row>
    <row r="7595" spans="1:6">
      <c r="A7595" t="s">
        <v>7564</v>
      </c>
      <c r="B7595" t="str">
        <f t="shared" si="306"/>
        <v>0.00024%</v>
      </c>
      <c r="C7595" t="s">
        <v>10</v>
      </c>
      <c r="D7595" t="s">
        <v>10</v>
      </c>
      <c r="E7595" t="str">
        <f>"$ 1,852"</f>
        <v>$ 1,852</v>
      </c>
      <c r="F7595">
        <v>132</v>
      </c>
    </row>
    <row r="7596" spans="1:6">
      <c r="A7596" t="s">
        <v>7565</v>
      </c>
      <c r="B7596" t="str">
        <f t="shared" si="306"/>
        <v>0.00024%</v>
      </c>
      <c r="C7596" t="s">
        <v>10</v>
      </c>
      <c r="D7596" t="s">
        <v>10</v>
      </c>
      <c r="E7596" t="str">
        <f>"$ 1,887"</f>
        <v>$ 1,887</v>
      </c>
      <c r="F7596">
        <v>27</v>
      </c>
    </row>
    <row r="7597" spans="1:6">
      <c r="A7597" t="s">
        <v>7566</v>
      </c>
      <c r="B7597" t="str">
        <f t="shared" si="306"/>
        <v>0.00024%</v>
      </c>
      <c r="C7597" t="s">
        <v>10</v>
      </c>
      <c r="D7597" t="s">
        <v>10</v>
      </c>
      <c r="E7597" t="str">
        <f>"$ 1,850"</f>
        <v>$ 1,850</v>
      </c>
      <c r="F7597">
        <v>132</v>
      </c>
    </row>
    <row r="7598" spans="1:6">
      <c r="A7598" t="s">
        <v>7567</v>
      </c>
      <c r="B7598" t="str">
        <f t="shared" si="306"/>
        <v>0.00024%</v>
      </c>
      <c r="C7598" t="s">
        <v>10</v>
      </c>
      <c r="D7598" t="s">
        <v>10</v>
      </c>
      <c r="E7598" t="str">
        <f>"$ 1,841"</f>
        <v>$ 1,841</v>
      </c>
      <c r="F7598">
        <v>825</v>
      </c>
    </row>
    <row r="7599" spans="1:6">
      <c r="A7599" t="s">
        <v>7568</v>
      </c>
      <c r="B7599" t="str">
        <f t="shared" si="306"/>
        <v>0.00024%</v>
      </c>
      <c r="C7599" t="s">
        <v>10</v>
      </c>
      <c r="D7599" t="s">
        <v>10</v>
      </c>
      <c r="E7599" t="str">
        <f>"$ 1,847"</f>
        <v>$ 1,847</v>
      </c>
      <c r="F7599" s="1">
        <v>1331</v>
      </c>
    </row>
    <row r="7600" spans="1:6">
      <c r="A7600" t="s">
        <v>7569</v>
      </c>
      <c r="B7600" t="str">
        <f t="shared" si="306"/>
        <v>0.00024%</v>
      </c>
      <c r="C7600" t="s">
        <v>10</v>
      </c>
      <c r="D7600" t="s">
        <v>10</v>
      </c>
      <c r="E7600" t="str">
        <f>"$ 1,832"</f>
        <v>$ 1,832</v>
      </c>
      <c r="F7600">
        <v>181</v>
      </c>
    </row>
    <row r="7601" spans="1:6">
      <c r="A7601" t="s">
        <v>7570</v>
      </c>
      <c r="B7601" t="str">
        <f t="shared" si="306"/>
        <v>0.00024%</v>
      </c>
      <c r="C7601" t="s">
        <v>10</v>
      </c>
      <c r="D7601" t="s">
        <v>10</v>
      </c>
      <c r="E7601" t="str">
        <f>"$ 1,853"</f>
        <v>$ 1,853</v>
      </c>
      <c r="F7601" s="1">
        <v>2441</v>
      </c>
    </row>
    <row r="7602" spans="1:6">
      <c r="A7602" t="s">
        <v>7571</v>
      </c>
      <c r="B7602" t="str">
        <f t="shared" si="306"/>
        <v>0.00024%</v>
      </c>
      <c r="C7602" t="s">
        <v>10</v>
      </c>
      <c r="D7602" t="s">
        <v>10</v>
      </c>
      <c r="E7602" t="str">
        <f>"$ 1,851"</f>
        <v>$ 1,851</v>
      </c>
      <c r="F7602" s="1">
        <v>1166</v>
      </c>
    </row>
    <row r="7603" spans="1:6">
      <c r="A7603" t="s">
        <v>7572</v>
      </c>
      <c r="B7603" t="str">
        <f t="shared" si="306"/>
        <v>0.00024%</v>
      </c>
      <c r="C7603" t="s">
        <v>10</v>
      </c>
      <c r="D7603" t="s">
        <v>10</v>
      </c>
      <c r="E7603" t="str">
        <f>"$ 1,845"</f>
        <v>$ 1,845</v>
      </c>
      <c r="F7603" s="1">
        <v>3930</v>
      </c>
    </row>
    <row r="7604" spans="1:6">
      <c r="A7604" t="s">
        <v>7573</v>
      </c>
      <c r="B7604" t="str">
        <f t="shared" si="306"/>
        <v>0.00024%</v>
      </c>
      <c r="C7604" t="s">
        <v>10</v>
      </c>
      <c r="D7604" t="s">
        <v>10</v>
      </c>
      <c r="E7604" t="str">
        <f>"$ 1,874"</f>
        <v>$ 1,874</v>
      </c>
      <c r="F7604">
        <v>96</v>
      </c>
    </row>
    <row r="7605" spans="1:6">
      <c r="A7605" t="s">
        <v>7574</v>
      </c>
      <c r="B7605" t="str">
        <f t="shared" si="306"/>
        <v>0.00024%</v>
      </c>
      <c r="C7605" t="s">
        <v>10</v>
      </c>
      <c r="D7605" t="s">
        <v>10</v>
      </c>
      <c r="E7605" t="str">
        <f>"$ 1,841"</f>
        <v>$ 1,841</v>
      </c>
      <c r="F7605">
        <v>281</v>
      </c>
    </row>
    <row r="7606" spans="1:6">
      <c r="A7606" t="s">
        <v>7575</v>
      </c>
      <c r="B7606" t="str">
        <f t="shared" si="306"/>
        <v>0.00024%</v>
      </c>
      <c r="C7606" t="s">
        <v>10</v>
      </c>
      <c r="D7606" t="s">
        <v>10</v>
      </c>
      <c r="E7606" t="str">
        <f>"$ 1,865"</f>
        <v>$ 1,865</v>
      </c>
      <c r="F7606" s="1">
        <v>1078</v>
      </c>
    </row>
    <row r="7607" spans="1:6">
      <c r="A7607" t="s">
        <v>7576</v>
      </c>
      <c r="B7607" t="str">
        <f t="shared" si="306"/>
        <v>0.00024%</v>
      </c>
      <c r="C7607" t="s">
        <v>10</v>
      </c>
      <c r="D7607" t="s">
        <v>10</v>
      </c>
      <c r="E7607" t="str">
        <f>"$ 1,845"</f>
        <v>$ 1,845</v>
      </c>
      <c r="F7607">
        <v>271</v>
      </c>
    </row>
    <row r="7608" spans="1:6">
      <c r="A7608" t="s">
        <v>7577</v>
      </c>
      <c r="B7608" t="str">
        <f t="shared" si="306"/>
        <v>0.00024%</v>
      </c>
      <c r="C7608" t="s">
        <v>10</v>
      </c>
      <c r="D7608" t="s">
        <v>10</v>
      </c>
      <c r="E7608" t="str">
        <f>"$ 1,818"</f>
        <v>$ 1,818</v>
      </c>
      <c r="F7608">
        <v>89</v>
      </c>
    </row>
    <row r="7609" spans="1:6">
      <c r="A7609" t="s">
        <v>7578</v>
      </c>
      <c r="B7609" t="str">
        <f t="shared" ref="B7609:B7628" si="307">"0.00024%"</f>
        <v>0.00024%</v>
      </c>
      <c r="C7609" t="s">
        <v>10</v>
      </c>
      <c r="D7609" t="s">
        <v>10</v>
      </c>
      <c r="E7609" t="str">
        <f>"$ 1,829"</f>
        <v>$ 1,829</v>
      </c>
      <c r="F7609">
        <v>82</v>
      </c>
    </row>
    <row r="7610" spans="1:6">
      <c r="A7610" t="s">
        <v>7579</v>
      </c>
      <c r="B7610" t="str">
        <f t="shared" si="307"/>
        <v>0.00024%</v>
      </c>
      <c r="C7610" t="s">
        <v>10</v>
      </c>
      <c r="D7610" t="s">
        <v>10</v>
      </c>
      <c r="E7610" t="str">
        <f>"$ 1,855"</f>
        <v>$ 1,855</v>
      </c>
      <c r="F7610" s="1">
        <v>2455</v>
      </c>
    </row>
    <row r="7611" spans="1:6">
      <c r="A7611" t="s">
        <v>7580</v>
      </c>
      <c r="B7611" t="str">
        <f t="shared" si="307"/>
        <v>0.00024%</v>
      </c>
      <c r="C7611" t="s">
        <v>10</v>
      </c>
      <c r="D7611" t="s">
        <v>10</v>
      </c>
      <c r="E7611" t="str">
        <f>"$ 1,859"</f>
        <v>$ 1,859</v>
      </c>
      <c r="F7611">
        <v>164</v>
      </c>
    </row>
    <row r="7612" spans="1:6">
      <c r="A7612" t="s">
        <v>7581</v>
      </c>
      <c r="B7612" t="str">
        <f t="shared" si="307"/>
        <v>0.00024%</v>
      </c>
      <c r="C7612" t="s">
        <v>10</v>
      </c>
      <c r="D7612" t="s">
        <v>10</v>
      </c>
      <c r="E7612" t="str">
        <f>"$ 1,815"</f>
        <v>$ 1,815</v>
      </c>
      <c r="F7612">
        <v>59</v>
      </c>
    </row>
    <row r="7613" spans="1:6">
      <c r="A7613" t="s">
        <v>7582</v>
      </c>
      <c r="B7613" t="str">
        <f t="shared" si="307"/>
        <v>0.00024%</v>
      </c>
      <c r="C7613" t="s">
        <v>10</v>
      </c>
      <c r="D7613" t="s">
        <v>10</v>
      </c>
      <c r="E7613" t="str">
        <f>"$ 1,876"</f>
        <v>$ 1,876</v>
      </c>
      <c r="F7613" s="1">
        <v>1284</v>
      </c>
    </row>
    <row r="7614" spans="1:6">
      <c r="A7614" t="s">
        <v>7583</v>
      </c>
      <c r="B7614" t="str">
        <f t="shared" si="307"/>
        <v>0.00024%</v>
      </c>
      <c r="C7614" t="s">
        <v>10</v>
      </c>
      <c r="D7614" t="s">
        <v>10</v>
      </c>
      <c r="E7614" t="str">
        <f>"$ 1,851"</f>
        <v>$ 1,851</v>
      </c>
      <c r="F7614">
        <v>60</v>
      </c>
    </row>
    <row r="7615" spans="1:6">
      <c r="A7615" t="s">
        <v>7584</v>
      </c>
      <c r="B7615" t="str">
        <f t="shared" si="307"/>
        <v>0.00024%</v>
      </c>
      <c r="C7615" t="s">
        <v>10</v>
      </c>
      <c r="D7615" t="s">
        <v>10</v>
      </c>
      <c r="E7615" t="str">
        <f>"$ 1,838"</f>
        <v>$ 1,838</v>
      </c>
      <c r="F7615">
        <v>870</v>
      </c>
    </row>
    <row r="7616" spans="1:6">
      <c r="A7616" t="s">
        <v>7585</v>
      </c>
      <c r="B7616" t="str">
        <f t="shared" si="307"/>
        <v>0.00024%</v>
      </c>
      <c r="C7616" t="s">
        <v>10</v>
      </c>
      <c r="D7616" t="s">
        <v>10</v>
      </c>
      <c r="E7616" t="str">
        <f>"$ 1,884"</f>
        <v>$ 1,884</v>
      </c>
      <c r="F7616">
        <v>37</v>
      </c>
    </row>
    <row r="7617" spans="1:6">
      <c r="A7617" t="s">
        <v>7586</v>
      </c>
      <c r="B7617" t="str">
        <f t="shared" si="307"/>
        <v>0.00024%</v>
      </c>
      <c r="C7617" t="s">
        <v>10</v>
      </c>
      <c r="D7617" t="s">
        <v>10</v>
      </c>
      <c r="E7617" t="str">
        <f>"$ 1,885"</f>
        <v>$ 1,885</v>
      </c>
      <c r="F7617">
        <v>61</v>
      </c>
    </row>
    <row r="7618" spans="1:6">
      <c r="A7618" t="s">
        <v>7587</v>
      </c>
      <c r="B7618" t="str">
        <f t="shared" si="307"/>
        <v>0.00024%</v>
      </c>
      <c r="C7618" t="s">
        <v>10</v>
      </c>
      <c r="D7618" t="s">
        <v>10</v>
      </c>
      <c r="E7618" t="str">
        <f>"$ 1,887"</f>
        <v>$ 1,887</v>
      </c>
      <c r="F7618">
        <v>35</v>
      </c>
    </row>
    <row r="7619" spans="1:6">
      <c r="A7619" t="s">
        <v>7588</v>
      </c>
      <c r="B7619" t="str">
        <f t="shared" si="307"/>
        <v>0.00024%</v>
      </c>
      <c r="C7619" t="s">
        <v>10</v>
      </c>
      <c r="D7619" t="s">
        <v>10</v>
      </c>
      <c r="E7619" t="str">
        <f>"$ 1,881"</f>
        <v>$ 1,881</v>
      </c>
      <c r="F7619">
        <v>86</v>
      </c>
    </row>
    <row r="7620" spans="1:6">
      <c r="A7620" t="s">
        <v>7589</v>
      </c>
      <c r="B7620" t="str">
        <f t="shared" si="307"/>
        <v>0.00024%</v>
      </c>
      <c r="C7620" t="s">
        <v>10</v>
      </c>
      <c r="D7620" t="s">
        <v>10</v>
      </c>
      <c r="E7620" t="str">
        <f>"$ 1,864"</f>
        <v>$ 1,864</v>
      </c>
      <c r="F7620">
        <v>201</v>
      </c>
    </row>
    <row r="7621" spans="1:6">
      <c r="A7621" t="s">
        <v>7590</v>
      </c>
      <c r="B7621" t="str">
        <f t="shared" si="307"/>
        <v>0.00024%</v>
      </c>
      <c r="C7621" t="s">
        <v>10</v>
      </c>
      <c r="D7621" t="s">
        <v>10</v>
      </c>
      <c r="E7621" t="str">
        <f>"$ 1,886"</f>
        <v>$ 1,886</v>
      </c>
      <c r="F7621" s="1">
        <v>1887</v>
      </c>
    </row>
    <row r="7622" spans="1:6">
      <c r="A7622" t="s">
        <v>7591</v>
      </c>
      <c r="B7622" t="str">
        <f t="shared" si="307"/>
        <v>0.00024%</v>
      </c>
      <c r="C7622" t="s">
        <v>10</v>
      </c>
      <c r="D7622" t="s">
        <v>10</v>
      </c>
      <c r="E7622" t="str">
        <f>"$ 1,829"</f>
        <v>$ 1,829</v>
      </c>
      <c r="F7622">
        <v>59</v>
      </c>
    </row>
    <row r="7623" spans="1:6">
      <c r="A7623" t="s">
        <v>7592</v>
      </c>
      <c r="B7623" t="str">
        <f t="shared" si="307"/>
        <v>0.00024%</v>
      </c>
      <c r="C7623" t="s">
        <v>10</v>
      </c>
      <c r="D7623" t="s">
        <v>10</v>
      </c>
      <c r="E7623" t="str">
        <f>"$ 1,844"</f>
        <v>$ 1,844</v>
      </c>
      <c r="F7623" s="1">
        <v>4567</v>
      </c>
    </row>
    <row r="7624" spans="1:6">
      <c r="A7624" t="s">
        <v>7593</v>
      </c>
      <c r="B7624" t="str">
        <f t="shared" si="307"/>
        <v>0.00024%</v>
      </c>
      <c r="C7624" t="s">
        <v>10</v>
      </c>
      <c r="D7624" t="s">
        <v>10</v>
      </c>
      <c r="E7624" t="str">
        <f>"$ 1,857"</f>
        <v>$ 1,857</v>
      </c>
      <c r="F7624">
        <v>299</v>
      </c>
    </row>
    <row r="7625" spans="1:6">
      <c r="A7625" t="s">
        <v>7594</v>
      </c>
      <c r="B7625" t="str">
        <f t="shared" si="307"/>
        <v>0.00024%</v>
      </c>
      <c r="C7625" t="s">
        <v>10</v>
      </c>
      <c r="D7625" t="s">
        <v>10</v>
      </c>
      <c r="E7625" t="str">
        <f>"$ 1,873"</f>
        <v>$ 1,873</v>
      </c>
      <c r="F7625">
        <v>942</v>
      </c>
    </row>
    <row r="7626" spans="1:6">
      <c r="A7626" t="s">
        <v>7595</v>
      </c>
      <c r="B7626" t="str">
        <f t="shared" si="307"/>
        <v>0.00024%</v>
      </c>
      <c r="C7626" t="s">
        <v>10</v>
      </c>
      <c r="D7626" t="s">
        <v>10</v>
      </c>
      <c r="E7626" t="str">
        <f>"$ 1,836"</f>
        <v>$ 1,836</v>
      </c>
      <c r="F7626">
        <v>82</v>
      </c>
    </row>
    <row r="7627" spans="1:6">
      <c r="A7627" t="s">
        <v>7596</v>
      </c>
      <c r="B7627" t="str">
        <f t="shared" si="307"/>
        <v>0.00024%</v>
      </c>
      <c r="C7627" t="s">
        <v>10</v>
      </c>
      <c r="D7627" t="s">
        <v>10</v>
      </c>
      <c r="E7627" t="str">
        <f>"$ 1,827"</f>
        <v>$ 1,827</v>
      </c>
      <c r="F7627" s="1">
        <v>1810</v>
      </c>
    </row>
    <row r="7628" spans="1:6">
      <c r="A7628" t="s">
        <v>7597</v>
      </c>
      <c r="B7628" t="str">
        <f t="shared" si="307"/>
        <v>0.00024%</v>
      </c>
      <c r="C7628" t="s">
        <v>10</v>
      </c>
      <c r="D7628" t="s">
        <v>10</v>
      </c>
      <c r="E7628" t="str">
        <f>"$ 1,819"</f>
        <v>$ 1,819</v>
      </c>
      <c r="F7628">
        <v>33</v>
      </c>
    </row>
    <row r="7629" spans="1:6">
      <c r="A7629" t="s">
        <v>7598</v>
      </c>
      <c r="B7629" t="str">
        <f t="shared" ref="B7629:B7660" si="308">"0.00023%"</f>
        <v>0.00023%</v>
      </c>
      <c r="C7629" t="s">
        <v>10</v>
      </c>
      <c r="D7629" t="s">
        <v>10</v>
      </c>
      <c r="E7629" t="str">
        <f>"$ 1,762"</f>
        <v>$ 1,762</v>
      </c>
      <c r="F7629">
        <v>141</v>
      </c>
    </row>
    <row r="7630" spans="1:6">
      <c r="A7630" t="s">
        <v>7599</v>
      </c>
      <c r="B7630" t="str">
        <f t="shared" si="308"/>
        <v>0.00023%</v>
      </c>
      <c r="C7630" t="s">
        <v>10</v>
      </c>
      <c r="D7630" t="s">
        <v>10</v>
      </c>
      <c r="E7630" t="str">
        <f>"$ 1,812"</f>
        <v>$ 1,812</v>
      </c>
      <c r="F7630">
        <v>151</v>
      </c>
    </row>
    <row r="7631" spans="1:6">
      <c r="A7631" t="s">
        <v>7600</v>
      </c>
      <c r="B7631" t="str">
        <f t="shared" si="308"/>
        <v>0.00023%</v>
      </c>
      <c r="C7631" t="s">
        <v>10</v>
      </c>
      <c r="D7631" t="s">
        <v>10</v>
      </c>
      <c r="E7631" t="str">
        <f>"$ 1,795"</f>
        <v>$ 1,795</v>
      </c>
      <c r="F7631">
        <v>10</v>
      </c>
    </row>
    <row r="7632" spans="1:6">
      <c r="A7632" t="s">
        <v>7601</v>
      </c>
      <c r="B7632" t="str">
        <f t="shared" si="308"/>
        <v>0.00023%</v>
      </c>
      <c r="C7632" t="s">
        <v>10</v>
      </c>
      <c r="D7632" t="s">
        <v>10</v>
      </c>
      <c r="E7632" t="str">
        <f>"$ 1,785"</f>
        <v>$ 1,785</v>
      </c>
      <c r="F7632">
        <v>82</v>
      </c>
    </row>
    <row r="7633" spans="1:6">
      <c r="A7633" t="s">
        <v>7602</v>
      </c>
      <c r="B7633" t="str">
        <f t="shared" si="308"/>
        <v>0.00023%</v>
      </c>
      <c r="C7633" t="s">
        <v>10</v>
      </c>
      <c r="D7633" t="s">
        <v>10</v>
      </c>
      <c r="E7633" t="str">
        <f>"$ 1,758"</f>
        <v>$ 1,758</v>
      </c>
      <c r="F7633">
        <v>30</v>
      </c>
    </row>
    <row r="7634" spans="1:6">
      <c r="A7634" t="s">
        <v>7603</v>
      </c>
      <c r="B7634" t="str">
        <f t="shared" si="308"/>
        <v>0.00023%</v>
      </c>
      <c r="C7634" t="s">
        <v>10</v>
      </c>
      <c r="D7634" t="s">
        <v>10</v>
      </c>
      <c r="E7634" t="str">
        <f>"$ 1,744"</f>
        <v>$ 1,744</v>
      </c>
      <c r="F7634">
        <v>837</v>
      </c>
    </row>
    <row r="7635" spans="1:6">
      <c r="A7635" t="s">
        <v>7604</v>
      </c>
      <c r="B7635" t="str">
        <f t="shared" si="308"/>
        <v>0.00023%</v>
      </c>
      <c r="C7635" t="s">
        <v>10</v>
      </c>
      <c r="D7635" t="s">
        <v>10</v>
      </c>
      <c r="E7635" t="str">
        <f>"$ 1,809"</f>
        <v>$ 1,809</v>
      </c>
      <c r="F7635">
        <v>148</v>
      </c>
    </row>
    <row r="7636" spans="1:6">
      <c r="A7636" t="s">
        <v>7605</v>
      </c>
      <c r="B7636" t="str">
        <f t="shared" si="308"/>
        <v>0.00023%</v>
      </c>
      <c r="C7636" t="s">
        <v>10</v>
      </c>
      <c r="D7636" t="s">
        <v>10</v>
      </c>
      <c r="E7636" t="str">
        <f>"$ 1,772"</f>
        <v>$ 1,772</v>
      </c>
      <c r="F7636">
        <v>41</v>
      </c>
    </row>
    <row r="7637" spans="1:6">
      <c r="A7637" t="s">
        <v>7606</v>
      </c>
      <c r="B7637" t="str">
        <f t="shared" si="308"/>
        <v>0.00023%</v>
      </c>
      <c r="C7637" t="s">
        <v>10</v>
      </c>
      <c r="D7637" t="s">
        <v>10</v>
      </c>
      <c r="E7637" t="str">
        <f>"$ 1,785"</f>
        <v>$ 1,785</v>
      </c>
      <c r="F7637" s="1">
        <v>13836</v>
      </c>
    </row>
    <row r="7638" spans="1:6">
      <c r="A7638" t="s">
        <v>7607</v>
      </c>
      <c r="B7638" t="str">
        <f t="shared" si="308"/>
        <v>0.00023%</v>
      </c>
      <c r="C7638" t="s">
        <v>10</v>
      </c>
      <c r="D7638" t="s">
        <v>10</v>
      </c>
      <c r="E7638" t="str">
        <f>"$ 1,772"</f>
        <v>$ 1,772</v>
      </c>
      <c r="F7638" s="1">
        <v>1687</v>
      </c>
    </row>
    <row r="7639" spans="1:6">
      <c r="A7639" t="s">
        <v>7608</v>
      </c>
      <c r="B7639" t="str">
        <f t="shared" si="308"/>
        <v>0.00023%</v>
      </c>
      <c r="C7639" t="s">
        <v>10</v>
      </c>
      <c r="D7639" t="s">
        <v>10</v>
      </c>
      <c r="E7639" t="str">
        <f>"$ 1,775"</f>
        <v>$ 1,775</v>
      </c>
      <c r="F7639" s="1">
        <v>4103</v>
      </c>
    </row>
    <row r="7640" spans="1:6">
      <c r="A7640" t="s">
        <v>7609</v>
      </c>
      <c r="B7640" t="str">
        <f t="shared" si="308"/>
        <v>0.00023%</v>
      </c>
      <c r="C7640" t="s">
        <v>10</v>
      </c>
      <c r="D7640" t="s">
        <v>10</v>
      </c>
      <c r="E7640" t="str">
        <f>"$ 1,794"</f>
        <v>$ 1,794</v>
      </c>
      <c r="F7640">
        <v>393</v>
      </c>
    </row>
    <row r="7641" spans="1:6">
      <c r="A7641" t="s">
        <v>7610</v>
      </c>
      <c r="B7641" t="str">
        <f t="shared" si="308"/>
        <v>0.00023%</v>
      </c>
      <c r="C7641" t="s">
        <v>10</v>
      </c>
      <c r="D7641" t="s">
        <v>10</v>
      </c>
      <c r="E7641" t="str">
        <f>"$ 1,778"</f>
        <v>$ 1,778</v>
      </c>
      <c r="F7641">
        <v>561</v>
      </c>
    </row>
    <row r="7642" spans="1:6">
      <c r="A7642" t="s">
        <v>7611</v>
      </c>
      <c r="B7642" t="str">
        <f t="shared" si="308"/>
        <v>0.00023%</v>
      </c>
      <c r="C7642" t="s">
        <v>10</v>
      </c>
      <c r="D7642" t="s">
        <v>10</v>
      </c>
      <c r="E7642" t="str">
        <f>"$ 1,785"</f>
        <v>$ 1,785</v>
      </c>
      <c r="F7642">
        <v>225</v>
      </c>
    </row>
    <row r="7643" spans="1:6">
      <c r="A7643" t="s">
        <v>7612</v>
      </c>
      <c r="B7643" t="str">
        <f t="shared" si="308"/>
        <v>0.00023%</v>
      </c>
      <c r="C7643" t="s">
        <v>10</v>
      </c>
      <c r="D7643" t="s">
        <v>10</v>
      </c>
      <c r="E7643" t="str">
        <f>"$ 1,790"</f>
        <v>$ 1,790</v>
      </c>
      <c r="F7643">
        <v>148</v>
      </c>
    </row>
    <row r="7644" spans="1:6">
      <c r="A7644" t="s">
        <v>7613</v>
      </c>
      <c r="B7644" t="str">
        <f t="shared" si="308"/>
        <v>0.00023%</v>
      </c>
      <c r="C7644" t="s">
        <v>10</v>
      </c>
      <c r="D7644" t="s">
        <v>10</v>
      </c>
      <c r="E7644" t="str">
        <f>"$ 1,742"</f>
        <v>$ 1,742</v>
      </c>
      <c r="F7644">
        <v>66</v>
      </c>
    </row>
    <row r="7645" spans="1:6">
      <c r="A7645" t="s">
        <v>7614</v>
      </c>
      <c r="B7645" t="str">
        <f t="shared" si="308"/>
        <v>0.00023%</v>
      </c>
      <c r="C7645" t="s">
        <v>10</v>
      </c>
      <c r="D7645" t="s">
        <v>10</v>
      </c>
      <c r="E7645" t="str">
        <f>"$ 1,739"</f>
        <v>$ 1,739</v>
      </c>
      <c r="F7645">
        <v>115</v>
      </c>
    </row>
    <row r="7646" spans="1:6">
      <c r="A7646" t="s">
        <v>7615</v>
      </c>
      <c r="B7646" t="str">
        <f t="shared" si="308"/>
        <v>0.00023%</v>
      </c>
      <c r="C7646" t="s">
        <v>10</v>
      </c>
      <c r="D7646" t="s">
        <v>10</v>
      </c>
      <c r="E7646" t="str">
        <f>"$ 1,793"</f>
        <v>$ 1,793</v>
      </c>
      <c r="F7646">
        <v>65</v>
      </c>
    </row>
    <row r="7647" spans="1:6">
      <c r="A7647" t="s">
        <v>7616</v>
      </c>
      <c r="B7647" t="str">
        <f t="shared" si="308"/>
        <v>0.00023%</v>
      </c>
      <c r="C7647" t="s">
        <v>10</v>
      </c>
      <c r="D7647" t="s">
        <v>10</v>
      </c>
      <c r="E7647" t="str">
        <f>"$ 1,743"</f>
        <v>$ 1,743</v>
      </c>
      <c r="F7647">
        <v>49</v>
      </c>
    </row>
    <row r="7648" spans="1:6">
      <c r="A7648" t="s">
        <v>7617</v>
      </c>
      <c r="B7648" t="str">
        <f t="shared" si="308"/>
        <v>0.00023%</v>
      </c>
      <c r="C7648" t="s">
        <v>10</v>
      </c>
      <c r="D7648" t="s">
        <v>10</v>
      </c>
      <c r="E7648" t="str">
        <f>"$ 1,786"</f>
        <v>$ 1,786</v>
      </c>
      <c r="F7648">
        <v>375</v>
      </c>
    </row>
    <row r="7649" spans="1:6">
      <c r="A7649" t="s">
        <v>7618</v>
      </c>
      <c r="B7649" t="str">
        <f t="shared" si="308"/>
        <v>0.00023%</v>
      </c>
      <c r="C7649" t="s">
        <v>10</v>
      </c>
      <c r="D7649" t="s">
        <v>10</v>
      </c>
      <c r="E7649" t="str">
        <f>"$ 1,781"</f>
        <v>$ 1,781</v>
      </c>
      <c r="F7649">
        <v>320</v>
      </c>
    </row>
    <row r="7650" spans="1:6">
      <c r="A7650" t="s">
        <v>7619</v>
      </c>
      <c r="B7650" t="str">
        <f t="shared" si="308"/>
        <v>0.00023%</v>
      </c>
      <c r="C7650" t="s">
        <v>10</v>
      </c>
      <c r="D7650" t="s">
        <v>10</v>
      </c>
      <c r="E7650" t="str">
        <f>"$ 1,780"</f>
        <v>$ 1,780</v>
      </c>
      <c r="F7650">
        <v>17</v>
      </c>
    </row>
    <row r="7651" spans="1:6">
      <c r="A7651" t="s">
        <v>7620</v>
      </c>
      <c r="B7651" t="str">
        <f t="shared" si="308"/>
        <v>0.00023%</v>
      </c>
      <c r="C7651" t="s">
        <v>10</v>
      </c>
      <c r="D7651" t="s">
        <v>10</v>
      </c>
      <c r="E7651" t="str">
        <f>"$ 1,785"</f>
        <v>$ 1,785</v>
      </c>
      <c r="F7651">
        <v>105</v>
      </c>
    </row>
    <row r="7652" spans="1:6">
      <c r="A7652" t="s">
        <v>7621</v>
      </c>
      <c r="B7652" t="str">
        <f t="shared" si="308"/>
        <v>0.00023%</v>
      </c>
      <c r="C7652" t="s">
        <v>10</v>
      </c>
      <c r="D7652" t="s">
        <v>10</v>
      </c>
      <c r="E7652" t="str">
        <f>"$ 1,768"</f>
        <v>$ 1,768</v>
      </c>
      <c r="F7652">
        <v>504</v>
      </c>
    </row>
    <row r="7653" spans="1:6">
      <c r="A7653" t="s">
        <v>7622</v>
      </c>
      <c r="B7653" t="str">
        <f t="shared" si="308"/>
        <v>0.00023%</v>
      </c>
      <c r="C7653" t="s">
        <v>10</v>
      </c>
      <c r="D7653" t="s">
        <v>10</v>
      </c>
      <c r="E7653" t="str">
        <f>"$ 1,769"</f>
        <v>$ 1,769</v>
      </c>
      <c r="F7653">
        <v>82</v>
      </c>
    </row>
    <row r="7654" spans="1:6">
      <c r="A7654" t="s">
        <v>7623</v>
      </c>
      <c r="B7654" t="str">
        <f t="shared" si="308"/>
        <v>0.00023%</v>
      </c>
      <c r="C7654" t="s">
        <v>10</v>
      </c>
      <c r="D7654" t="s">
        <v>10</v>
      </c>
      <c r="E7654" t="str">
        <f>"$ 1,808"</f>
        <v>$ 1,808</v>
      </c>
      <c r="F7654">
        <v>214</v>
      </c>
    </row>
    <row r="7655" spans="1:6">
      <c r="A7655" t="s">
        <v>7624</v>
      </c>
      <c r="B7655" t="str">
        <f t="shared" si="308"/>
        <v>0.00023%</v>
      </c>
      <c r="C7655" t="s">
        <v>10</v>
      </c>
      <c r="D7655" t="s">
        <v>10</v>
      </c>
      <c r="E7655" t="str">
        <f>"$ 1,779"</f>
        <v>$ 1,779</v>
      </c>
      <c r="F7655" s="1">
        <v>1076</v>
      </c>
    </row>
    <row r="7656" spans="1:6">
      <c r="A7656" t="s">
        <v>7625</v>
      </c>
      <c r="B7656" t="str">
        <f t="shared" si="308"/>
        <v>0.00023%</v>
      </c>
      <c r="C7656" t="s">
        <v>10</v>
      </c>
      <c r="D7656" t="s">
        <v>10</v>
      </c>
      <c r="E7656" t="str">
        <f>"$ 1,743"</f>
        <v>$ 1,743</v>
      </c>
      <c r="F7656">
        <v>92</v>
      </c>
    </row>
    <row r="7657" spans="1:6">
      <c r="A7657" t="s">
        <v>7626</v>
      </c>
      <c r="B7657" t="str">
        <f t="shared" si="308"/>
        <v>0.00023%</v>
      </c>
      <c r="C7657" t="s">
        <v>10</v>
      </c>
      <c r="D7657" t="s">
        <v>10</v>
      </c>
      <c r="E7657" t="str">
        <f>"$ 1,811"</f>
        <v>$ 1,811</v>
      </c>
      <c r="F7657" s="1">
        <v>1621</v>
      </c>
    </row>
    <row r="7658" spans="1:6">
      <c r="A7658" t="s">
        <v>7627</v>
      </c>
      <c r="B7658" t="str">
        <f t="shared" si="308"/>
        <v>0.00023%</v>
      </c>
      <c r="C7658" t="s">
        <v>10</v>
      </c>
      <c r="D7658" t="s">
        <v>10</v>
      </c>
      <c r="E7658" t="str">
        <f>"$ 1,796"</f>
        <v>$ 1,796</v>
      </c>
      <c r="F7658">
        <v>34</v>
      </c>
    </row>
    <row r="7659" spans="1:6">
      <c r="A7659" t="s">
        <v>7628</v>
      </c>
      <c r="B7659" t="str">
        <f t="shared" si="308"/>
        <v>0.00023%</v>
      </c>
      <c r="C7659" t="s">
        <v>10</v>
      </c>
      <c r="D7659" t="s">
        <v>10</v>
      </c>
      <c r="E7659" t="str">
        <f>"$ 1,765"</f>
        <v>$ 1,765</v>
      </c>
      <c r="F7659" s="1">
        <v>8777</v>
      </c>
    </row>
    <row r="7660" spans="1:6">
      <c r="A7660" t="s">
        <v>7629</v>
      </c>
      <c r="B7660" t="str">
        <f t="shared" si="308"/>
        <v>0.00023%</v>
      </c>
      <c r="C7660" t="s">
        <v>10</v>
      </c>
      <c r="D7660" t="s">
        <v>10</v>
      </c>
      <c r="E7660" t="str">
        <f>"$ 1,756"</f>
        <v>$ 1,756</v>
      </c>
      <c r="F7660">
        <v>612</v>
      </c>
    </row>
    <row r="7661" spans="1:6">
      <c r="A7661" t="s">
        <v>7630</v>
      </c>
      <c r="B7661" t="str">
        <f t="shared" ref="B7661:B7692" si="309">"0.00023%"</f>
        <v>0.00023%</v>
      </c>
      <c r="C7661" t="s">
        <v>10</v>
      </c>
      <c r="D7661" t="s">
        <v>10</v>
      </c>
      <c r="E7661" t="str">
        <f>"$ 1,767"</f>
        <v>$ 1,767</v>
      </c>
      <c r="F7661">
        <v>33</v>
      </c>
    </row>
    <row r="7662" spans="1:6">
      <c r="A7662" t="s">
        <v>7631</v>
      </c>
      <c r="B7662" t="str">
        <f t="shared" si="309"/>
        <v>0.00023%</v>
      </c>
      <c r="C7662" t="s">
        <v>10</v>
      </c>
      <c r="D7662" t="s">
        <v>10</v>
      </c>
      <c r="E7662" t="str">
        <f>"$ 1,790"</f>
        <v>$ 1,790</v>
      </c>
      <c r="F7662">
        <v>639</v>
      </c>
    </row>
    <row r="7663" spans="1:6">
      <c r="A7663" t="s">
        <v>7632</v>
      </c>
      <c r="B7663" t="str">
        <f t="shared" si="309"/>
        <v>0.00023%</v>
      </c>
      <c r="C7663" t="s">
        <v>10</v>
      </c>
      <c r="D7663" t="s">
        <v>10</v>
      </c>
      <c r="E7663" t="str">
        <f>"$ 1,811"</f>
        <v>$ 1,811</v>
      </c>
      <c r="F7663">
        <v>39</v>
      </c>
    </row>
    <row r="7664" spans="1:6">
      <c r="A7664" t="s">
        <v>7633</v>
      </c>
      <c r="B7664" t="str">
        <f t="shared" si="309"/>
        <v>0.00023%</v>
      </c>
      <c r="C7664" t="s">
        <v>10</v>
      </c>
      <c r="D7664" t="s">
        <v>10</v>
      </c>
      <c r="E7664" t="str">
        <f>"$ 1,803"</f>
        <v>$ 1,803</v>
      </c>
      <c r="F7664">
        <v>187</v>
      </c>
    </row>
    <row r="7665" spans="1:6">
      <c r="A7665" t="s">
        <v>7634</v>
      </c>
      <c r="B7665" t="str">
        <f t="shared" si="309"/>
        <v>0.00023%</v>
      </c>
      <c r="C7665" t="s">
        <v>10</v>
      </c>
      <c r="D7665" t="s">
        <v>10</v>
      </c>
      <c r="E7665" t="str">
        <f>"$ 1,759"</f>
        <v>$ 1,759</v>
      </c>
      <c r="F7665">
        <v>73</v>
      </c>
    </row>
    <row r="7666" spans="1:6">
      <c r="A7666" t="s">
        <v>7635</v>
      </c>
      <c r="B7666" t="str">
        <f t="shared" si="309"/>
        <v>0.00023%</v>
      </c>
      <c r="C7666" t="s">
        <v>10</v>
      </c>
      <c r="D7666" t="s">
        <v>10</v>
      </c>
      <c r="E7666" t="str">
        <f>"$ 1,750"</f>
        <v>$ 1,750</v>
      </c>
      <c r="F7666">
        <v>315</v>
      </c>
    </row>
    <row r="7667" spans="1:6">
      <c r="A7667" t="s">
        <v>7636</v>
      </c>
      <c r="B7667" t="str">
        <f t="shared" si="309"/>
        <v>0.00023%</v>
      </c>
      <c r="C7667" t="s">
        <v>10</v>
      </c>
      <c r="D7667" t="s">
        <v>10</v>
      </c>
      <c r="E7667" t="str">
        <f>"$ 1,790"</f>
        <v>$ 1,790</v>
      </c>
      <c r="F7667">
        <v>193</v>
      </c>
    </row>
    <row r="7668" spans="1:6">
      <c r="A7668" t="s">
        <v>7637</v>
      </c>
      <c r="B7668" t="str">
        <f t="shared" si="309"/>
        <v>0.00023%</v>
      </c>
      <c r="C7668" t="s">
        <v>10</v>
      </c>
      <c r="D7668" t="s">
        <v>10</v>
      </c>
      <c r="E7668" t="str">
        <f>"$ 1,741"</f>
        <v>$ 1,741</v>
      </c>
      <c r="F7668">
        <v>126</v>
      </c>
    </row>
    <row r="7669" spans="1:6">
      <c r="A7669" t="s">
        <v>7638</v>
      </c>
      <c r="B7669" t="str">
        <f t="shared" si="309"/>
        <v>0.00023%</v>
      </c>
      <c r="C7669" t="s">
        <v>10</v>
      </c>
      <c r="D7669" t="s">
        <v>10</v>
      </c>
      <c r="E7669" t="str">
        <f>"$ 1,767"</f>
        <v>$ 1,767</v>
      </c>
      <c r="F7669">
        <v>66</v>
      </c>
    </row>
    <row r="7670" spans="1:6">
      <c r="A7670" t="s">
        <v>7639</v>
      </c>
      <c r="B7670" t="str">
        <f t="shared" si="309"/>
        <v>0.00023%</v>
      </c>
      <c r="C7670" t="s">
        <v>10</v>
      </c>
      <c r="D7670" t="s">
        <v>10</v>
      </c>
      <c r="E7670" t="str">
        <f>"$ 1,768"</f>
        <v>$ 1,768</v>
      </c>
      <c r="F7670">
        <v>79</v>
      </c>
    </row>
    <row r="7671" spans="1:6">
      <c r="A7671" t="s">
        <v>7640</v>
      </c>
      <c r="B7671" t="str">
        <f t="shared" si="309"/>
        <v>0.00023%</v>
      </c>
      <c r="C7671" t="s">
        <v>10</v>
      </c>
      <c r="D7671" t="s">
        <v>10</v>
      </c>
      <c r="E7671" t="str">
        <f>"$ 1,765"</f>
        <v>$ 1,765</v>
      </c>
      <c r="F7671">
        <v>165</v>
      </c>
    </row>
    <row r="7672" spans="1:6">
      <c r="A7672" t="s">
        <v>7641</v>
      </c>
      <c r="B7672" t="str">
        <f t="shared" si="309"/>
        <v>0.00023%</v>
      </c>
      <c r="C7672" t="s">
        <v>10</v>
      </c>
      <c r="D7672" t="s">
        <v>10</v>
      </c>
      <c r="E7672" t="str">
        <f>"$ 1,753"</f>
        <v>$ 1,753</v>
      </c>
      <c r="F7672">
        <v>82</v>
      </c>
    </row>
    <row r="7673" spans="1:6">
      <c r="A7673" t="s">
        <v>7642</v>
      </c>
      <c r="B7673" t="str">
        <f t="shared" si="309"/>
        <v>0.00023%</v>
      </c>
      <c r="C7673" t="s">
        <v>10</v>
      </c>
      <c r="D7673" t="s">
        <v>10</v>
      </c>
      <c r="E7673" t="str">
        <f>"$ 1,807"</f>
        <v>$ 1,807</v>
      </c>
      <c r="F7673" s="1">
        <v>1182</v>
      </c>
    </row>
    <row r="7674" spans="1:6">
      <c r="A7674" t="s">
        <v>7643</v>
      </c>
      <c r="B7674" t="str">
        <f t="shared" si="309"/>
        <v>0.00023%</v>
      </c>
      <c r="C7674" t="s">
        <v>10</v>
      </c>
      <c r="D7674" t="s">
        <v>10</v>
      </c>
      <c r="E7674" t="str">
        <f>"$ 1,754"</f>
        <v>$ 1,754</v>
      </c>
      <c r="F7674" s="1">
        <v>1268</v>
      </c>
    </row>
    <row r="7675" spans="1:6">
      <c r="A7675" t="s">
        <v>7644</v>
      </c>
      <c r="B7675" t="str">
        <f t="shared" si="309"/>
        <v>0.00023%</v>
      </c>
      <c r="C7675" t="s">
        <v>10</v>
      </c>
      <c r="D7675" t="s">
        <v>10</v>
      </c>
      <c r="E7675" t="str">
        <f>"$ 1,779"</f>
        <v>$ 1,779</v>
      </c>
      <c r="F7675">
        <v>148</v>
      </c>
    </row>
    <row r="7676" spans="1:6">
      <c r="A7676" t="s">
        <v>7645</v>
      </c>
      <c r="B7676" t="str">
        <f t="shared" si="309"/>
        <v>0.00023%</v>
      </c>
      <c r="C7676" t="s">
        <v>10</v>
      </c>
      <c r="D7676" t="s">
        <v>10</v>
      </c>
      <c r="E7676" t="str">
        <f>"$ 1,750"</f>
        <v>$ 1,750</v>
      </c>
      <c r="F7676">
        <v>654</v>
      </c>
    </row>
    <row r="7677" spans="1:6">
      <c r="A7677" t="s">
        <v>7646</v>
      </c>
      <c r="B7677" t="str">
        <f t="shared" si="309"/>
        <v>0.00023%</v>
      </c>
      <c r="C7677" t="s">
        <v>10</v>
      </c>
      <c r="D7677" t="s">
        <v>10</v>
      </c>
      <c r="E7677" t="str">
        <f>"$ 1,806"</f>
        <v>$ 1,806</v>
      </c>
      <c r="F7677" s="1">
        <v>3959</v>
      </c>
    </row>
    <row r="7678" spans="1:6">
      <c r="A7678" t="s">
        <v>7647</v>
      </c>
      <c r="B7678" t="str">
        <f t="shared" si="309"/>
        <v>0.00023%</v>
      </c>
      <c r="C7678" t="s">
        <v>10</v>
      </c>
      <c r="D7678" t="s">
        <v>10</v>
      </c>
      <c r="E7678" t="str">
        <f>"$ 1,809"</f>
        <v>$ 1,809</v>
      </c>
      <c r="F7678">
        <v>99</v>
      </c>
    </row>
    <row r="7679" spans="1:6">
      <c r="A7679" t="s">
        <v>7648</v>
      </c>
      <c r="B7679" t="str">
        <f t="shared" si="309"/>
        <v>0.00023%</v>
      </c>
      <c r="C7679" t="s">
        <v>10</v>
      </c>
      <c r="D7679" t="s">
        <v>10</v>
      </c>
      <c r="E7679" t="str">
        <f>"$ 1,809"</f>
        <v>$ 1,809</v>
      </c>
      <c r="F7679">
        <v>165</v>
      </c>
    </row>
    <row r="7680" spans="1:6">
      <c r="A7680" t="s">
        <v>7649</v>
      </c>
      <c r="B7680" t="str">
        <f t="shared" si="309"/>
        <v>0.00023%</v>
      </c>
      <c r="C7680" t="s">
        <v>10</v>
      </c>
      <c r="D7680" t="s">
        <v>10</v>
      </c>
      <c r="E7680" t="str">
        <f>"$ 1,740"</f>
        <v>$ 1,740</v>
      </c>
      <c r="F7680" s="1">
        <v>1127</v>
      </c>
    </row>
    <row r="7681" spans="1:6">
      <c r="A7681" t="s">
        <v>7650</v>
      </c>
      <c r="B7681" t="str">
        <f t="shared" si="309"/>
        <v>0.00023%</v>
      </c>
      <c r="C7681" t="s">
        <v>10</v>
      </c>
      <c r="D7681" t="s">
        <v>10</v>
      </c>
      <c r="E7681" t="str">
        <f>"$ 1,760"</f>
        <v>$ 1,760</v>
      </c>
      <c r="F7681">
        <v>780</v>
      </c>
    </row>
    <row r="7682" spans="1:6">
      <c r="A7682" t="s">
        <v>7651</v>
      </c>
      <c r="B7682" t="str">
        <f t="shared" si="309"/>
        <v>0.00023%</v>
      </c>
      <c r="C7682" t="s">
        <v>10</v>
      </c>
      <c r="D7682" t="s">
        <v>10</v>
      </c>
      <c r="E7682" t="str">
        <f>"$ 1,749"</f>
        <v>$ 1,749</v>
      </c>
      <c r="F7682">
        <v>830</v>
      </c>
    </row>
    <row r="7683" spans="1:6">
      <c r="A7683" t="s">
        <v>7652</v>
      </c>
      <c r="B7683" t="str">
        <f t="shared" si="309"/>
        <v>0.00023%</v>
      </c>
      <c r="C7683" t="s">
        <v>10</v>
      </c>
      <c r="D7683" t="s">
        <v>10</v>
      </c>
      <c r="E7683" t="str">
        <f>"$ 1,771"</f>
        <v>$ 1,771</v>
      </c>
      <c r="F7683">
        <v>316</v>
      </c>
    </row>
    <row r="7684" spans="1:6">
      <c r="A7684" t="s">
        <v>7653</v>
      </c>
      <c r="B7684" t="str">
        <f t="shared" si="309"/>
        <v>0.00023%</v>
      </c>
      <c r="C7684" t="s">
        <v>10</v>
      </c>
      <c r="D7684" t="s">
        <v>10</v>
      </c>
      <c r="E7684" t="str">
        <f>"$ 1,743"</f>
        <v>$ 1,743</v>
      </c>
      <c r="F7684">
        <v>621</v>
      </c>
    </row>
    <row r="7685" spans="1:6">
      <c r="A7685" t="s">
        <v>7654</v>
      </c>
      <c r="B7685" t="str">
        <f t="shared" si="309"/>
        <v>0.00023%</v>
      </c>
      <c r="C7685" t="s">
        <v>10</v>
      </c>
      <c r="D7685" t="s">
        <v>10</v>
      </c>
      <c r="E7685" t="str">
        <f>"$ 1,806"</f>
        <v>$ 1,806</v>
      </c>
      <c r="F7685">
        <v>67</v>
      </c>
    </row>
    <row r="7686" spans="1:6">
      <c r="A7686" t="s">
        <v>7655</v>
      </c>
      <c r="B7686" t="str">
        <f t="shared" si="309"/>
        <v>0.00023%</v>
      </c>
      <c r="C7686" t="s">
        <v>10</v>
      </c>
      <c r="D7686" t="s">
        <v>10</v>
      </c>
      <c r="E7686" t="str">
        <f>"$ 1,773"</f>
        <v>$ 1,773</v>
      </c>
      <c r="F7686">
        <v>16</v>
      </c>
    </row>
    <row r="7687" spans="1:6">
      <c r="A7687" t="s">
        <v>7656</v>
      </c>
      <c r="B7687" t="str">
        <f t="shared" si="309"/>
        <v>0.00023%</v>
      </c>
      <c r="C7687" t="s">
        <v>10</v>
      </c>
      <c r="D7687" t="s">
        <v>10</v>
      </c>
      <c r="E7687" t="str">
        <f>"$ 1,768"</f>
        <v>$ 1,768</v>
      </c>
      <c r="F7687">
        <v>66</v>
      </c>
    </row>
    <row r="7688" spans="1:6">
      <c r="A7688" t="s">
        <v>7657</v>
      </c>
      <c r="B7688" t="str">
        <f t="shared" si="309"/>
        <v>0.00023%</v>
      </c>
      <c r="C7688" t="s">
        <v>10</v>
      </c>
      <c r="D7688" t="s">
        <v>10</v>
      </c>
      <c r="E7688" t="str">
        <f>"$ 1,752"</f>
        <v>$ 1,752</v>
      </c>
      <c r="F7688">
        <v>370</v>
      </c>
    </row>
    <row r="7689" spans="1:6">
      <c r="A7689" t="s">
        <v>7658</v>
      </c>
      <c r="B7689" t="str">
        <f t="shared" si="309"/>
        <v>0.00023%</v>
      </c>
      <c r="C7689" t="s">
        <v>10</v>
      </c>
      <c r="D7689" t="s">
        <v>10</v>
      </c>
      <c r="E7689" t="str">
        <f>"$ 1,794"</f>
        <v>$ 1,794</v>
      </c>
      <c r="F7689" s="1">
        <v>38616</v>
      </c>
    </row>
    <row r="7690" spans="1:6">
      <c r="A7690" t="s">
        <v>7659</v>
      </c>
      <c r="B7690" t="str">
        <f t="shared" si="309"/>
        <v>0.00023%</v>
      </c>
      <c r="C7690" t="s">
        <v>10</v>
      </c>
      <c r="D7690" t="s">
        <v>10</v>
      </c>
      <c r="E7690" t="str">
        <f>"$ 1,788"</f>
        <v>$ 1,788</v>
      </c>
      <c r="F7690" s="1">
        <v>27195</v>
      </c>
    </row>
    <row r="7691" spans="1:6">
      <c r="A7691" t="s">
        <v>7660</v>
      </c>
      <c r="B7691" t="str">
        <f t="shared" si="309"/>
        <v>0.00023%</v>
      </c>
      <c r="C7691" t="s">
        <v>10</v>
      </c>
      <c r="D7691" t="s">
        <v>10</v>
      </c>
      <c r="E7691" t="str">
        <f>"$ 1,785"</f>
        <v>$ 1,785</v>
      </c>
      <c r="F7691">
        <v>165</v>
      </c>
    </row>
    <row r="7692" spans="1:6">
      <c r="A7692" t="s">
        <v>7661</v>
      </c>
      <c r="B7692" t="str">
        <f t="shared" si="309"/>
        <v>0.00023%</v>
      </c>
      <c r="C7692" t="s">
        <v>10</v>
      </c>
      <c r="D7692" t="s">
        <v>10</v>
      </c>
      <c r="E7692" t="str">
        <f>"$ 1,787"</f>
        <v>$ 1,787</v>
      </c>
      <c r="F7692">
        <v>43</v>
      </c>
    </row>
    <row r="7693" spans="1:6">
      <c r="A7693" t="s">
        <v>7662</v>
      </c>
      <c r="B7693" t="str">
        <f t="shared" ref="B7693:B7720" si="310">"0.00023%"</f>
        <v>0.00023%</v>
      </c>
      <c r="C7693" t="s">
        <v>10</v>
      </c>
      <c r="D7693" t="s">
        <v>10</v>
      </c>
      <c r="E7693" t="str">
        <f>"$ 1,748"</f>
        <v>$ 1,748</v>
      </c>
      <c r="F7693">
        <v>66</v>
      </c>
    </row>
    <row r="7694" spans="1:6">
      <c r="A7694" t="s">
        <v>7663</v>
      </c>
      <c r="B7694" t="str">
        <f t="shared" si="310"/>
        <v>0.00023%</v>
      </c>
      <c r="C7694" t="s">
        <v>10</v>
      </c>
      <c r="D7694" t="s">
        <v>10</v>
      </c>
      <c r="E7694" t="str">
        <f>"$ 1,763"</f>
        <v>$ 1,763</v>
      </c>
      <c r="F7694" s="1">
        <v>1384</v>
      </c>
    </row>
    <row r="7695" spans="1:6">
      <c r="A7695" t="s">
        <v>6623</v>
      </c>
      <c r="B7695" t="str">
        <f t="shared" si="310"/>
        <v>0.00023%</v>
      </c>
      <c r="C7695" t="s">
        <v>10</v>
      </c>
      <c r="D7695" t="s">
        <v>10</v>
      </c>
      <c r="E7695" t="str">
        <f>"$ 1,796"</f>
        <v>$ 1,796</v>
      </c>
      <c r="F7695" s="1">
        <v>1125</v>
      </c>
    </row>
    <row r="7696" spans="1:6">
      <c r="A7696" t="s">
        <v>7664</v>
      </c>
      <c r="B7696" t="str">
        <f t="shared" si="310"/>
        <v>0.00023%</v>
      </c>
      <c r="C7696" t="s">
        <v>10</v>
      </c>
      <c r="D7696" t="s">
        <v>10</v>
      </c>
      <c r="E7696" t="str">
        <f>"$ 1,812"</f>
        <v>$ 1,812</v>
      </c>
      <c r="F7696">
        <v>64</v>
      </c>
    </row>
    <row r="7697" spans="1:6">
      <c r="A7697" t="s">
        <v>7665</v>
      </c>
      <c r="B7697" t="str">
        <f t="shared" si="310"/>
        <v>0.00023%</v>
      </c>
      <c r="C7697" t="s">
        <v>10</v>
      </c>
      <c r="D7697" t="s">
        <v>10</v>
      </c>
      <c r="E7697" t="str">
        <f>"$ 1,814"</f>
        <v>$ 1,814</v>
      </c>
      <c r="F7697">
        <v>131</v>
      </c>
    </row>
    <row r="7698" spans="1:6">
      <c r="A7698" t="s">
        <v>7666</v>
      </c>
      <c r="B7698" t="str">
        <f t="shared" si="310"/>
        <v>0.00023%</v>
      </c>
      <c r="C7698" t="s">
        <v>10</v>
      </c>
      <c r="D7698" t="s">
        <v>10</v>
      </c>
      <c r="E7698" t="str">
        <f>"$ 1,802"</f>
        <v>$ 1,802</v>
      </c>
      <c r="F7698">
        <v>457</v>
      </c>
    </row>
    <row r="7699" spans="1:6">
      <c r="A7699" t="s">
        <v>7667</v>
      </c>
      <c r="B7699" t="str">
        <f t="shared" si="310"/>
        <v>0.00023%</v>
      </c>
      <c r="C7699" t="s">
        <v>10</v>
      </c>
      <c r="D7699" t="s">
        <v>10</v>
      </c>
      <c r="E7699" t="str">
        <f>"$ 1,776"</f>
        <v>$ 1,776</v>
      </c>
      <c r="F7699">
        <v>12</v>
      </c>
    </row>
    <row r="7700" spans="1:6">
      <c r="A7700" t="s">
        <v>7668</v>
      </c>
      <c r="B7700" t="str">
        <f t="shared" si="310"/>
        <v>0.00023%</v>
      </c>
      <c r="C7700" t="s">
        <v>10</v>
      </c>
      <c r="D7700" t="s">
        <v>10</v>
      </c>
      <c r="E7700" t="str">
        <f>"$ 1,792"</f>
        <v>$ 1,792</v>
      </c>
      <c r="F7700" s="1">
        <v>18719</v>
      </c>
    </row>
    <row r="7701" spans="1:6">
      <c r="A7701" t="s">
        <v>7669</v>
      </c>
      <c r="B7701" t="str">
        <f t="shared" si="310"/>
        <v>0.00023%</v>
      </c>
      <c r="C7701" t="s">
        <v>10</v>
      </c>
      <c r="D7701" t="s">
        <v>10</v>
      </c>
      <c r="E7701" t="str">
        <f>"$ 1,739"</f>
        <v>$ 1,739</v>
      </c>
      <c r="F7701">
        <v>785</v>
      </c>
    </row>
    <row r="7702" spans="1:6">
      <c r="A7702" t="s">
        <v>7670</v>
      </c>
      <c r="B7702" t="str">
        <f t="shared" si="310"/>
        <v>0.00023%</v>
      </c>
      <c r="C7702" t="s">
        <v>10</v>
      </c>
      <c r="D7702" t="s">
        <v>10</v>
      </c>
      <c r="E7702" t="str">
        <f>"$ 1,756"</f>
        <v>$ 1,756</v>
      </c>
      <c r="F7702" s="1">
        <v>5978</v>
      </c>
    </row>
    <row r="7703" spans="1:6">
      <c r="A7703" t="s">
        <v>7671</v>
      </c>
      <c r="B7703" t="str">
        <f t="shared" si="310"/>
        <v>0.00023%</v>
      </c>
      <c r="C7703" t="s">
        <v>10</v>
      </c>
      <c r="D7703" t="s">
        <v>10</v>
      </c>
      <c r="E7703" t="str">
        <f>"$ 1,758"</f>
        <v>$ 1,758</v>
      </c>
      <c r="F7703" s="1">
        <v>3553</v>
      </c>
    </row>
    <row r="7704" spans="1:6">
      <c r="A7704" t="s">
        <v>7672</v>
      </c>
      <c r="B7704" t="str">
        <f t="shared" si="310"/>
        <v>0.00023%</v>
      </c>
      <c r="C7704" t="s">
        <v>10</v>
      </c>
      <c r="D7704" t="s">
        <v>10</v>
      </c>
      <c r="E7704" t="str">
        <f>"$ 1,764"</f>
        <v>$ 1,764</v>
      </c>
      <c r="F7704" s="1">
        <v>6573</v>
      </c>
    </row>
    <row r="7705" spans="1:6">
      <c r="A7705" t="s">
        <v>7673</v>
      </c>
      <c r="B7705" t="str">
        <f t="shared" si="310"/>
        <v>0.00023%</v>
      </c>
      <c r="C7705" t="s">
        <v>10</v>
      </c>
      <c r="D7705" t="s">
        <v>10</v>
      </c>
      <c r="E7705" t="str">
        <f>"$ 1,739"</f>
        <v>$ 1,739</v>
      </c>
      <c r="F7705" s="1">
        <v>1902</v>
      </c>
    </row>
    <row r="7706" spans="1:6">
      <c r="A7706" t="s">
        <v>7674</v>
      </c>
      <c r="B7706" t="str">
        <f t="shared" si="310"/>
        <v>0.00023%</v>
      </c>
      <c r="C7706" t="s">
        <v>10</v>
      </c>
      <c r="D7706" t="s">
        <v>10</v>
      </c>
      <c r="E7706" t="str">
        <f>"$ 1,740"</f>
        <v>$ 1,740</v>
      </c>
      <c r="F7706" s="1">
        <v>2910</v>
      </c>
    </row>
    <row r="7707" spans="1:6">
      <c r="A7707" t="s">
        <v>7675</v>
      </c>
      <c r="B7707" t="str">
        <f t="shared" si="310"/>
        <v>0.00023%</v>
      </c>
      <c r="C7707" t="s">
        <v>10</v>
      </c>
      <c r="D7707" t="s">
        <v>10</v>
      </c>
      <c r="E7707" t="str">
        <f>"$ 1,738"</f>
        <v>$ 1,738</v>
      </c>
      <c r="F7707">
        <v>579</v>
      </c>
    </row>
    <row r="7708" spans="1:6">
      <c r="A7708" t="s">
        <v>7676</v>
      </c>
      <c r="B7708" t="str">
        <f t="shared" si="310"/>
        <v>0.00023%</v>
      </c>
      <c r="C7708" t="s">
        <v>10</v>
      </c>
      <c r="D7708" t="s">
        <v>10</v>
      </c>
      <c r="E7708" t="str">
        <f>"$ 1,803"</f>
        <v>$ 1,803</v>
      </c>
      <c r="F7708" s="1">
        <v>1880</v>
      </c>
    </row>
    <row r="7709" spans="1:6">
      <c r="A7709" t="s">
        <v>7677</v>
      </c>
      <c r="B7709" t="str">
        <f t="shared" si="310"/>
        <v>0.00023%</v>
      </c>
      <c r="C7709" t="s">
        <v>10</v>
      </c>
      <c r="D7709" t="s">
        <v>10</v>
      </c>
      <c r="E7709" t="str">
        <f>"$ 1,746"</f>
        <v>$ 1,746</v>
      </c>
      <c r="F7709">
        <v>79</v>
      </c>
    </row>
    <row r="7710" spans="1:6">
      <c r="A7710" t="s">
        <v>7678</v>
      </c>
      <c r="B7710" t="str">
        <f t="shared" si="310"/>
        <v>0.00023%</v>
      </c>
      <c r="C7710" t="s">
        <v>10</v>
      </c>
      <c r="D7710" t="s">
        <v>10</v>
      </c>
      <c r="E7710" t="str">
        <f>"$ 1,768"</f>
        <v>$ 1,768</v>
      </c>
      <c r="F7710">
        <v>242</v>
      </c>
    </row>
    <row r="7711" spans="1:6">
      <c r="A7711" t="s">
        <v>7679</v>
      </c>
      <c r="B7711" t="str">
        <f t="shared" si="310"/>
        <v>0.00023%</v>
      </c>
      <c r="C7711" t="s">
        <v>10</v>
      </c>
      <c r="D7711" t="s">
        <v>10</v>
      </c>
      <c r="E7711" t="str">
        <f>"$ 1,795"</f>
        <v>$ 1,795</v>
      </c>
      <c r="F7711">
        <v>101</v>
      </c>
    </row>
    <row r="7712" spans="1:6">
      <c r="A7712" t="s">
        <v>7680</v>
      </c>
      <c r="B7712" t="str">
        <f t="shared" si="310"/>
        <v>0.00023%</v>
      </c>
      <c r="C7712" t="s">
        <v>10</v>
      </c>
      <c r="D7712" t="s">
        <v>10</v>
      </c>
      <c r="E7712" t="str">
        <f>"$ 1,752"</f>
        <v>$ 1,752</v>
      </c>
      <c r="F7712" s="1">
        <v>1823</v>
      </c>
    </row>
    <row r="7713" spans="1:6">
      <c r="A7713" t="s">
        <v>7681</v>
      </c>
      <c r="B7713" t="str">
        <f t="shared" si="310"/>
        <v>0.00023%</v>
      </c>
      <c r="C7713" t="s">
        <v>10</v>
      </c>
      <c r="D7713" t="s">
        <v>10</v>
      </c>
      <c r="E7713" t="str">
        <f>"$ 1,765"</f>
        <v>$ 1,765</v>
      </c>
      <c r="F7713">
        <v>978</v>
      </c>
    </row>
    <row r="7714" spans="1:6">
      <c r="A7714" t="s">
        <v>7682</v>
      </c>
      <c r="B7714" t="str">
        <f t="shared" si="310"/>
        <v>0.00023%</v>
      </c>
      <c r="C7714" t="s">
        <v>10</v>
      </c>
      <c r="D7714" t="s">
        <v>10</v>
      </c>
      <c r="E7714" t="str">
        <f>"$ 1,807"</f>
        <v>$ 1,807</v>
      </c>
      <c r="F7714">
        <v>346</v>
      </c>
    </row>
    <row r="7715" spans="1:6">
      <c r="A7715" t="s">
        <v>7683</v>
      </c>
      <c r="B7715" t="str">
        <f t="shared" si="310"/>
        <v>0.00023%</v>
      </c>
      <c r="C7715" t="s">
        <v>10</v>
      </c>
      <c r="D7715" t="s">
        <v>10</v>
      </c>
      <c r="E7715" t="str">
        <f>"$ 1,813"</f>
        <v>$ 1,813</v>
      </c>
      <c r="F7715">
        <v>238</v>
      </c>
    </row>
    <row r="7716" spans="1:6">
      <c r="A7716" t="s">
        <v>7684</v>
      </c>
      <c r="B7716" t="str">
        <f t="shared" si="310"/>
        <v>0.00023%</v>
      </c>
      <c r="C7716" t="s">
        <v>10</v>
      </c>
      <c r="D7716" t="s">
        <v>10</v>
      </c>
      <c r="E7716" t="str">
        <f>"$ 1,807"</f>
        <v>$ 1,807</v>
      </c>
      <c r="F7716">
        <v>102</v>
      </c>
    </row>
    <row r="7717" spans="1:6">
      <c r="A7717" t="s">
        <v>7685</v>
      </c>
      <c r="B7717" t="str">
        <f t="shared" si="310"/>
        <v>0.00023%</v>
      </c>
      <c r="C7717" t="s">
        <v>10</v>
      </c>
      <c r="D7717" t="s">
        <v>10</v>
      </c>
      <c r="E7717" t="str">
        <f>"$ 1,796"</f>
        <v>$ 1,796</v>
      </c>
      <c r="F7717">
        <v>359</v>
      </c>
    </row>
    <row r="7718" spans="1:6">
      <c r="A7718" t="s">
        <v>7686</v>
      </c>
      <c r="B7718" t="str">
        <f t="shared" si="310"/>
        <v>0.00023%</v>
      </c>
      <c r="C7718" t="s">
        <v>10</v>
      </c>
      <c r="D7718" t="s">
        <v>10</v>
      </c>
      <c r="E7718" t="str">
        <f>"$ 1,799"</f>
        <v>$ 1,799</v>
      </c>
      <c r="F7718">
        <v>419</v>
      </c>
    </row>
    <row r="7719" spans="1:6">
      <c r="A7719" t="s">
        <v>7687</v>
      </c>
      <c r="B7719" t="str">
        <f t="shared" si="310"/>
        <v>0.00023%</v>
      </c>
      <c r="C7719" t="s">
        <v>10</v>
      </c>
      <c r="D7719" t="s">
        <v>10</v>
      </c>
      <c r="E7719" t="str">
        <f>"$ 1,780"</f>
        <v>$ 1,780</v>
      </c>
      <c r="F7719">
        <v>32</v>
      </c>
    </row>
    <row r="7720" spans="1:6">
      <c r="A7720" t="s">
        <v>7688</v>
      </c>
      <c r="B7720" t="str">
        <f t="shared" si="310"/>
        <v>0.00023%</v>
      </c>
      <c r="C7720" t="s">
        <v>10</v>
      </c>
      <c r="D7720" t="s">
        <v>10</v>
      </c>
      <c r="E7720" t="str">
        <f>"$ 1,799"</f>
        <v>$ 1,799</v>
      </c>
      <c r="F7720">
        <v>82</v>
      </c>
    </row>
    <row r="7721" spans="1:6">
      <c r="A7721" t="s">
        <v>7689</v>
      </c>
      <c r="B7721" t="str">
        <f t="shared" ref="B7721:B7752" si="311">"0.00022%"</f>
        <v>0.00022%</v>
      </c>
      <c r="C7721" t="s">
        <v>10</v>
      </c>
      <c r="D7721" t="s">
        <v>10</v>
      </c>
      <c r="E7721" t="str">
        <f>"$ 1,720"</f>
        <v>$ 1,720</v>
      </c>
      <c r="F7721" s="1">
        <v>22580</v>
      </c>
    </row>
    <row r="7722" spans="1:6">
      <c r="A7722" t="s">
        <v>7690</v>
      </c>
      <c r="B7722" t="str">
        <f t="shared" si="311"/>
        <v>0.00022%</v>
      </c>
      <c r="C7722" t="s">
        <v>10</v>
      </c>
      <c r="D7722" t="s">
        <v>10</v>
      </c>
      <c r="E7722" t="str">
        <f>"$ 1,715"</f>
        <v>$ 1,715</v>
      </c>
      <c r="F7722">
        <v>33</v>
      </c>
    </row>
    <row r="7723" spans="1:6">
      <c r="A7723" t="s">
        <v>7691</v>
      </c>
      <c r="B7723" t="str">
        <f t="shared" si="311"/>
        <v>0.00022%</v>
      </c>
      <c r="C7723" t="s">
        <v>10</v>
      </c>
      <c r="D7723" t="s">
        <v>10</v>
      </c>
      <c r="E7723" t="str">
        <f>"$ 1,700"</f>
        <v>$ 1,700</v>
      </c>
      <c r="F7723" s="1">
        <v>5644</v>
      </c>
    </row>
    <row r="7724" spans="1:6">
      <c r="A7724" t="s">
        <v>7692</v>
      </c>
      <c r="B7724" t="str">
        <f t="shared" si="311"/>
        <v>0.00022%</v>
      </c>
      <c r="C7724" t="s">
        <v>10</v>
      </c>
      <c r="D7724" t="s">
        <v>10</v>
      </c>
      <c r="E7724" t="str">
        <f>"$ 1,683"</f>
        <v>$ 1,683</v>
      </c>
      <c r="F7724">
        <v>182</v>
      </c>
    </row>
    <row r="7725" spans="1:6">
      <c r="A7725" t="s">
        <v>7693</v>
      </c>
      <c r="B7725" t="str">
        <f t="shared" si="311"/>
        <v>0.00022%</v>
      </c>
      <c r="C7725" t="s">
        <v>10</v>
      </c>
      <c r="D7725" t="s">
        <v>10</v>
      </c>
      <c r="E7725" t="str">
        <f>"$ 1,692"</f>
        <v>$ 1,692</v>
      </c>
      <c r="F7725">
        <v>48</v>
      </c>
    </row>
    <row r="7726" spans="1:6">
      <c r="A7726" t="s">
        <v>7694</v>
      </c>
      <c r="B7726" t="str">
        <f t="shared" si="311"/>
        <v>0.00022%</v>
      </c>
      <c r="C7726" t="s">
        <v>10</v>
      </c>
      <c r="D7726" t="s">
        <v>10</v>
      </c>
      <c r="E7726" t="str">
        <f>"$ 1,736"</f>
        <v>$ 1,736</v>
      </c>
      <c r="F7726" s="1">
        <v>3475</v>
      </c>
    </row>
    <row r="7727" spans="1:6">
      <c r="A7727" t="s">
        <v>7695</v>
      </c>
      <c r="B7727" t="str">
        <f t="shared" si="311"/>
        <v>0.00022%</v>
      </c>
      <c r="C7727" t="s">
        <v>10</v>
      </c>
      <c r="D7727" t="s">
        <v>10</v>
      </c>
      <c r="E7727" t="str">
        <f>"$ 1,734"</f>
        <v>$ 1,734</v>
      </c>
      <c r="F7727">
        <v>49</v>
      </c>
    </row>
    <row r="7728" spans="1:6">
      <c r="A7728" t="s">
        <v>7696</v>
      </c>
      <c r="B7728" t="str">
        <f t="shared" si="311"/>
        <v>0.00022%</v>
      </c>
      <c r="C7728" t="s">
        <v>10</v>
      </c>
      <c r="D7728" t="s">
        <v>10</v>
      </c>
      <c r="E7728" t="str">
        <f>"$ 1,661"</f>
        <v>$ 1,661</v>
      </c>
      <c r="F7728">
        <v>468</v>
      </c>
    </row>
    <row r="7729" spans="1:6">
      <c r="A7729" t="s">
        <v>7697</v>
      </c>
      <c r="B7729" t="str">
        <f t="shared" si="311"/>
        <v>0.00022%</v>
      </c>
      <c r="C7729" t="s">
        <v>10</v>
      </c>
      <c r="D7729" t="s">
        <v>10</v>
      </c>
      <c r="E7729" t="str">
        <f>"$ 1,664"</f>
        <v>$ 1,664</v>
      </c>
      <c r="F7729" s="1">
        <v>1985</v>
      </c>
    </row>
    <row r="7730" spans="1:6">
      <c r="A7730" t="s">
        <v>7698</v>
      </c>
      <c r="B7730" t="str">
        <f t="shared" si="311"/>
        <v>0.00022%</v>
      </c>
      <c r="C7730" t="s">
        <v>10</v>
      </c>
      <c r="D7730" t="s">
        <v>10</v>
      </c>
      <c r="E7730" t="str">
        <f>"$ 1,699"</f>
        <v>$ 1,699</v>
      </c>
      <c r="F7730">
        <v>93</v>
      </c>
    </row>
    <row r="7731" spans="1:6">
      <c r="A7731" t="s">
        <v>7699</v>
      </c>
      <c r="B7731" t="str">
        <f t="shared" si="311"/>
        <v>0.00022%</v>
      </c>
      <c r="C7731" t="s">
        <v>10</v>
      </c>
      <c r="D7731" t="s">
        <v>10</v>
      </c>
      <c r="E7731" t="str">
        <f>"$ 1,695"</f>
        <v>$ 1,695</v>
      </c>
      <c r="F7731">
        <v>788</v>
      </c>
    </row>
    <row r="7732" spans="1:6">
      <c r="A7732" t="s">
        <v>7700</v>
      </c>
      <c r="B7732" t="str">
        <f t="shared" si="311"/>
        <v>0.00022%</v>
      </c>
      <c r="C7732" t="s">
        <v>10</v>
      </c>
      <c r="D7732" t="s">
        <v>10</v>
      </c>
      <c r="E7732" t="str">
        <f>"$ 1,679"</f>
        <v>$ 1,679</v>
      </c>
      <c r="F7732">
        <v>102</v>
      </c>
    </row>
    <row r="7733" spans="1:6">
      <c r="A7733" t="s">
        <v>7701</v>
      </c>
      <c r="B7733" t="str">
        <f t="shared" si="311"/>
        <v>0.00022%</v>
      </c>
      <c r="C7733" t="s">
        <v>10</v>
      </c>
      <c r="D7733" t="s">
        <v>10</v>
      </c>
      <c r="E7733" t="str">
        <f>"$ 1,735"</f>
        <v>$ 1,735</v>
      </c>
      <c r="F7733">
        <v>49</v>
      </c>
    </row>
    <row r="7734" spans="1:6">
      <c r="A7734" t="s">
        <v>7702</v>
      </c>
      <c r="B7734" t="str">
        <f t="shared" si="311"/>
        <v>0.00022%</v>
      </c>
      <c r="C7734" t="s">
        <v>10</v>
      </c>
      <c r="D7734" t="s">
        <v>10</v>
      </c>
      <c r="E7734" t="str">
        <f>"$ 1,725"</f>
        <v>$ 1,725</v>
      </c>
      <c r="F7734">
        <v>115</v>
      </c>
    </row>
    <row r="7735" spans="1:6">
      <c r="A7735" t="s">
        <v>7703</v>
      </c>
      <c r="B7735" t="str">
        <f t="shared" si="311"/>
        <v>0.00022%</v>
      </c>
      <c r="C7735" t="s">
        <v>10</v>
      </c>
      <c r="D7735" t="s">
        <v>10</v>
      </c>
      <c r="E7735" t="str">
        <f>"$ 1,693"</f>
        <v>$ 1,693</v>
      </c>
      <c r="F7735">
        <v>39</v>
      </c>
    </row>
    <row r="7736" spans="1:6">
      <c r="A7736" t="s">
        <v>7704</v>
      </c>
      <c r="B7736" t="str">
        <f t="shared" si="311"/>
        <v>0.00022%</v>
      </c>
      <c r="C7736" t="s">
        <v>10</v>
      </c>
      <c r="D7736" t="s">
        <v>10</v>
      </c>
      <c r="E7736" t="str">
        <f>"$ 1,699"</f>
        <v>$ 1,699</v>
      </c>
      <c r="F7736">
        <v>71</v>
      </c>
    </row>
    <row r="7737" spans="1:6">
      <c r="A7737" t="s">
        <v>7705</v>
      </c>
      <c r="B7737" t="str">
        <f t="shared" si="311"/>
        <v>0.00022%</v>
      </c>
      <c r="C7737" t="s">
        <v>10</v>
      </c>
      <c r="D7737" t="s">
        <v>10</v>
      </c>
      <c r="E7737" t="str">
        <f>"$ 1,706"</f>
        <v>$ 1,706</v>
      </c>
      <c r="F7737">
        <v>656</v>
      </c>
    </row>
    <row r="7738" spans="1:6">
      <c r="A7738" t="s">
        <v>7706</v>
      </c>
      <c r="B7738" t="str">
        <f t="shared" si="311"/>
        <v>0.00022%</v>
      </c>
      <c r="C7738" t="s">
        <v>10</v>
      </c>
      <c r="D7738" t="s">
        <v>10</v>
      </c>
      <c r="E7738" t="str">
        <f>"$ 1,721"</f>
        <v>$ 1,721</v>
      </c>
      <c r="F7738">
        <v>458</v>
      </c>
    </row>
    <row r="7739" spans="1:6">
      <c r="A7739" t="s">
        <v>7707</v>
      </c>
      <c r="B7739" t="str">
        <f t="shared" si="311"/>
        <v>0.00022%</v>
      </c>
      <c r="C7739" t="s">
        <v>10</v>
      </c>
      <c r="D7739" t="s">
        <v>10</v>
      </c>
      <c r="E7739" t="str">
        <f>"$ 1,689"</f>
        <v>$ 1,689</v>
      </c>
      <c r="F7739" s="1">
        <v>3425</v>
      </c>
    </row>
    <row r="7740" spans="1:6">
      <c r="A7740" t="s">
        <v>7708</v>
      </c>
      <c r="B7740" t="str">
        <f t="shared" si="311"/>
        <v>0.00022%</v>
      </c>
      <c r="C7740" t="s">
        <v>10</v>
      </c>
      <c r="D7740" t="s">
        <v>10</v>
      </c>
      <c r="E7740" t="str">
        <f>"$ 1,698"</f>
        <v>$ 1,698</v>
      </c>
      <c r="F7740">
        <v>983</v>
      </c>
    </row>
    <row r="7741" spans="1:6">
      <c r="A7741" t="s">
        <v>7709</v>
      </c>
      <c r="B7741" t="str">
        <f t="shared" si="311"/>
        <v>0.00022%</v>
      </c>
      <c r="C7741" t="s">
        <v>10</v>
      </c>
      <c r="D7741" t="s">
        <v>10</v>
      </c>
      <c r="E7741" t="str">
        <f>"$ 1,676"</f>
        <v>$ 1,676</v>
      </c>
      <c r="F7741">
        <v>66</v>
      </c>
    </row>
    <row r="7742" spans="1:6">
      <c r="A7742" t="s">
        <v>7710</v>
      </c>
      <c r="B7742" t="str">
        <f t="shared" si="311"/>
        <v>0.00022%</v>
      </c>
      <c r="C7742" t="s">
        <v>10</v>
      </c>
      <c r="D7742" t="s">
        <v>10</v>
      </c>
      <c r="E7742" t="str">
        <f>"$ 1,699"</f>
        <v>$ 1,699</v>
      </c>
      <c r="F7742">
        <v>297</v>
      </c>
    </row>
    <row r="7743" spans="1:6">
      <c r="A7743" t="s">
        <v>7711</v>
      </c>
      <c r="B7743" t="str">
        <f t="shared" si="311"/>
        <v>0.00022%</v>
      </c>
      <c r="C7743" t="s">
        <v>10</v>
      </c>
      <c r="D7743" t="s">
        <v>10</v>
      </c>
      <c r="E7743" t="str">
        <f>"$ 1,725"</f>
        <v>$ 1,725</v>
      </c>
      <c r="F7743">
        <v>181</v>
      </c>
    </row>
    <row r="7744" spans="1:6">
      <c r="A7744" t="s">
        <v>7712</v>
      </c>
      <c r="B7744" t="str">
        <f t="shared" si="311"/>
        <v>0.00022%</v>
      </c>
      <c r="C7744" t="s">
        <v>10</v>
      </c>
      <c r="D7744" t="s">
        <v>10</v>
      </c>
      <c r="E7744" t="str">
        <f>"$ 1,683"</f>
        <v>$ 1,683</v>
      </c>
      <c r="F7744">
        <v>274</v>
      </c>
    </row>
    <row r="7745" spans="1:6">
      <c r="A7745" t="s">
        <v>7713</v>
      </c>
      <c r="B7745" t="str">
        <f t="shared" si="311"/>
        <v>0.00022%</v>
      </c>
      <c r="C7745" t="s">
        <v>10</v>
      </c>
      <c r="D7745" t="s">
        <v>10</v>
      </c>
      <c r="E7745" t="str">
        <f>"$ 1,664"</f>
        <v>$ 1,664</v>
      </c>
      <c r="F7745" s="1">
        <v>1735</v>
      </c>
    </row>
    <row r="7746" spans="1:6">
      <c r="A7746" t="s">
        <v>7714</v>
      </c>
      <c r="B7746" t="str">
        <f t="shared" si="311"/>
        <v>0.00022%</v>
      </c>
      <c r="C7746" t="s">
        <v>10</v>
      </c>
      <c r="D7746" t="s">
        <v>10</v>
      </c>
      <c r="E7746" t="str">
        <f>"$ 1,684"</f>
        <v>$ 1,684</v>
      </c>
      <c r="F7746">
        <v>82</v>
      </c>
    </row>
    <row r="7747" spans="1:6">
      <c r="A7747" t="s">
        <v>7715</v>
      </c>
      <c r="B7747" t="str">
        <f t="shared" si="311"/>
        <v>0.00022%</v>
      </c>
      <c r="C7747" t="s">
        <v>10</v>
      </c>
      <c r="D7747" t="s">
        <v>10</v>
      </c>
      <c r="E7747" t="str">
        <f>"$ 1,667"</f>
        <v>$ 1,667</v>
      </c>
      <c r="F7747">
        <v>945</v>
      </c>
    </row>
    <row r="7748" spans="1:6">
      <c r="A7748" t="s">
        <v>7716</v>
      </c>
      <c r="B7748" t="str">
        <f t="shared" si="311"/>
        <v>0.00022%</v>
      </c>
      <c r="C7748" t="s">
        <v>10</v>
      </c>
      <c r="D7748" t="s">
        <v>10</v>
      </c>
      <c r="E7748" t="str">
        <f>"$ 1,724"</f>
        <v>$ 1,724</v>
      </c>
      <c r="F7748" s="1">
        <v>2639</v>
      </c>
    </row>
    <row r="7749" spans="1:6">
      <c r="A7749" t="s">
        <v>7717</v>
      </c>
      <c r="B7749" t="str">
        <f t="shared" si="311"/>
        <v>0.00022%</v>
      </c>
      <c r="C7749" t="s">
        <v>10</v>
      </c>
      <c r="D7749" t="s">
        <v>10</v>
      </c>
      <c r="E7749" t="str">
        <f>"$ 1,724"</f>
        <v>$ 1,724</v>
      </c>
      <c r="F7749">
        <v>575</v>
      </c>
    </row>
    <row r="7750" spans="1:6">
      <c r="A7750" t="s">
        <v>7718</v>
      </c>
      <c r="B7750" t="str">
        <f t="shared" si="311"/>
        <v>0.00022%</v>
      </c>
      <c r="C7750" t="s">
        <v>10</v>
      </c>
      <c r="D7750" t="s">
        <v>10</v>
      </c>
      <c r="E7750" t="str">
        <f>"$ 1,707"</f>
        <v>$ 1,707</v>
      </c>
      <c r="F7750">
        <v>87</v>
      </c>
    </row>
    <row r="7751" spans="1:6">
      <c r="A7751" t="s">
        <v>7719</v>
      </c>
      <c r="B7751" t="str">
        <f t="shared" si="311"/>
        <v>0.00022%</v>
      </c>
      <c r="C7751" t="s">
        <v>10</v>
      </c>
      <c r="D7751" t="s">
        <v>10</v>
      </c>
      <c r="E7751" t="str">
        <f>"$ 1,669"</f>
        <v>$ 1,669</v>
      </c>
      <c r="F7751">
        <v>66</v>
      </c>
    </row>
    <row r="7752" spans="1:6">
      <c r="A7752" t="s">
        <v>7720</v>
      </c>
      <c r="B7752" t="str">
        <f t="shared" si="311"/>
        <v>0.00022%</v>
      </c>
      <c r="C7752" t="s">
        <v>10</v>
      </c>
      <c r="D7752" t="s">
        <v>10</v>
      </c>
      <c r="E7752" t="str">
        <f>"$ 1,661"</f>
        <v>$ 1,661</v>
      </c>
      <c r="F7752">
        <v>57</v>
      </c>
    </row>
    <row r="7753" spans="1:6">
      <c r="A7753" t="s">
        <v>7721</v>
      </c>
      <c r="B7753" t="str">
        <f t="shared" ref="B7753:B7784" si="312">"0.00022%"</f>
        <v>0.00022%</v>
      </c>
      <c r="C7753" t="s">
        <v>10</v>
      </c>
      <c r="D7753" t="s">
        <v>10</v>
      </c>
      <c r="E7753" t="str">
        <f>"$ 1,699"</f>
        <v>$ 1,699</v>
      </c>
      <c r="F7753">
        <v>51</v>
      </c>
    </row>
    <row r="7754" spans="1:6">
      <c r="A7754" t="s">
        <v>7722</v>
      </c>
      <c r="B7754" t="str">
        <f t="shared" si="312"/>
        <v>0.00022%</v>
      </c>
      <c r="C7754" t="s">
        <v>10</v>
      </c>
      <c r="D7754" t="s">
        <v>10</v>
      </c>
      <c r="E7754" t="str">
        <f>"$ 1,721"</f>
        <v>$ 1,721</v>
      </c>
      <c r="F7754">
        <v>49</v>
      </c>
    </row>
    <row r="7755" spans="1:6">
      <c r="A7755" t="s">
        <v>7723</v>
      </c>
      <c r="B7755" t="str">
        <f t="shared" si="312"/>
        <v>0.00022%</v>
      </c>
      <c r="C7755" t="s">
        <v>10</v>
      </c>
      <c r="D7755" t="s">
        <v>10</v>
      </c>
      <c r="E7755" t="str">
        <f>"$ 1,677"</f>
        <v>$ 1,677</v>
      </c>
      <c r="F7755" s="1">
        <v>3698</v>
      </c>
    </row>
    <row r="7756" spans="1:6">
      <c r="A7756" t="s">
        <v>7724</v>
      </c>
      <c r="B7756" t="str">
        <f t="shared" si="312"/>
        <v>0.00022%</v>
      </c>
      <c r="C7756" t="s">
        <v>10</v>
      </c>
      <c r="D7756" t="s">
        <v>10</v>
      </c>
      <c r="E7756" t="str">
        <f>"$ 1,673"</f>
        <v>$ 1,673</v>
      </c>
      <c r="F7756" s="1">
        <v>2109</v>
      </c>
    </row>
    <row r="7757" spans="1:6">
      <c r="A7757" t="s">
        <v>7725</v>
      </c>
      <c r="B7757" t="str">
        <f t="shared" si="312"/>
        <v>0.00022%</v>
      </c>
      <c r="C7757" t="s">
        <v>10</v>
      </c>
      <c r="D7757" t="s">
        <v>10</v>
      </c>
      <c r="E7757" t="str">
        <f>"$ 1,675"</f>
        <v>$ 1,675</v>
      </c>
      <c r="F7757">
        <v>2</v>
      </c>
    </row>
    <row r="7758" spans="1:6">
      <c r="A7758" t="s">
        <v>7726</v>
      </c>
      <c r="B7758" t="str">
        <f t="shared" si="312"/>
        <v>0.00022%</v>
      </c>
      <c r="C7758" t="s">
        <v>10</v>
      </c>
      <c r="D7758" t="s">
        <v>10</v>
      </c>
      <c r="E7758" t="str">
        <f>"$ 1,737"</f>
        <v>$ 1,737</v>
      </c>
      <c r="F7758">
        <v>232</v>
      </c>
    </row>
    <row r="7759" spans="1:6">
      <c r="A7759" t="s">
        <v>7727</v>
      </c>
      <c r="B7759" t="str">
        <f t="shared" si="312"/>
        <v>0.00022%</v>
      </c>
      <c r="C7759" t="s">
        <v>10</v>
      </c>
      <c r="D7759" t="s">
        <v>10</v>
      </c>
      <c r="E7759" t="str">
        <f>"$ 1,732"</f>
        <v>$ 1,732</v>
      </c>
      <c r="F7759">
        <v>99</v>
      </c>
    </row>
    <row r="7760" spans="1:6">
      <c r="A7760" t="s">
        <v>7728</v>
      </c>
      <c r="B7760" t="str">
        <f t="shared" si="312"/>
        <v>0.00022%</v>
      </c>
      <c r="C7760" t="s">
        <v>10</v>
      </c>
      <c r="D7760" t="s">
        <v>10</v>
      </c>
      <c r="E7760" t="str">
        <f>"$ 1,724"</f>
        <v>$ 1,724</v>
      </c>
      <c r="F7760">
        <v>82</v>
      </c>
    </row>
    <row r="7761" spans="1:6">
      <c r="A7761" t="s">
        <v>7729</v>
      </c>
      <c r="B7761" t="str">
        <f t="shared" si="312"/>
        <v>0.00022%</v>
      </c>
      <c r="C7761" t="s">
        <v>10</v>
      </c>
      <c r="D7761" t="s">
        <v>10</v>
      </c>
      <c r="E7761" t="str">
        <f>"$ 1,699"</f>
        <v>$ 1,699</v>
      </c>
      <c r="F7761">
        <v>478</v>
      </c>
    </row>
    <row r="7762" spans="1:6">
      <c r="A7762" t="s">
        <v>7730</v>
      </c>
      <c r="B7762" t="str">
        <f t="shared" si="312"/>
        <v>0.00022%</v>
      </c>
      <c r="C7762" t="s">
        <v>10</v>
      </c>
      <c r="D7762" t="s">
        <v>10</v>
      </c>
      <c r="E7762" t="str">
        <f>"$ 1,708"</f>
        <v>$ 1,708</v>
      </c>
      <c r="F7762">
        <v>946</v>
      </c>
    </row>
    <row r="7763" spans="1:6">
      <c r="A7763" t="s">
        <v>7731</v>
      </c>
      <c r="B7763" t="str">
        <f t="shared" si="312"/>
        <v>0.00022%</v>
      </c>
      <c r="C7763" t="s">
        <v>10</v>
      </c>
      <c r="D7763" t="s">
        <v>10</v>
      </c>
      <c r="E7763" t="str">
        <f>"$ 1,733"</f>
        <v>$ 1,733</v>
      </c>
      <c r="F7763">
        <v>154</v>
      </c>
    </row>
    <row r="7764" spans="1:6">
      <c r="A7764" t="s">
        <v>7732</v>
      </c>
      <c r="B7764" t="str">
        <f t="shared" si="312"/>
        <v>0.00022%</v>
      </c>
      <c r="C7764" t="s">
        <v>10</v>
      </c>
      <c r="D7764" t="s">
        <v>10</v>
      </c>
      <c r="E7764" t="str">
        <f>"$ 1,681"</f>
        <v>$ 1,681</v>
      </c>
      <c r="F7764">
        <v>204</v>
      </c>
    </row>
    <row r="7765" spans="1:6">
      <c r="A7765" t="s">
        <v>7733</v>
      </c>
      <c r="B7765" t="str">
        <f t="shared" si="312"/>
        <v>0.00022%</v>
      </c>
      <c r="C7765" t="s">
        <v>10</v>
      </c>
      <c r="D7765" t="s">
        <v>10</v>
      </c>
      <c r="E7765" t="str">
        <f>"$ 1,684"</f>
        <v>$ 1,684</v>
      </c>
      <c r="F7765">
        <v>295</v>
      </c>
    </row>
    <row r="7766" spans="1:6">
      <c r="A7766" t="s">
        <v>7734</v>
      </c>
      <c r="B7766" t="str">
        <f t="shared" si="312"/>
        <v>0.00022%</v>
      </c>
      <c r="C7766" t="s">
        <v>10</v>
      </c>
      <c r="D7766" t="s">
        <v>10</v>
      </c>
      <c r="E7766" t="str">
        <f>"$ 1,710"</f>
        <v>$ 1,710</v>
      </c>
      <c r="F7766">
        <v>824</v>
      </c>
    </row>
    <row r="7767" spans="1:6">
      <c r="A7767" t="s">
        <v>7735</v>
      </c>
      <c r="B7767" t="str">
        <f t="shared" si="312"/>
        <v>0.00022%</v>
      </c>
      <c r="C7767" t="s">
        <v>10</v>
      </c>
      <c r="D7767" t="s">
        <v>10</v>
      </c>
      <c r="E7767" t="str">
        <f>"$ 1,678"</f>
        <v>$ 1,678</v>
      </c>
      <c r="F7767">
        <v>82</v>
      </c>
    </row>
    <row r="7768" spans="1:6">
      <c r="A7768" t="s">
        <v>7736</v>
      </c>
      <c r="B7768" t="str">
        <f t="shared" si="312"/>
        <v>0.00022%</v>
      </c>
      <c r="C7768" t="s">
        <v>10</v>
      </c>
      <c r="D7768" t="s">
        <v>10</v>
      </c>
      <c r="E7768" t="str">
        <f>"$ 1,721"</f>
        <v>$ 1,721</v>
      </c>
      <c r="F7768">
        <v>66</v>
      </c>
    </row>
    <row r="7769" spans="1:6">
      <c r="A7769" t="s">
        <v>7737</v>
      </c>
      <c r="B7769" t="str">
        <f t="shared" si="312"/>
        <v>0.00022%</v>
      </c>
      <c r="C7769" t="s">
        <v>10</v>
      </c>
      <c r="D7769" t="s">
        <v>10</v>
      </c>
      <c r="E7769" t="str">
        <f>"$ 1,700"</f>
        <v>$ 1,700</v>
      </c>
      <c r="F7769">
        <v>194</v>
      </c>
    </row>
    <row r="7770" spans="1:6">
      <c r="A7770" t="s">
        <v>7738</v>
      </c>
      <c r="B7770" t="str">
        <f t="shared" si="312"/>
        <v>0.00022%</v>
      </c>
      <c r="C7770" t="s">
        <v>10</v>
      </c>
      <c r="D7770" t="s">
        <v>10</v>
      </c>
      <c r="E7770" t="str">
        <f>"$ 1,735"</f>
        <v>$ 1,735</v>
      </c>
      <c r="F7770">
        <v>44</v>
      </c>
    </row>
    <row r="7771" spans="1:6">
      <c r="A7771" t="s">
        <v>7739</v>
      </c>
      <c r="B7771" t="str">
        <f t="shared" si="312"/>
        <v>0.00022%</v>
      </c>
      <c r="C7771" t="s">
        <v>10</v>
      </c>
      <c r="D7771" t="s">
        <v>10</v>
      </c>
      <c r="E7771" t="str">
        <f>"$ 1,727"</f>
        <v>$ 1,727</v>
      </c>
      <c r="F7771" s="1">
        <v>1083</v>
      </c>
    </row>
    <row r="7772" spans="1:6">
      <c r="A7772" t="s">
        <v>7740</v>
      </c>
      <c r="B7772" t="str">
        <f t="shared" si="312"/>
        <v>0.00022%</v>
      </c>
      <c r="C7772" t="s">
        <v>10</v>
      </c>
      <c r="D7772" t="s">
        <v>10</v>
      </c>
      <c r="E7772" t="str">
        <f>"$ 1,725"</f>
        <v>$ 1,725</v>
      </c>
      <c r="F7772">
        <v>99</v>
      </c>
    </row>
    <row r="7773" spans="1:6">
      <c r="A7773" t="s">
        <v>7741</v>
      </c>
      <c r="B7773" t="str">
        <f t="shared" si="312"/>
        <v>0.00022%</v>
      </c>
      <c r="C7773" t="s">
        <v>10</v>
      </c>
      <c r="D7773" t="s">
        <v>10</v>
      </c>
      <c r="E7773" t="str">
        <f>"$ 1,696"</f>
        <v>$ 1,696</v>
      </c>
      <c r="F7773">
        <v>313</v>
      </c>
    </row>
    <row r="7774" spans="1:6">
      <c r="A7774" t="s">
        <v>7742</v>
      </c>
      <c r="B7774" t="str">
        <f t="shared" si="312"/>
        <v>0.00022%</v>
      </c>
      <c r="C7774" t="s">
        <v>10</v>
      </c>
      <c r="D7774" t="s">
        <v>10</v>
      </c>
      <c r="E7774" t="str">
        <f>"$ 1,678"</f>
        <v>$ 1,678</v>
      </c>
      <c r="F7774">
        <v>99</v>
      </c>
    </row>
    <row r="7775" spans="1:6">
      <c r="A7775" t="s">
        <v>7743</v>
      </c>
      <c r="B7775" t="str">
        <f t="shared" si="312"/>
        <v>0.00022%</v>
      </c>
      <c r="C7775" t="s">
        <v>10</v>
      </c>
      <c r="D7775" t="s">
        <v>10</v>
      </c>
      <c r="E7775" t="str">
        <f>"$ 1,683"</f>
        <v>$ 1,683</v>
      </c>
      <c r="F7775" s="1">
        <v>1707</v>
      </c>
    </row>
    <row r="7776" spans="1:6">
      <c r="A7776" t="s">
        <v>7744</v>
      </c>
      <c r="B7776" t="str">
        <f t="shared" si="312"/>
        <v>0.00022%</v>
      </c>
      <c r="C7776" t="s">
        <v>10</v>
      </c>
      <c r="D7776" t="s">
        <v>10</v>
      </c>
      <c r="E7776" t="str">
        <f>"$ 1,707"</f>
        <v>$ 1,707</v>
      </c>
      <c r="F7776" s="1">
        <v>45156</v>
      </c>
    </row>
    <row r="7777" spans="1:6">
      <c r="A7777" t="s">
        <v>7745</v>
      </c>
      <c r="B7777" t="str">
        <f t="shared" si="312"/>
        <v>0.00022%</v>
      </c>
      <c r="C7777" t="s">
        <v>10</v>
      </c>
      <c r="D7777" t="s">
        <v>10</v>
      </c>
      <c r="E7777" t="str">
        <f>"$ 1,737"</f>
        <v>$ 1,737</v>
      </c>
      <c r="F7777" s="1">
        <v>3246</v>
      </c>
    </row>
    <row r="7778" spans="1:6">
      <c r="A7778" t="s">
        <v>7746</v>
      </c>
      <c r="B7778" t="str">
        <f t="shared" si="312"/>
        <v>0.00022%</v>
      </c>
      <c r="C7778" t="s">
        <v>10</v>
      </c>
      <c r="D7778" t="s">
        <v>10</v>
      </c>
      <c r="E7778" t="str">
        <f>"$ 1,679"</f>
        <v>$ 1,679</v>
      </c>
      <c r="F7778">
        <v>53</v>
      </c>
    </row>
    <row r="7779" spans="1:6">
      <c r="A7779" t="s">
        <v>7747</v>
      </c>
      <c r="B7779" t="str">
        <f t="shared" si="312"/>
        <v>0.00022%</v>
      </c>
      <c r="C7779" t="s">
        <v>10</v>
      </c>
      <c r="D7779" t="s">
        <v>10</v>
      </c>
      <c r="E7779" t="str">
        <f>"$ 1,728"</f>
        <v>$ 1,728</v>
      </c>
      <c r="F7779">
        <v>6</v>
      </c>
    </row>
    <row r="7780" spans="1:6">
      <c r="A7780" t="s">
        <v>6672</v>
      </c>
      <c r="B7780" t="str">
        <f t="shared" si="312"/>
        <v>0.00022%</v>
      </c>
      <c r="C7780" t="s">
        <v>10</v>
      </c>
      <c r="D7780" t="s">
        <v>10</v>
      </c>
      <c r="E7780" t="str">
        <f>"$ 1,728"</f>
        <v>$ 1,728</v>
      </c>
      <c r="F7780">
        <v>529</v>
      </c>
    </row>
    <row r="7781" spans="1:6">
      <c r="A7781" t="s">
        <v>7748</v>
      </c>
      <c r="B7781" t="str">
        <f t="shared" si="312"/>
        <v>0.00022%</v>
      </c>
      <c r="C7781" t="s">
        <v>10</v>
      </c>
      <c r="D7781" t="s">
        <v>10</v>
      </c>
      <c r="E7781" t="str">
        <f>"$ 1,714"</f>
        <v>$ 1,714</v>
      </c>
      <c r="F7781">
        <v>990</v>
      </c>
    </row>
    <row r="7782" spans="1:6">
      <c r="A7782" t="s">
        <v>7749</v>
      </c>
      <c r="B7782" t="str">
        <f t="shared" si="312"/>
        <v>0.00022%</v>
      </c>
      <c r="C7782" t="s">
        <v>10</v>
      </c>
      <c r="D7782" t="s">
        <v>10</v>
      </c>
      <c r="E7782" t="str">
        <f>"$ 1,693"</f>
        <v>$ 1,693</v>
      </c>
      <c r="F7782">
        <v>973</v>
      </c>
    </row>
    <row r="7783" spans="1:6">
      <c r="A7783" t="s">
        <v>7750</v>
      </c>
      <c r="B7783" t="str">
        <f t="shared" si="312"/>
        <v>0.00022%</v>
      </c>
      <c r="C7783" t="s">
        <v>10</v>
      </c>
      <c r="D7783" t="s">
        <v>10</v>
      </c>
      <c r="E7783" t="str">
        <f>"$ 1,706"</f>
        <v>$ 1,706</v>
      </c>
      <c r="F7783" s="1">
        <v>2854</v>
      </c>
    </row>
    <row r="7784" spans="1:6">
      <c r="A7784" t="s">
        <v>7751</v>
      </c>
      <c r="B7784" t="str">
        <f t="shared" si="312"/>
        <v>0.00022%</v>
      </c>
      <c r="C7784" t="s">
        <v>10</v>
      </c>
      <c r="D7784" t="s">
        <v>10</v>
      </c>
      <c r="E7784" t="str">
        <f>"$ 1,664"</f>
        <v>$ 1,664</v>
      </c>
      <c r="F7784">
        <v>55</v>
      </c>
    </row>
    <row r="7785" spans="1:6">
      <c r="A7785" t="s">
        <v>7752</v>
      </c>
      <c r="B7785" t="str">
        <f t="shared" ref="B7785:B7813" si="313">"0.00022%"</f>
        <v>0.00022%</v>
      </c>
      <c r="C7785" t="s">
        <v>10</v>
      </c>
      <c r="D7785" t="s">
        <v>10</v>
      </c>
      <c r="E7785" t="str">
        <f>"$ 1,701"</f>
        <v>$ 1,701</v>
      </c>
      <c r="F7785">
        <v>415</v>
      </c>
    </row>
    <row r="7786" spans="1:6">
      <c r="A7786" t="s">
        <v>7753</v>
      </c>
      <c r="B7786" t="str">
        <f t="shared" si="313"/>
        <v>0.00022%</v>
      </c>
      <c r="C7786" t="s">
        <v>10</v>
      </c>
      <c r="D7786" t="s">
        <v>10</v>
      </c>
      <c r="E7786" t="str">
        <f>"$ 1,694"</f>
        <v>$ 1,694</v>
      </c>
      <c r="F7786" s="1">
        <v>1066</v>
      </c>
    </row>
    <row r="7787" spans="1:6">
      <c r="A7787" t="s">
        <v>7754</v>
      </c>
      <c r="B7787" t="str">
        <f t="shared" si="313"/>
        <v>0.00022%</v>
      </c>
      <c r="C7787" t="s">
        <v>10</v>
      </c>
      <c r="D7787" t="s">
        <v>10</v>
      </c>
      <c r="E7787" t="str">
        <f>"$ 1,666"</f>
        <v>$ 1,666</v>
      </c>
      <c r="F7787">
        <v>801</v>
      </c>
    </row>
    <row r="7788" spans="1:6">
      <c r="A7788" t="s">
        <v>7755</v>
      </c>
      <c r="B7788" t="str">
        <f t="shared" si="313"/>
        <v>0.00022%</v>
      </c>
      <c r="C7788" t="s">
        <v>10</v>
      </c>
      <c r="D7788" t="s">
        <v>10</v>
      </c>
      <c r="E7788" t="str">
        <f>"$ 1,714"</f>
        <v>$ 1,714</v>
      </c>
      <c r="F7788" s="1">
        <v>2388</v>
      </c>
    </row>
    <row r="7789" spans="1:6">
      <c r="A7789" t="s">
        <v>7756</v>
      </c>
      <c r="B7789" t="str">
        <f t="shared" si="313"/>
        <v>0.00022%</v>
      </c>
      <c r="C7789" t="s">
        <v>10</v>
      </c>
      <c r="D7789" t="s">
        <v>10</v>
      </c>
      <c r="E7789" t="str">
        <f>"$ 1,677"</f>
        <v>$ 1,677</v>
      </c>
      <c r="F7789">
        <v>978</v>
      </c>
    </row>
    <row r="7790" spans="1:6">
      <c r="A7790" t="s">
        <v>7757</v>
      </c>
      <c r="B7790" t="str">
        <f t="shared" si="313"/>
        <v>0.00022%</v>
      </c>
      <c r="C7790" t="s">
        <v>10</v>
      </c>
      <c r="D7790" t="s">
        <v>10</v>
      </c>
      <c r="E7790" t="str">
        <f>"$ 1,737"</f>
        <v>$ 1,737</v>
      </c>
      <c r="F7790">
        <v>96</v>
      </c>
    </row>
    <row r="7791" spans="1:6">
      <c r="A7791" t="s">
        <v>7758</v>
      </c>
      <c r="B7791" t="str">
        <f t="shared" si="313"/>
        <v>0.00022%</v>
      </c>
      <c r="C7791" t="s">
        <v>10</v>
      </c>
      <c r="D7791" t="s">
        <v>10</v>
      </c>
      <c r="E7791" t="str">
        <f>"$ 1,677"</f>
        <v>$ 1,677</v>
      </c>
      <c r="F7791" s="1">
        <v>4001</v>
      </c>
    </row>
    <row r="7792" spans="1:6">
      <c r="A7792" t="s">
        <v>7759</v>
      </c>
      <c r="B7792" t="str">
        <f t="shared" si="313"/>
        <v>0.00022%</v>
      </c>
      <c r="C7792" t="s">
        <v>10</v>
      </c>
      <c r="D7792" t="s">
        <v>10</v>
      </c>
      <c r="E7792" t="str">
        <f>"$ 1,689"</f>
        <v>$ 1,689</v>
      </c>
      <c r="F7792">
        <v>58</v>
      </c>
    </row>
    <row r="7793" spans="1:6">
      <c r="A7793" t="s">
        <v>7760</v>
      </c>
      <c r="B7793" t="str">
        <f t="shared" si="313"/>
        <v>0.00022%</v>
      </c>
      <c r="C7793" t="s">
        <v>10</v>
      </c>
      <c r="D7793" t="s">
        <v>10</v>
      </c>
      <c r="E7793" t="str">
        <f>"$ 1,678"</f>
        <v>$ 1,678</v>
      </c>
      <c r="F7793">
        <v>16</v>
      </c>
    </row>
    <row r="7794" spans="1:6">
      <c r="A7794" t="s">
        <v>7761</v>
      </c>
      <c r="B7794" t="str">
        <f t="shared" si="313"/>
        <v>0.00022%</v>
      </c>
      <c r="C7794" t="s">
        <v>10</v>
      </c>
      <c r="D7794" t="s">
        <v>10</v>
      </c>
      <c r="E7794" t="str">
        <f>"$ 1,709"</f>
        <v>$ 1,709</v>
      </c>
      <c r="F7794">
        <v>852</v>
      </c>
    </row>
    <row r="7795" spans="1:6">
      <c r="A7795" t="s">
        <v>7762</v>
      </c>
      <c r="B7795" t="str">
        <f t="shared" si="313"/>
        <v>0.00022%</v>
      </c>
      <c r="C7795" t="s">
        <v>10</v>
      </c>
      <c r="D7795" t="s">
        <v>10</v>
      </c>
      <c r="E7795" t="str">
        <f>"$ 1,666"</f>
        <v>$ 1,666</v>
      </c>
      <c r="F7795">
        <v>46</v>
      </c>
    </row>
    <row r="7796" spans="1:6">
      <c r="A7796" t="s">
        <v>7763</v>
      </c>
      <c r="B7796" t="str">
        <f t="shared" si="313"/>
        <v>0.00022%</v>
      </c>
      <c r="C7796" t="s">
        <v>10</v>
      </c>
      <c r="D7796" t="s">
        <v>10</v>
      </c>
      <c r="E7796" t="str">
        <f>"$ 1,736"</f>
        <v>$ 1,736</v>
      </c>
      <c r="F7796">
        <v>99</v>
      </c>
    </row>
    <row r="7797" spans="1:6">
      <c r="A7797" t="s">
        <v>7764</v>
      </c>
      <c r="B7797" t="str">
        <f t="shared" si="313"/>
        <v>0.00022%</v>
      </c>
      <c r="C7797" t="s">
        <v>10</v>
      </c>
      <c r="D7797" t="s">
        <v>10</v>
      </c>
      <c r="E7797" t="str">
        <f>"$ 1,689"</f>
        <v>$ 1,689</v>
      </c>
      <c r="F7797">
        <v>525</v>
      </c>
    </row>
    <row r="7798" spans="1:6">
      <c r="A7798" t="s">
        <v>7765</v>
      </c>
      <c r="B7798" t="str">
        <f t="shared" si="313"/>
        <v>0.00022%</v>
      </c>
      <c r="C7798" t="s">
        <v>10</v>
      </c>
      <c r="D7798" t="s">
        <v>10</v>
      </c>
      <c r="E7798" t="str">
        <f>"$ 1,681"</f>
        <v>$ 1,681</v>
      </c>
      <c r="F7798">
        <v>927</v>
      </c>
    </row>
    <row r="7799" spans="1:6">
      <c r="A7799" t="s">
        <v>7766</v>
      </c>
      <c r="B7799" t="str">
        <f t="shared" si="313"/>
        <v>0.00022%</v>
      </c>
      <c r="C7799" t="s">
        <v>10</v>
      </c>
      <c r="D7799" t="s">
        <v>10</v>
      </c>
      <c r="E7799" t="str">
        <f>"$ 1,673"</f>
        <v>$ 1,673</v>
      </c>
      <c r="F7799" s="1">
        <v>5094</v>
      </c>
    </row>
    <row r="7800" spans="1:6">
      <c r="A7800" t="s">
        <v>7767</v>
      </c>
      <c r="B7800" t="str">
        <f t="shared" si="313"/>
        <v>0.00022%</v>
      </c>
      <c r="C7800" t="s">
        <v>10</v>
      </c>
      <c r="D7800" t="s">
        <v>10</v>
      </c>
      <c r="E7800" t="str">
        <f>"$ 1,724"</f>
        <v>$ 1,724</v>
      </c>
      <c r="F7800">
        <v>67</v>
      </c>
    </row>
    <row r="7801" spans="1:6">
      <c r="A7801" t="s">
        <v>7768</v>
      </c>
      <c r="B7801" t="str">
        <f t="shared" si="313"/>
        <v>0.00022%</v>
      </c>
      <c r="C7801" t="s">
        <v>10</v>
      </c>
      <c r="D7801" t="s">
        <v>10</v>
      </c>
      <c r="E7801" t="str">
        <f>"$ 1,730"</f>
        <v>$ 1,730</v>
      </c>
      <c r="F7801" s="1">
        <v>1503</v>
      </c>
    </row>
    <row r="7802" spans="1:6">
      <c r="A7802" t="s">
        <v>7769</v>
      </c>
      <c r="B7802" t="str">
        <f t="shared" si="313"/>
        <v>0.00022%</v>
      </c>
      <c r="C7802" t="s">
        <v>10</v>
      </c>
      <c r="D7802" t="s">
        <v>10</v>
      </c>
      <c r="E7802" t="str">
        <f>"$ 1,734"</f>
        <v>$ 1,734</v>
      </c>
      <c r="F7802">
        <v>33</v>
      </c>
    </row>
    <row r="7803" spans="1:6">
      <c r="A7803" t="s">
        <v>7770</v>
      </c>
      <c r="B7803" t="str">
        <f t="shared" si="313"/>
        <v>0.00022%</v>
      </c>
      <c r="C7803" t="s">
        <v>10</v>
      </c>
      <c r="D7803" t="s">
        <v>10</v>
      </c>
      <c r="E7803" t="str">
        <f>"$ 1,666"</f>
        <v>$ 1,666</v>
      </c>
      <c r="F7803">
        <v>7</v>
      </c>
    </row>
    <row r="7804" spans="1:6">
      <c r="A7804" t="s">
        <v>7771</v>
      </c>
      <c r="B7804" t="str">
        <f t="shared" si="313"/>
        <v>0.00022%</v>
      </c>
      <c r="C7804" t="s">
        <v>10</v>
      </c>
      <c r="D7804" t="s">
        <v>10</v>
      </c>
      <c r="E7804" t="str">
        <f>"$ 1,736"</f>
        <v>$ 1,736</v>
      </c>
      <c r="F7804">
        <v>181</v>
      </c>
    </row>
    <row r="7805" spans="1:6">
      <c r="A7805" t="s">
        <v>7772</v>
      </c>
      <c r="B7805" t="str">
        <f t="shared" si="313"/>
        <v>0.00022%</v>
      </c>
      <c r="C7805" t="s">
        <v>10</v>
      </c>
      <c r="D7805" t="s">
        <v>10</v>
      </c>
      <c r="E7805" t="str">
        <f>"$ 1,698"</f>
        <v>$ 1,698</v>
      </c>
      <c r="F7805">
        <v>270</v>
      </c>
    </row>
    <row r="7806" spans="1:6">
      <c r="A7806" t="s">
        <v>7773</v>
      </c>
      <c r="B7806" t="str">
        <f t="shared" si="313"/>
        <v>0.00022%</v>
      </c>
      <c r="C7806" t="s">
        <v>10</v>
      </c>
      <c r="D7806" t="s">
        <v>10</v>
      </c>
      <c r="E7806" t="str">
        <f>"$ 1,670"</f>
        <v>$ 1,670</v>
      </c>
      <c r="F7806">
        <v>26</v>
      </c>
    </row>
    <row r="7807" spans="1:6">
      <c r="A7807" t="s">
        <v>7774</v>
      </c>
      <c r="B7807" t="str">
        <f t="shared" si="313"/>
        <v>0.00022%</v>
      </c>
      <c r="C7807" t="s">
        <v>10</v>
      </c>
      <c r="D7807" t="s">
        <v>10</v>
      </c>
      <c r="E7807" t="str">
        <f>"$ 1,684"</f>
        <v>$ 1,684</v>
      </c>
      <c r="F7807">
        <v>52</v>
      </c>
    </row>
    <row r="7808" spans="1:6">
      <c r="A7808" t="s">
        <v>7775</v>
      </c>
      <c r="B7808" t="str">
        <f t="shared" si="313"/>
        <v>0.00022%</v>
      </c>
      <c r="C7808" t="s">
        <v>10</v>
      </c>
      <c r="D7808" t="s">
        <v>10</v>
      </c>
      <c r="E7808" t="str">
        <f>"$ 1,687"</f>
        <v>$ 1,687</v>
      </c>
      <c r="F7808">
        <v>126</v>
      </c>
    </row>
    <row r="7809" spans="1:6">
      <c r="A7809" t="s">
        <v>7776</v>
      </c>
      <c r="B7809" t="str">
        <f t="shared" si="313"/>
        <v>0.00022%</v>
      </c>
      <c r="C7809" t="s">
        <v>10</v>
      </c>
      <c r="D7809" t="s">
        <v>10</v>
      </c>
      <c r="E7809" t="str">
        <f>"$ 1,687"</f>
        <v>$ 1,687</v>
      </c>
      <c r="F7809">
        <v>332</v>
      </c>
    </row>
    <row r="7810" spans="1:6">
      <c r="A7810" t="s">
        <v>7777</v>
      </c>
      <c r="B7810" t="str">
        <f t="shared" si="313"/>
        <v>0.00022%</v>
      </c>
      <c r="C7810" t="s">
        <v>10</v>
      </c>
      <c r="D7810" t="s">
        <v>10</v>
      </c>
      <c r="E7810" t="str">
        <f>"$ 1,685"</f>
        <v>$ 1,685</v>
      </c>
      <c r="F7810" s="1">
        <v>2423</v>
      </c>
    </row>
    <row r="7811" spans="1:6">
      <c r="A7811" t="s">
        <v>7778</v>
      </c>
      <c r="B7811" t="str">
        <f t="shared" si="313"/>
        <v>0.00022%</v>
      </c>
      <c r="C7811" t="s">
        <v>10</v>
      </c>
      <c r="D7811" t="s">
        <v>10</v>
      </c>
      <c r="E7811" t="str">
        <f>"$ 1,683"</f>
        <v>$ 1,683</v>
      </c>
      <c r="F7811">
        <v>746</v>
      </c>
    </row>
    <row r="7812" spans="1:6">
      <c r="A7812" t="s">
        <v>7779</v>
      </c>
      <c r="B7812" t="str">
        <f t="shared" si="313"/>
        <v>0.00022%</v>
      </c>
      <c r="C7812" t="s">
        <v>10</v>
      </c>
      <c r="D7812" t="s">
        <v>10</v>
      </c>
      <c r="E7812" t="str">
        <f>"$ 1,720"</f>
        <v>$ 1,720</v>
      </c>
      <c r="F7812">
        <v>689</v>
      </c>
    </row>
    <row r="7813" spans="1:6">
      <c r="A7813" t="s">
        <v>7780</v>
      </c>
      <c r="B7813" t="str">
        <f t="shared" si="313"/>
        <v>0.00022%</v>
      </c>
      <c r="C7813" t="s">
        <v>10</v>
      </c>
      <c r="D7813" t="s">
        <v>10</v>
      </c>
      <c r="E7813" t="str">
        <f>"$ 1,731"</f>
        <v>$ 1,731</v>
      </c>
      <c r="F7813" s="1">
        <v>2767</v>
      </c>
    </row>
    <row r="7814" spans="1:6">
      <c r="A7814" t="s">
        <v>7781</v>
      </c>
      <c r="B7814" t="str">
        <f t="shared" ref="B7814:B7845" si="314">"0.00021%"</f>
        <v>0.00021%</v>
      </c>
      <c r="C7814" t="s">
        <v>10</v>
      </c>
      <c r="D7814" t="s">
        <v>10</v>
      </c>
      <c r="E7814" t="str">
        <f>"$ 1,602"</f>
        <v>$ 1,602</v>
      </c>
      <c r="F7814">
        <v>350</v>
      </c>
    </row>
    <row r="7815" spans="1:6">
      <c r="A7815" t="s">
        <v>7782</v>
      </c>
      <c r="B7815" t="str">
        <f t="shared" si="314"/>
        <v>0.00021%</v>
      </c>
      <c r="C7815" t="s">
        <v>10</v>
      </c>
      <c r="D7815" t="s">
        <v>10</v>
      </c>
      <c r="E7815" t="str">
        <f>"$ 1,653"</f>
        <v>$ 1,653</v>
      </c>
      <c r="F7815">
        <v>112</v>
      </c>
    </row>
    <row r="7816" spans="1:6">
      <c r="A7816" t="s">
        <v>7783</v>
      </c>
      <c r="B7816" t="str">
        <f t="shared" si="314"/>
        <v>0.00021%</v>
      </c>
      <c r="C7816" t="s">
        <v>10</v>
      </c>
      <c r="D7816" t="s">
        <v>10</v>
      </c>
      <c r="E7816" t="str">
        <f>"$ 1,641"</f>
        <v>$ 1,641</v>
      </c>
      <c r="F7816">
        <v>49</v>
      </c>
    </row>
    <row r="7817" spans="1:6">
      <c r="A7817" t="s">
        <v>7784</v>
      </c>
      <c r="B7817" t="str">
        <f t="shared" si="314"/>
        <v>0.00021%</v>
      </c>
      <c r="C7817" t="s">
        <v>10</v>
      </c>
      <c r="D7817" t="s">
        <v>10</v>
      </c>
      <c r="E7817" t="str">
        <f>"$ 1,650"</f>
        <v>$ 1,650</v>
      </c>
      <c r="F7817">
        <v>165</v>
      </c>
    </row>
    <row r="7818" spans="1:6">
      <c r="A7818" t="s">
        <v>7785</v>
      </c>
      <c r="B7818" t="str">
        <f t="shared" si="314"/>
        <v>0.00021%</v>
      </c>
      <c r="C7818" t="s">
        <v>10</v>
      </c>
      <c r="D7818" t="s">
        <v>10</v>
      </c>
      <c r="E7818" t="str">
        <f>"$ 1,600"</f>
        <v>$ 1,600</v>
      </c>
      <c r="F7818" s="1">
        <v>26747</v>
      </c>
    </row>
    <row r="7819" spans="1:6">
      <c r="A7819" t="s">
        <v>7786</v>
      </c>
      <c r="B7819" t="str">
        <f t="shared" si="314"/>
        <v>0.00021%</v>
      </c>
      <c r="C7819" t="s">
        <v>10</v>
      </c>
      <c r="D7819" t="s">
        <v>10</v>
      </c>
      <c r="E7819" t="str">
        <f>"$ 1,591"</f>
        <v>$ 1,591</v>
      </c>
      <c r="F7819">
        <v>267</v>
      </c>
    </row>
    <row r="7820" spans="1:6">
      <c r="A7820" t="s">
        <v>7787</v>
      </c>
      <c r="B7820" t="str">
        <f t="shared" si="314"/>
        <v>0.00021%</v>
      </c>
      <c r="C7820" t="s">
        <v>10</v>
      </c>
      <c r="D7820" t="s">
        <v>10</v>
      </c>
      <c r="E7820" t="str">
        <f>"$ 1,634"</f>
        <v>$ 1,634</v>
      </c>
      <c r="F7820">
        <v>33</v>
      </c>
    </row>
    <row r="7821" spans="1:6">
      <c r="A7821" t="s">
        <v>7788</v>
      </c>
      <c r="B7821" t="str">
        <f t="shared" si="314"/>
        <v>0.00021%</v>
      </c>
      <c r="C7821" t="s">
        <v>10</v>
      </c>
      <c r="D7821" t="s">
        <v>10</v>
      </c>
      <c r="E7821" t="str">
        <f>"$ 1,619"</f>
        <v>$ 1,619</v>
      </c>
      <c r="F7821">
        <v>2</v>
      </c>
    </row>
    <row r="7822" spans="1:6">
      <c r="A7822" t="s">
        <v>7789</v>
      </c>
      <c r="B7822" t="str">
        <f t="shared" si="314"/>
        <v>0.00021%</v>
      </c>
      <c r="C7822" t="s">
        <v>10</v>
      </c>
      <c r="D7822" t="s">
        <v>10</v>
      </c>
      <c r="E7822" t="str">
        <f>"$ 1,632"</f>
        <v>$ 1,632</v>
      </c>
      <c r="F7822">
        <v>637</v>
      </c>
    </row>
    <row r="7823" spans="1:6">
      <c r="A7823" t="s">
        <v>7790</v>
      </c>
      <c r="B7823" t="str">
        <f t="shared" si="314"/>
        <v>0.00021%</v>
      </c>
      <c r="C7823" t="s">
        <v>10</v>
      </c>
      <c r="D7823" t="s">
        <v>10</v>
      </c>
      <c r="E7823" t="str">
        <f>"$ 1,638"</f>
        <v>$ 1,638</v>
      </c>
      <c r="F7823" s="1">
        <v>1005</v>
      </c>
    </row>
    <row r="7824" spans="1:6">
      <c r="A7824" t="s">
        <v>7791</v>
      </c>
      <c r="B7824" t="str">
        <f t="shared" si="314"/>
        <v>0.00021%</v>
      </c>
      <c r="C7824" t="s">
        <v>10</v>
      </c>
      <c r="D7824" t="s">
        <v>10</v>
      </c>
      <c r="E7824" t="str">
        <f>"$ 1,624"</f>
        <v>$ 1,624</v>
      </c>
      <c r="F7824" s="1">
        <v>2455</v>
      </c>
    </row>
    <row r="7825" spans="1:6">
      <c r="A7825" t="s">
        <v>7792</v>
      </c>
      <c r="B7825" t="str">
        <f t="shared" si="314"/>
        <v>0.00021%</v>
      </c>
      <c r="C7825" t="s">
        <v>10</v>
      </c>
      <c r="D7825" t="s">
        <v>10</v>
      </c>
      <c r="E7825" t="str">
        <f>"$ 1,597"</f>
        <v>$ 1,597</v>
      </c>
      <c r="F7825">
        <v>34</v>
      </c>
    </row>
    <row r="7826" spans="1:6">
      <c r="A7826" t="s">
        <v>7793</v>
      </c>
      <c r="B7826" t="str">
        <f t="shared" si="314"/>
        <v>0.00021%</v>
      </c>
      <c r="C7826" t="s">
        <v>10</v>
      </c>
      <c r="D7826" t="s">
        <v>10</v>
      </c>
      <c r="E7826" t="str">
        <f>"$ 1,659"</f>
        <v>$ 1,659</v>
      </c>
      <c r="F7826">
        <v>724</v>
      </c>
    </row>
    <row r="7827" spans="1:6">
      <c r="A7827" t="s">
        <v>7794</v>
      </c>
      <c r="B7827" t="str">
        <f t="shared" si="314"/>
        <v>0.00021%</v>
      </c>
      <c r="C7827" t="s">
        <v>10</v>
      </c>
      <c r="D7827" t="s">
        <v>10</v>
      </c>
      <c r="E7827" t="str">
        <f>"$ 1,646"</f>
        <v>$ 1,646</v>
      </c>
      <c r="F7827">
        <v>169</v>
      </c>
    </row>
    <row r="7828" spans="1:6">
      <c r="A7828" t="s">
        <v>7128</v>
      </c>
      <c r="B7828" t="str">
        <f t="shared" si="314"/>
        <v>0.00021%</v>
      </c>
      <c r="C7828" t="s">
        <v>10</v>
      </c>
      <c r="D7828" t="s">
        <v>10</v>
      </c>
      <c r="E7828" t="str">
        <f>"$ 1,658"</f>
        <v>$ 1,658</v>
      </c>
      <c r="F7828" s="1">
        <v>1183</v>
      </c>
    </row>
    <row r="7829" spans="1:6">
      <c r="A7829" t="s">
        <v>7795</v>
      </c>
      <c r="B7829" t="str">
        <f t="shared" si="314"/>
        <v>0.00021%</v>
      </c>
      <c r="C7829" t="s">
        <v>10</v>
      </c>
      <c r="D7829" t="s">
        <v>10</v>
      </c>
      <c r="E7829" t="str">
        <f>"$ 1,602"</f>
        <v>$ 1,602</v>
      </c>
      <c r="F7829">
        <v>682</v>
      </c>
    </row>
    <row r="7830" spans="1:6">
      <c r="A7830" t="s">
        <v>7796</v>
      </c>
      <c r="B7830" t="str">
        <f t="shared" si="314"/>
        <v>0.00021%</v>
      </c>
      <c r="C7830" t="s">
        <v>10</v>
      </c>
      <c r="D7830" t="s">
        <v>10</v>
      </c>
      <c r="E7830" t="str">
        <f>"$ 1,595"</f>
        <v>$ 1,595</v>
      </c>
      <c r="F7830">
        <v>711</v>
      </c>
    </row>
    <row r="7831" spans="1:6">
      <c r="A7831" t="s">
        <v>7797</v>
      </c>
      <c r="B7831" t="str">
        <f t="shared" si="314"/>
        <v>0.00021%</v>
      </c>
      <c r="C7831" t="s">
        <v>10</v>
      </c>
      <c r="D7831" t="s">
        <v>10</v>
      </c>
      <c r="E7831" t="str">
        <f>"$ 1,591"</f>
        <v>$ 1,591</v>
      </c>
      <c r="F7831" s="1">
        <v>2199</v>
      </c>
    </row>
    <row r="7832" spans="1:6">
      <c r="A7832" t="s">
        <v>7798</v>
      </c>
      <c r="B7832" t="str">
        <f t="shared" si="314"/>
        <v>0.00021%</v>
      </c>
      <c r="C7832" t="s">
        <v>10</v>
      </c>
      <c r="D7832" t="s">
        <v>10</v>
      </c>
      <c r="E7832" t="str">
        <f>"$ 1,596"</f>
        <v>$ 1,596</v>
      </c>
      <c r="F7832">
        <v>33</v>
      </c>
    </row>
    <row r="7833" spans="1:6">
      <c r="A7833" t="s">
        <v>7799</v>
      </c>
      <c r="B7833" t="str">
        <f t="shared" si="314"/>
        <v>0.00021%</v>
      </c>
      <c r="C7833" t="s">
        <v>10</v>
      </c>
      <c r="D7833" t="s">
        <v>10</v>
      </c>
      <c r="E7833" t="str">
        <f>"$ 1,602"</f>
        <v>$ 1,602</v>
      </c>
      <c r="F7833">
        <v>382</v>
      </c>
    </row>
    <row r="7834" spans="1:6">
      <c r="A7834" t="s">
        <v>7800</v>
      </c>
      <c r="B7834" t="str">
        <f t="shared" si="314"/>
        <v>0.00021%</v>
      </c>
      <c r="C7834" t="s">
        <v>10</v>
      </c>
      <c r="D7834" t="s">
        <v>10</v>
      </c>
      <c r="E7834" t="str">
        <f>"$ 1,598"</f>
        <v>$ 1,598</v>
      </c>
      <c r="F7834">
        <v>205</v>
      </c>
    </row>
    <row r="7835" spans="1:6">
      <c r="A7835" t="s">
        <v>7801</v>
      </c>
      <c r="B7835" t="str">
        <f t="shared" si="314"/>
        <v>0.00021%</v>
      </c>
      <c r="C7835" t="s">
        <v>10</v>
      </c>
      <c r="D7835" t="s">
        <v>10</v>
      </c>
      <c r="E7835" t="str">
        <f>"$ 1,614"</f>
        <v>$ 1,614</v>
      </c>
      <c r="F7835">
        <v>37</v>
      </c>
    </row>
    <row r="7836" spans="1:6">
      <c r="A7836" t="s">
        <v>7802</v>
      </c>
      <c r="B7836" t="str">
        <f t="shared" si="314"/>
        <v>0.00021%</v>
      </c>
      <c r="C7836" t="s">
        <v>10</v>
      </c>
      <c r="D7836" t="s">
        <v>10</v>
      </c>
      <c r="E7836" t="str">
        <f>"$ 1,598"</f>
        <v>$ 1,598</v>
      </c>
      <c r="F7836">
        <v>231</v>
      </c>
    </row>
    <row r="7837" spans="1:6">
      <c r="A7837" t="s">
        <v>7803</v>
      </c>
      <c r="B7837" t="str">
        <f t="shared" si="314"/>
        <v>0.00021%</v>
      </c>
      <c r="C7837" t="s">
        <v>10</v>
      </c>
      <c r="D7837" t="s">
        <v>10</v>
      </c>
      <c r="E7837" t="str">
        <f>"$ 1,636"</f>
        <v>$ 1,636</v>
      </c>
      <c r="F7837">
        <v>33</v>
      </c>
    </row>
    <row r="7838" spans="1:6">
      <c r="A7838" t="s">
        <v>7804</v>
      </c>
      <c r="B7838" t="str">
        <f t="shared" si="314"/>
        <v>0.00021%</v>
      </c>
      <c r="C7838" t="s">
        <v>10</v>
      </c>
      <c r="D7838" t="s">
        <v>10</v>
      </c>
      <c r="E7838" t="str">
        <f>"$ 1,597"</f>
        <v>$ 1,597</v>
      </c>
      <c r="F7838" s="1">
        <v>4578</v>
      </c>
    </row>
    <row r="7839" spans="1:6">
      <c r="A7839" t="s">
        <v>7805</v>
      </c>
      <c r="B7839" t="str">
        <f t="shared" si="314"/>
        <v>0.00021%</v>
      </c>
      <c r="C7839" t="s">
        <v>10</v>
      </c>
      <c r="D7839" t="s">
        <v>10</v>
      </c>
      <c r="E7839" t="str">
        <f>"$ 1,647"</f>
        <v>$ 1,647</v>
      </c>
      <c r="F7839">
        <v>162</v>
      </c>
    </row>
    <row r="7840" spans="1:6">
      <c r="A7840" t="s">
        <v>7806</v>
      </c>
      <c r="B7840" t="str">
        <f t="shared" si="314"/>
        <v>0.00021%</v>
      </c>
      <c r="C7840" t="s">
        <v>10</v>
      </c>
      <c r="D7840" t="s">
        <v>10</v>
      </c>
      <c r="E7840" t="str">
        <f>"$ 1,658"</f>
        <v>$ 1,658</v>
      </c>
      <c r="F7840" s="1">
        <v>1274</v>
      </c>
    </row>
    <row r="7841" spans="1:6">
      <c r="A7841" t="s">
        <v>7807</v>
      </c>
      <c r="B7841" t="str">
        <f t="shared" si="314"/>
        <v>0.00021%</v>
      </c>
      <c r="C7841" t="s">
        <v>10</v>
      </c>
      <c r="D7841" t="s">
        <v>10</v>
      </c>
      <c r="E7841" t="str">
        <f>"$ 1,619"</f>
        <v>$ 1,619</v>
      </c>
      <c r="F7841">
        <v>340</v>
      </c>
    </row>
    <row r="7842" spans="1:6">
      <c r="A7842" t="s">
        <v>7808</v>
      </c>
      <c r="B7842" t="str">
        <f t="shared" si="314"/>
        <v>0.00021%</v>
      </c>
      <c r="C7842" t="s">
        <v>10</v>
      </c>
      <c r="D7842" t="s">
        <v>10</v>
      </c>
      <c r="E7842" t="str">
        <f>"$ 1,625"</f>
        <v>$ 1,625</v>
      </c>
      <c r="F7842">
        <v>49</v>
      </c>
    </row>
    <row r="7843" spans="1:6">
      <c r="A7843" t="s">
        <v>7809</v>
      </c>
      <c r="B7843" t="str">
        <f t="shared" si="314"/>
        <v>0.00021%</v>
      </c>
      <c r="C7843" t="s">
        <v>10</v>
      </c>
      <c r="D7843" t="s">
        <v>10</v>
      </c>
      <c r="E7843" t="str">
        <f>"$ 1,624"</f>
        <v>$ 1,624</v>
      </c>
      <c r="F7843">
        <v>151</v>
      </c>
    </row>
    <row r="7844" spans="1:6">
      <c r="A7844" t="s">
        <v>7810</v>
      </c>
      <c r="B7844" t="str">
        <f t="shared" si="314"/>
        <v>0.00021%</v>
      </c>
      <c r="C7844" t="s">
        <v>10</v>
      </c>
      <c r="D7844" t="s">
        <v>10</v>
      </c>
      <c r="E7844" t="str">
        <f>"$ 1,640"</f>
        <v>$ 1,640</v>
      </c>
      <c r="F7844" s="1">
        <v>1784</v>
      </c>
    </row>
    <row r="7845" spans="1:6">
      <c r="A7845" t="s">
        <v>7811</v>
      </c>
      <c r="B7845" t="str">
        <f t="shared" si="314"/>
        <v>0.00021%</v>
      </c>
      <c r="C7845" t="s">
        <v>10</v>
      </c>
      <c r="D7845" t="s">
        <v>10</v>
      </c>
      <c r="E7845" t="str">
        <f>"$ 1,652"</f>
        <v>$ 1,652</v>
      </c>
      <c r="F7845" s="1">
        <v>3595</v>
      </c>
    </row>
    <row r="7846" spans="1:6">
      <c r="A7846" t="s">
        <v>7812</v>
      </c>
      <c r="B7846" t="str">
        <f t="shared" ref="B7846:B7877" si="315">"0.00021%"</f>
        <v>0.00021%</v>
      </c>
      <c r="C7846" t="s">
        <v>10</v>
      </c>
      <c r="D7846" t="s">
        <v>10</v>
      </c>
      <c r="E7846" t="str">
        <f>"$ 1,652"</f>
        <v>$ 1,652</v>
      </c>
      <c r="F7846">
        <v>198</v>
      </c>
    </row>
    <row r="7847" spans="1:6">
      <c r="A7847" t="s">
        <v>7813</v>
      </c>
      <c r="B7847" t="str">
        <f t="shared" si="315"/>
        <v>0.00021%</v>
      </c>
      <c r="C7847" t="s">
        <v>10</v>
      </c>
      <c r="D7847" t="s">
        <v>10</v>
      </c>
      <c r="E7847" t="str">
        <f>"$ 1,615"</f>
        <v>$ 1,615</v>
      </c>
      <c r="F7847">
        <v>29</v>
      </c>
    </row>
    <row r="7848" spans="1:6">
      <c r="A7848" t="s">
        <v>7814</v>
      </c>
      <c r="B7848" t="str">
        <f t="shared" si="315"/>
        <v>0.00021%</v>
      </c>
      <c r="C7848" t="s">
        <v>10</v>
      </c>
      <c r="D7848" t="s">
        <v>10</v>
      </c>
      <c r="E7848" t="str">
        <f>"$ 1,588"</f>
        <v>$ 1,588</v>
      </c>
      <c r="F7848">
        <v>138</v>
      </c>
    </row>
    <row r="7849" spans="1:6">
      <c r="A7849" t="s">
        <v>7815</v>
      </c>
      <c r="B7849" t="str">
        <f t="shared" si="315"/>
        <v>0.00021%</v>
      </c>
      <c r="C7849" t="s">
        <v>10</v>
      </c>
      <c r="D7849" t="s">
        <v>10</v>
      </c>
      <c r="E7849" t="str">
        <f>"$ 1,628"</f>
        <v>$ 1,628</v>
      </c>
      <c r="F7849">
        <v>22</v>
      </c>
    </row>
    <row r="7850" spans="1:6">
      <c r="A7850" t="s">
        <v>7816</v>
      </c>
      <c r="B7850" t="str">
        <f t="shared" si="315"/>
        <v>0.00021%</v>
      </c>
      <c r="C7850" t="s">
        <v>10</v>
      </c>
      <c r="D7850" t="s">
        <v>10</v>
      </c>
      <c r="E7850" t="str">
        <f>"$ 1,586"</f>
        <v>$ 1,586</v>
      </c>
      <c r="F7850">
        <v>33</v>
      </c>
    </row>
    <row r="7851" spans="1:6">
      <c r="A7851" t="s">
        <v>7817</v>
      </c>
      <c r="B7851" t="str">
        <f t="shared" si="315"/>
        <v>0.00021%</v>
      </c>
      <c r="C7851" t="s">
        <v>10</v>
      </c>
      <c r="D7851" t="s">
        <v>10</v>
      </c>
      <c r="E7851" t="str">
        <f>"$ 1,611"</f>
        <v>$ 1,611</v>
      </c>
      <c r="F7851">
        <v>73</v>
      </c>
    </row>
    <row r="7852" spans="1:6">
      <c r="A7852" t="s">
        <v>7818</v>
      </c>
      <c r="B7852" t="str">
        <f t="shared" si="315"/>
        <v>0.00021%</v>
      </c>
      <c r="C7852" t="s">
        <v>10</v>
      </c>
      <c r="D7852" t="s">
        <v>10</v>
      </c>
      <c r="E7852" t="str">
        <f>"$ 1,600"</f>
        <v>$ 1,600</v>
      </c>
      <c r="F7852">
        <v>33</v>
      </c>
    </row>
    <row r="7853" spans="1:6">
      <c r="A7853" t="s">
        <v>7819</v>
      </c>
      <c r="B7853" t="str">
        <f t="shared" si="315"/>
        <v>0.00021%</v>
      </c>
      <c r="C7853" t="s">
        <v>10</v>
      </c>
      <c r="D7853" t="s">
        <v>10</v>
      </c>
      <c r="E7853" t="str">
        <f>"$ 1,613"</f>
        <v>$ 1,613</v>
      </c>
      <c r="F7853">
        <v>140</v>
      </c>
    </row>
    <row r="7854" spans="1:6">
      <c r="A7854" t="s">
        <v>7820</v>
      </c>
      <c r="B7854" t="str">
        <f t="shared" si="315"/>
        <v>0.00021%</v>
      </c>
      <c r="C7854" t="s">
        <v>10</v>
      </c>
      <c r="D7854" t="s">
        <v>10</v>
      </c>
      <c r="E7854" t="str">
        <f>"$ 1,619"</f>
        <v>$ 1,619</v>
      </c>
      <c r="F7854">
        <v>284</v>
      </c>
    </row>
    <row r="7855" spans="1:6">
      <c r="A7855" t="s">
        <v>7821</v>
      </c>
      <c r="B7855" t="str">
        <f t="shared" si="315"/>
        <v>0.00021%</v>
      </c>
      <c r="C7855" t="s">
        <v>10</v>
      </c>
      <c r="D7855" t="s">
        <v>10</v>
      </c>
      <c r="E7855" t="str">
        <f>"$ 1,602"</f>
        <v>$ 1,602</v>
      </c>
      <c r="F7855">
        <v>38</v>
      </c>
    </row>
    <row r="7856" spans="1:6">
      <c r="A7856" t="s">
        <v>7822</v>
      </c>
      <c r="B7856" t="str">
        <f t="shared" si="315"/>
        <v>0.00021%</v>
      </c>
      <c r="C7856" t="s">
        <v>10</v>
      </c>
      <c r="D7856" t="s">
        <v>10</v>
      </c>
      <c r="E7856" t="str">
        <f>"$ 1,624"</f>
        <v>$ 1,624</v>
      </c>
      <c r="F7856">
        <v>68</v>
      </c>
    </row>
    <row r="7857" spans="1:6">
      <c r="A7857" t="s">
        <v>7823</v>
      </c>
      <c r="B7857" t="str">
        <f t="shared" si="315"/>
        <v>0.00021%</v>
      </c>
      <c r="C7857" t="s">
        <v>10</v>
      </c>
      <c r="D7857" t="s">
        <v>10</v>
      </c>
      <c r="E7857" t="str">
        <f>"$ 1,631"</f>
        <v>$ 1,631</v>
      </c>
      <c r="F7857" s="1">
        <v>2722</v>
      </c>
    </row>
    <row r="7858" spans="1:6">
      <c r="A7858" t="s">
        <v>7824</v>
      </c>
      <c r="B7858" t="str">
        <f t="shared" si="315"/>
        <v>0.00021%</v>
      </c>
      <c r="C7858" t="s">
        <v>10</v>
      </c>
      <c r="D7858" t="s">
        <v>10</v>
      </c>
      <c r="E7858" t="str">
        <f>"$ 1,654"</f>
        <v>$ 1,654</v>
      </c>
      <c r="F7858">
        <v>49</v>
      </c>
    </row>
    <row r="7859" spans="1:6">
      <c r="A7859" t="s">
        <v>7825</v>
      </c>
      <c r="B7859" t="str">
        <f t="shared" si="315"/>
        <v>0.00021%</v>
      </c>
      <c r="C7859" t="s">
        <v>10</v>
      </c>
      <c r="D7859" t="s">
        <v>10</v>
      </c>
      <c r="E7859" t="str">
        <f>"$ 1,583"</f>
        <v>$ 1,583</v>
      </c>
      <c r="F7859">
        <v>20</v>
      </c>
    </row>
    <row r="7860" spans="1:6">
      <c r="A7860" t="s">
        <v>7826</v>
      </c>
      <c r="B7860" t="str">
        <f t="shared" si="315"/>
        <v>0.00021%</v>
      </c>
      <c r="C7860" t="s">
        <v>10</v>
      </c>
      <c r="D7860" t="s">
        <v>10</v>
      </c>
      <c r="E7860" t="str">
        <f>"$ 1,591"</f>
        <v>$ 1,591</v>
      </c>
      <c r="F7860">
        <v>459</v>
      </c>
    </row>
    <row r="7861" spans="1:6">
      <c r="A7861" t="s">
        <v>7827</v>
      </c>
      <c r="B7861" t="str">
        <f t="shared" si="315"/>
        <v>0.00021%</v>
      </c>
      <c r="C7861" t="s">
        <v>10</v>
      </c>
      <c r="D7861" t="s">
        <v>10</v>
      </c>
      <c r="E7861" t="str">
        <f>"$ 1,596"</f>
        <v>$ 1,596</v>
      </c>
      <c r="F7861">
        <v>83</v>
      </c>
    </row>
    <row r="7862" spans="1:6">
      <c r="A7862" t="s">
        <v>7828</v>
      </c>
      <c r="B7862" t="str">
        <f t="shared" si="315"/>
        <v>0.00021%</v>
      </c>
      <c r="C7862" t="s">
        <v>10</v>
      </c>
      <c r="D7862" t="s">
        <v>10</v>
      </c>
      <c r="E7862" t="str">
        <f>"$ 1,597"</f>
        <v>$ 1,597</v>
      </c>
      <c r="F7862" s="1">
        <v>1452</v>
      </c>
    </row>
    <row r="7863" spans="1:6">
      <c r="A7863" t="s">
        <v>7829</v>
      </c>
      <c r="B7863" t="str">
        <f t="shared" si="315"/>
        <v>0.00021%</v>
      </c>
      <c r="C7863" t="s">
        <v>10</v>
      </c>
      <c r="D7863" t="s">
        <v>10</v>
      </c>
      <c r="E7863" t="str">
        <f>"$ 1,649"</f>
        <v>$ 1,649</v>
      </c>
      <c r="F7863">
        <v>149</v>
      </c>
    </row>
    <row r="7864" spans="1:6">
      <c r="A7864" t="s">
        <v>7830</v>
      </c>
      <c r="B7864" t="str">
        <f t="shared" si="315"/>
        <v>0.00021%</v>
      </c>
      <c r="C7864" t="s">
        <v>10</v>
      </c>
      <c r="D7864" t="s">
        <v>10</v>
      </c>
      <c r="E7864" t="str">
        <f>"$ 1,629"</f>
        <v>$ 1,629</v>
      </c>
      <c r="F7864">
        <v>58</v>
      </c>
    </row>
    <row r="7865" spans="1:6">
      <c r="A7865" t="s">
        <v>7831</v>
      </c>
      <c r="B7865" t="str">
        <f t="shared" si="315"/>
        <v>0.00021%</v>
      </c>
      <c r="C7865" t="s">
        <v>10</v>
      </c>
      <c r="D7865" t="s">
        <v>10</v>
      </c>
      <c r="E7865" t="str">
        <f>"$ 1,622"</f>
        <v>$ 1,622</v>
      </c>
      <c r="F7865">
        <v>64</v>
      </c>
    </row>
    <row r="7866" spans="1:6">
      <c r="A7866" t="s">
        <v>7832</v>
      </c>
      <c r="B7866" t="str">
        <f t="shared" si="315"/>
        <v>0.00021%</v>
      </c>
      <c r="C7866" t="s">
        <v>10</v>
      </c>
      <c r="D7866" t="s">
        <v>10</v>
      </c>
      <c r="E7866" t="str">
        <f>"$ 1,636"</f>
        <v>$ 1,636</v>
      </c>
      <c r="F7866">
        <v>299</v>
      </c>
    </row>
    <row r="7867" spans="1:6">
      <c r="A7867" t="s">
        <v>7833</v>
      </c>
      <c r="B7867" t="str">
        <f t="shared" si="315"/>
        <v>0.00021%</v>
      </c>
      <c r="C7867" t="s">
        <v>10</v>
      </c>
      <c r="D7867" t="s">
        <v>10</v>
      </c>
      <c r="E7867" t="str">
        <f>"$ 1,637"</f>
        <v>$ 1,637</v>
      </c>
      <c r="F7867">
        <v>47</v>
      </c>
    </row>
    <row r="7868" spans="1:6">
      <c r="A7868" t="s">
        <v>7834</v>
      </c>
      <c r="B7868" t="str">
        <f t="shared" si="315"/>
        <v>0.00021%</v>
      </c>
      <c r="C7868" t="s">
        <v>10</v>
      </c>
      <c r="D7868" t="s">
        <v>10</v>
      </c>
      <c r="E7868" t="str">
        <f>"$ 1,644"</f>
        <v>$ 1,644</v>
      </c>
      <c r="F7868">
        <v>265</v>
      </c>
    </row>
    <row r="7869" spans="1:6">
      <c r="A7869" t="s">
        <v>7835</v>
      </c>
      <c r="B7869" t="str">
        <f t="shared" si="315"/>
        <v>0.00021%</v>
      </c>
      <c r="C7869" t="s">
        <v>10</v>
      </c>
      <c r="D7869" t="s">
        <v>10</v>
      </c>
      <c r="E7869" t="str">
        <f>"$ 1,585"</f>
        <v>$ 1,585</v>
      </c>
      <c r="F7869" s="1">
        <v>1329</v>
      </c>
    </row>
    <row r="7870" spans="1:6">
      <c r="A7870" t="s">
        <v>7836</v>
      </c>
      <c r="B7870" t="str">
        <f t="shared" si="315"/>
        <v>0.00021%</v>
      </c>
      <c r="C7870" t="s">
        <v>10</v>
      </c>
      <c r="D7870" t="s">
        <v>10</v>
      </c>
      <c r="E7870" t="str">
        <f>"$ 1,610"</f>
        <v>$ 1,610</v>
      </c>
      <c r="F7870">
        <v>33</v>
      </c>
    </row>
    <row r="7871" spans="1:6">
      <c r="A7871" t="s">
        <v>7837</v>
      </c>
      <c r="B7871" t="str">
        <f t="shared" si="315"/>
        <v>0.00021%</v>
      </c>
      <c r="C7871" t="s">
        <v>10</v>
      </c>
      <c r="D7871" t="s">
        <v>10</v>
      </c>
      <c r="E7871" t="str">
        <f>"$ 1,646"</f>
        <v>$ 1,646</v>
      </c>
      <c r="F7871">
        <v>66</v>
      </c>
    </row>
    <row r="7872" spans="1:6">
      <c r="A7872" t="s">
        <v>7838</v>
      </c>
      <c r="B7872" t="str">
        <f t="shared" si="315"/>
        <v>0.00021%</v>
      </c>
      <c r="C7872" t="s">
        <v>10</v>
      </c>
      <c r="D7872" t="s">
        <v>10</v>
      </c>
      <c r="E7872" t="str">
        <f>"$ 1,654"</f>
        <v>$ 1,654</v>
      </c>
      <c r="F7872">
        <v>70</v>
      </c>
    </row>
    <row r="7873" spans="1:6">
      <c r="A7873" t="s">
        <v>7839</v>
      </c>
      <c r="B7873" t="str">
        <f t="shared" si="315"/>
        <v>0.00021%</v>
      </c>
      <c r="C7873" t="s">
        <v>10</v>
      </c>
      <c r="D7873" t="s">
        <v>10</v>
      </c>
      <c r="E7873" t="str">
        <f>"$ 1,655"</f>
        <v>$ 1,655</v>
      </c>
      <c r="F7873">
        <v>138</v>
      </c>
    </row>
    <row r="7874" spans="1:6">
      <c r="A7874" t="s">
        <v>7840</v>
      </c>
      <c r="B7874" t="str">
        <f t="shared" si="315"/>
        <v>0.00021%</v>
      </c>
      <c r="C7874" t="s">
        <v>10</v>
      </c>
      <c r="D7874" t="s">
        <v>10</v>
      </c>
      <c r="E7874" t="str">
        <f>"$ 1,589"</f>
        <v>$ 1,589</v>
      </c>
      <c r="F7874">
        <v>143</v>
      </c>
    </row>
    <row r="7875" spans="1:6">
      <c r="A7875" t="s">
        <v>7841</v>
      </c>
      <c r="B7875" t="str">
        <f t="shared" si="315"/>
        <v>0.00021%</v>
      </c>
      <c r="C7875" t="s">
        <v>10</v>
      </c>
      <c r="D7875" t="s">
        <v>10</v>
      </c>
      <c r="E7875" t="str">
        <f>"$ 1,620"</f>
        <v>$ 1,620</v>
      </c>
      <c r="F7875">
        <v>249</v>
      </c>
    </row>
    <row r="7876" spans="1:6">
      <c r="A7876" t="s">
        <v>7842</v>
      </c>
      <c r="B7876" t="str">
        <f t="shared" si="315"/>
        <v>0.00021%</v>
      </c>
      <c r="C7876" t="s">
        <v>10</v>
      </c>
      <c r="D7876" t="s">
        <v>10</v>
      </c>
      <c r="E7876" t="str">
        <f>"$ 1,660"</f>
        <v>$ 1,660</v>
      </c>
      <c r="F7876">
        <v>115</v>
      </c>
    </row>
    <row r="7877" spans="1:6">
      <c r="A7877" t="s">
        <v>7843</v>
      </c>
      <c r="B7877" t="str">
        <f t="shared" si="315"/>
        <v>0.00021%</v>
      </c>
      <c r="C7877" t="s">
        <v>10</v>
      </c>
      <c r="D7877" t="s">
        <v>10</v>
      </c>
      <c r="E7877" t="str">
        <f>"$ 1,607"</f>
        <v>$ 1,607</v>
      </c>
      <c r="F7877">
        <v>39</v>
      </c>
    </row>
    <row r="7878" spans="1:6">
      <c r="A7878" t="s">
        <v>7844</v>
      </c>
      <c r="B7878" t="str">
        <f t="shared" ref="B7878:B7909" si="316">"0.00021%"</f>
        <v>0.00021%</v>
      </c>
      <c r="C7878" t="s">
        <v>10</v>
      </c>
      <c r="D7878" t="s">
        <v>10</v>
      </c>
      <c r="E7878" t="str">
        <f>"$ 1,585"</f>
        <v>$ 1,585</v>
      </c>
      <c r="F7878">
        <v>412</v>
      </c>
    </row>
    <row r="7879" spans="1:6">
      <c r="A7879" t="s">
        <v>7845</v>
      </c>
      <c r="B7879" t="str">
        <f t="shared" si="316"/>
        <v>0.00021%</v>
      </c>
      <c r="C7879" t="s">
        <v>10</v>
      </c>
      <c r="D7879" t="s">
        <v>10</v>
      </c>
      <c r="E7879" t="str">
        <f>"$ 1,595"</f>
        <v>$ 1,595</v>
      </c>
      <c r="F7879">
        <v>130</v>
      </c>
    </row>
    <row r="7880" spans="1:6">
      <c r="A7880" t="s">
        <v>7846</v>
      </c>
      <c r="B7880" t="str">
        <f t="shared" si="316"/>
        <v>0.00021%</v>
      </c>
      <c r="C7880" t="s">
        <v>10</v>
      </c>
      <c r="D7880" t="s">
        <v>10</v>
      </c>
      <c r="E7880" t="str">
        <f>"$ 1,590"</f>
        <v>$ 1,590</v>
      </c>
      <c r="F7880">
        <v>141</v>
      </c>
    </row>
    <row r="7881" spans="1:6">
      <c r="A7881" t="s">
        <v>7847</v>
      </c>
      <c r="B7881" t="str">
        <f t="shared" si="316"/>
        <v>0.00021%</v>
      </c>
      <c r="C7881" t="s">
        <v>10</v>
      </c>
      <c r="D7881" t="s">
        <v>10</v>
      </c>
      <c r="E7881" t="str">
        <f>"$ 1,597"</f>
        <v>$ 1,597</v>
      </c>
      <c r="F7881">
        <v>65</v>
      </c>
    </row>
    <row r="7882" spans="1:6">
      <c r="A7882" t="s">
        <v>7848</v>
      </c>
      <c r="B7882" t="str">
        <f t="shared" si="316"/>
        <v>0.00021%</v>
      </c>
      <c r="C7882" t="s">
        <v>10</v>
      </c>
      <c r="D7882" t="s">
        <v>10</v>
      </c>
      <c r="E7882" t="str">
        <f>"$ 1,644"</f>
        <v>$ 1,644</v>
      </c>
      <c r="F7882">
        <v>172</v>
      </c>
    </row>
    <row r="7883" spans="1:6">
      <c r="A7883" t="s">
        <v>7849</v>
      </c>
      <c r="B7883" t="str">
        <f t="shared" si="316"/>
        <v>0.00021%</v>
      </c>
      <c r="C7883" t="s">
        <v>10</v>
      </c>
      <c r="D7883" t="s">
        <v>10</v>
      </c>
      <c r="E7883" t="str">
        <f>"$ 1,595"</f>
        <v>$ 1,595</v>
      </c>
      <c r="F7883" s="1">
        <v>3463</v>
      </c>
    </row>
    <row r="7884" spans="1:6">
      <c r="A7884" t="s">
        <v>7850</v>
      </c>
      <c r="B7884" t="str">
        <f t="shared" si="316"/>
        <v>0.00021%</v>
      </c>
      <c r="C7884" t="s">
        <v>10</v>
      </c>
      <c r="D7884" t="s">
        <v>10</v>
      </c>
      <c r="E7884" t="str">
        <f>"$ 1,638"</f>
        <v>$ 1,638</v>
      </c>
      <c r="F7884">
        <v>636</v>
      </c>
    </row>
    <row r="7885" spans="1:6">
      <c r="A7885" t="s">
        <v>7851</v>
      </c>
      <c r="B7885" t="str">
        <f t="shared" si="316"/>
        <v>0.00021%</v>
      </c>
      <c r="C7885" t="s">
        <v>10</v>
      </c>
      <c r="D7885" t="s">
        <v>10</v>
      </c>
      <c r="E7885" t="str">
        <f>"$ 1,607"</f>
        <v>$ 1,607</v>
      </c>
      <c r="F7885">
        <v>154</v>
      </c>
    </row>
    <row r="7886" spans="1:6">
      <c r="A7886" t="s">
        <v>7852</v>
      </c>
      <c r="B7886" t="str">
        <f t="shared" si="316"/>
        <v>0.00021%</v>
      </c>
      <c r="C7886" t="s">
        <v>10</v>
      </c>
      <c r="D7886" t="s">
        <v>10</v>
      </c>
      <c r="E7886" t="str">
        <f>"$ 1,598"</f>
        <v>$ 1,598</v>
      </c>
      <c r="F7886">
        <v>49</v>
      </c>
    </row>
    <row r="7887" spans="1:6">
      <c r="A7887" t="s">
        <v>7853</v>
      </c>
      <c r="B7887" t="str">
        <f t="shared" si="316"/>
        <v>0.00021%</v>
      </c>
      <c r="C7887" t="s">
        <v>10</v>
      </c>
      <c r="D7887" t="s">
        <v>10</v>
      </c>
      <c r="E7887" t="str">
        <f>"$ 1,619"</f>
        <v>$ 1,619</v>
      </c>
      <c r="F7887">
        <v>82</v>
      </c>
    </row>
    <row r="7888" spans="1:6">
      <c r="A7888" t="s">
        <v>7854</v>
      </c>
      <c r="B7888" t="str">
        <f t="shared" si="316"/>
        <v>0.00021%</v>
      </c>
      <c r="C7888" t="s">
        <v>10</v>
      </c>
      <c r="D7888" t="s">
        <v>10</v>
      </c>
      <c r="E7888" t="str">
        <f>"$ 1,618"</f>
        <v>$ 1,618</v>
      </c>
      <c r="F7888">
        <v>132</v>
      </c>
    </row>
    <row r="7889" spans="1:6">
      <c r="A7889" t="s">
        <v>7855</v>
      </c>
      <c r="B7889" t="str">
        <f t="shared" si="316"/>
        <v>0.00021%</v>
      </c>
      <c r="C7889" t="s">
        <v>10</v>
      </c>
      <c r="D7889" t="s">
        <v>10</v>
      </c>
      <c r="E7889" t="str">
        <f>"$ 1,638"</f>
        <v>$ 1,638</v>
      </c>
      <c r="F7889">
        <v>41</v>
      </c>
    </row>
    <row r="7890" spans="1:6">
      <c r="A7890" t="s">
        <v>7856</v>
      </c>
      <c r="B7890" t="str">
        <f t="shared" si="316"/>
        <v>0.00021%</v>
      </c>
      <c r="C7890" t="s">
        <v>10</v>
      </c>
      <c r="D7890" t="s">
        <v>10</v>
      </c>
      <c r="E7890" t="str">
        <f>"$ 1,643"</f>
        <v>$ 1,643</v>
      </c>
      <c r="F7890" s="1">
        <v>9745</v>
      </c>
    </row>
    <row r="7891" spans="1:6">
      <c r="A7891" t="s">
        <v>7857</v>
      </c>
      <c r="B7891" t="str">
        <f t="shared" si="316"/>
        <v>0.00021%</v>
      </c>
      <c r="C7891" t="s">
        <v>10</v>
      </c>
      <c r="D7891" t="s">
        <v>10</v>
      </c>
      <c r="E7891" t="str">
        <f>"$ 1,656"</f>
        <v>$ 1,656</v>
      </c>
      <c r="F7891">
        <v>76</v>
      </c>
    </row>
    <row r="7892" spans="1:6">
      <c r="A7892" t="s">
        <v>7858</v>
      </c>
      <c r="B7892" t="str">
        <f t="shared" si="316"/>
        <v>0.00021%</v>
      </c>
      <c r="C7892" t="s">
        <v>10</v>
      </c>
      <c r="D7892" t="s">
        <v>10</v>
      </c>
      <c r="E7892" t="str">
        <f>"$ 1,651"</f>
        <v>$ 1,651</v>
      </c>
      <c r="F7892">
        <v>676</v>
      </c>
    </row>
    <row r="7893" spans="1:6">
      <c r="A7893" t="s">
        <v>7859</v>
      </c>
      <c r="B7893" t="str">
        <f t="shared" si="316"/>
        <v>0.00021%</v>
      </c>
      <c r="C7893" t="s">
        <v>10</v>
      </c>
      <c r="D7893" t="s">
        <v>10</v>
      </c>
      <c r="E7893" t="str">
        <f>"$ 1,625"</f>
        <v>$ 1,625</v>
      </c>
      <c r="F7893">
        <v>107</v>
      </c>
    </row>
    <row r="7894" spans="1:6">
      <c r="A7894" t="s">
        <v>7860</v>
      </c>
      <c r="B7894" t="str">
        <f t="shared" si="316"/>
        <v>0.00021%</v>
      </c>
      <c r="C7894" t="s">
        <v>10</v>
      </c>
      <c r="D7894" t="s">
        <v>10</v>
      </c>
      <c r="E7894" t="str">
        <f>"$ 1,616"</f>
        <v>$ 1,616</v>
      </c>
      <c r="F7894">
        <v>279</v>
      </c>
    </row>
    <row r="7895" spans="1:6">
      <c r="A7895" t="s">
        <v>7861</v>
      </c>
      <c r="B7895" t="str">
        <f t="shared" si="316"/>
        <v>0.00021%</v>
      </c>
      <c r="C7895" t="s">
        <v>10</v>
      </c>
      <c r="D7895" t="s">
        <v>10</v>
      </c>
      <c r="E7895" t="str">
        <f>"$ 1,602"</f>
        <v>$ 1,602</v>
      </c>
      <c r="F7895" s="1">
        <v>1151</v>
      </c>
    </row>
    <row r="7896" spans="1:6">
      <c r="A7896" t="s">
        <v>7862</v>
      </c>
      <c r="B7896" t="str">
        <f t="shared" si="316"/>
        <v>0.00021%</v>
      </c>
      <c r="C7896" t="s">
        <v>10</v>
      </c>
      <c r="D7896" t="s">
        <v>10</v>
      </c>
      <c r="E7896" t="str">
        <f>"$ 1,615"</f>
        <v>$ 1,615</v>
      </c>
      <c r="F7896" s="1">
        <v>1212</v>
      </c>
    </row>
    <row r="7897" spans="1:6">
      <c r="A7897" t="s">
        <v>7863</v>
      </c>
      <c r="B7897" t="str">
        <f t="shared" si="316"/>
        <v>0.00021%</v>
      </c>
      <c r="C7897" t="s">
        <v>10</v>
      </c>
      <c r="D7897" t="s">
        <v>10</v>
      </c>
      <c r="E7897" t="str">
        <f>"$ 1,617"</f>
        <v>$ 1,617</v>
      </c>
      <c r="F7897" s="1">
        <v>40843</v>
      </c>
    </row>
    <row r="7898" spans="1:6">
      <c r="A7898" t="s">
        <v>7864</v>
      </c>
      <c r="B7898" t="str">
        <f t="shared" si="316"/>
        <v>0.00021%</v>
      </c>
      <c r="C7898" t="s">
        <v>10</v>
      </c>
      <c r="D7898" t="s">
        <v>10</v>
      </c>
      <c r="E7898" t="str">
        <f>"$ 1,621"</f>
        <v>$ 1,621</v>
      </c>
      <c r="F7898">
        <v>132</v>
      </c>
    </row>
    <row r="7899" spans="1:6">
      <c r="A7899" t="s">
        <v>7865</v>
      </c>
      <c r="B7899" t="str">
        <f t="shared" si="316"/>
        <v>0.00021%</v>
      </c>
      <c r="C7899" t="s">
        <v>10</v>
      </c>
      <c r="D7899" t="s">
        <v>10</v>
      </c>
      <c r="E7899" t="str">
        <f>"$ 1,626"</f>
        <v>$ 1,626</v>
      </c>
      <c r="F7899">
        <v>99</v>
      </c>
    </row>
    <row r="7900" spans="1:6">
      <c r="A7900" t="s">
        <v>7866</v>
      </c>
      <c r="B7900" t="str">
        <f t="shared" si="316"/>
        <v>0.00021%</v>
      </c>
      <c r="C7900" t="s">
        <v>10</v>
      </c>
      <c r="D7900" t="s">
        <v>10</v>
      </c>
      <c r="E7900" t="str">
        <f>"$ 1,641"</f>
        <v>$ 1,641</v>
      </c>
      <c r="F7900" s="1">
        <v>4328</v>
      </c>
    </row>
    <row r="7901" spans="1:6">
      <c r="A7901" t="s">
        <v>7867</v>
      </c>
      <c r="B7901" t="str">
        <f t="shared" si="316"/>
        <v>0.00021%</v>
      </c>
      <c r="C7901" t="s">
        <v>10</v>
      </c>
      <c r="D7901" t="s">
        <v>10</v>
      </c>
      <c r="E7901" t="str">
        <f>"$ 1,650"</f>
        <v>$ 1,650</v>
      </c>
      <c r="F7901">
        <v>742</v>
      </c>
    </row>
    <row r="7902" spans="1:6">
      <c r="A7902" t="s">
        <v>7868</v>
      </c>
      <c r="B7902" t="str">
        <f t="shared" si="316"/>
        <v>0.00021%</v>
      </c>
      <c r="C7902" t="s">
        <v>10</v>
      </c>
      <c r="D7902" t="s">
        <v>10</v>
      </c>
      <c r="E7902" t="str">
        <f>"$ 1,607"</f>
        <v>$ 1,607</v>
      </c>
      <c r="F7902">
        <v>66</v>
      </c>
    </row>
    <row r="7903" spans="1:6">
      <c r="A7903" t="s">
        <v>7869</v>
      </c>
      <c r="B7903" t="str">
        <f t="shared" si="316"/>
        <v>0.00021%</v>
      </c>
      <c r="C7903" t="s">
        <v>10</v>
      </c>
      <c r="D7903" t="s">
        <v>10</v>
      </c>
      <c r="E7903" t="str">
        <f>"$ 1,637"</f>
        <v>$ 1,637</v>
      </c>
      <c r="F7903">
        <v>107</v>
      </c>
    </row>
    <row r="7904" spans="1:6">
      <c r="A7904" t="s">
        <v>7870</v>
      </c>
      <c r="B7904" t="str">
        <f t="shared" si="316"/>
        <v>0.00021%</v>
      </c>
      <c r="C7904" t="s">
        <v>10</v>
      </c>
      <c r="D7904" t="s">
        <v>10</v>
      </c>
      <c r="E7904" t="str">
        <f>"$ 1,639"</f>
        <v>$ 1,639</v>
      </c>
      <c r="F7904" s="1">
        <v>1221</v>
      </c>
    </row>
    <row r="7905" spans="1:6">
      <c r="A7905" t="s">
        <v>7871</v>
      </c>
      <c r="B7905" t="str">
        <f t="shared" si="316"/>
        <v>0.00021%</v>
      </c>
      <c r="C7905" t="s">
        <v>10</v>
      </c>
      <c r="D7905" t="s">
        <v>10</v>
      </c>
      <c r="E7905" t="str">
        <f>"$ 1,624"</f>
        <v>$ 1,624</v>
      </c>
      <c r="F7905">
        <v>104</v>
      </c>
    </row>
    <row r="7906" spans="1:6">
      <c r="A7906" t="s">
        <v>7872</v>
      </c>
      <c r="B7906" t="str">
        <f t="shared" si="316"/>
        <v>0.00021%</v>
      </c>
      <c r="C7906" t="s">
        <v>10</v>
      </c>
      <c r="D7906" t="s">
        <v>10</v>
      </c>
      <c r="E7906" t="str">
        <f>"$ 1,632"</f>
        <v>$ 1,632</v>
      </c>
      <c r="F7906">
        <v>214</v>
      </c>
    </row>
    <row r="7907" spans="1:6">
      <c r="A7907" t="s">
        <v>7873</v>
      </c>
      <c r="B7907" t="str">
        <f t="shared" si="316"/>
        <v>0.00021%</v>
      </c>
      <c r="C7907" t="s">
        <v>10</v>
      </c>
      <c r="D7907" t="s">
        <v>10</v>
      </c>
      <c r="E7907" t="str">
        <f>"$ 1,634"</f>
        <v>$ 1,634</v>
      </c>
      <c r="F7907">
        <v>838</v>
      </c>
    </row>
    <row r="7908" spans="1:6">
      <c r="A7908" t="s">
        <v>7874</v>
      </c>
      <c r="B7908" t="str">
        <f t="shared" si="316"/>
        <v>0.00021%</v>
      </c>
      <c r="C7908" t="s">
        <v>10</v>
      </c>
      <c r="D7908" t="s">
        <v>10</v>
      </c>
      <c r="E7908" t="str">
        <f>"$ 1,634"</f>
        <v>$ 1,634</v>
      </c>
      <c r="F7908">
        <v>52</v>
      </c>
    </row>
    <row r="7909" spans="1:6">
      <c r="A7909" t="s">
        <v>7875</v>
      </c>
      <c r="B7909" t="str">
        <f t="shared" si="316"/>
        <v>0.00021%</v>
      </c>
      <c r="C7909" t="s">
        <v>10</v>
      </c>
      <c r="D7909" t="s">
        <v>10</v>
      </c>
      <c r="E7909" t="str">
        <f>"$ 1,640"</f>
        <v>$ 1,640</v>
      </c>
      <c r="F7909">
        <v>99</v>
      </c>
    </row>
    <row r="7910" spans="1:6">
      <c r="A7910" t="s">
        <v>7876</v>
      </c>
      <c r="B7910" t="str">
        <f t="shared" ref="B7910:B7915" si="317">"0.00021%"</f>
        <v>0.00021%</v>
      </c>
      <c r="C7910" t="s">
        <v>10</v>
      </c>
      <c r="D7910" t="s">
        <v>10</v>
      </c>
      <c r="E7910" t="str">
        <f>"$ 1,642"</f>
        <v>$ 1,642</v>
      </c>
      <c r="F7910">
        <v>19</v>
      </c>
    </row>
    <row r="7911" spans="1:6">
      <c r="A7911" t="s">
        <v>7877</v>
      </c>
      <c r="B7911" t="str">
        <f t="shared" si="317"/>
        <v>0.00021%</v>
      </c>
      <c r="C7911" t="s">
        <v>10</v>
      </c>
      <c r="D7911" t="s">
        <v>10</v>
      </c>
      <c r="E7911" t="str">
        <f>"$ 1,654"</f>
        <v>$ 1,654</v>
      </c>
      <c r="F7911">
        <v>49</v>
      </c>
    </row>
    <row r="7912" spans="1:6">
      <c r="A7912" t="s">
        <v>7878</v>
      </c>
      <c r="B7912" t="str">
        <f t="shared" si="317"/>
        <v>0.00021%</v>
      </c>
      <c r="C7912" t="s">
        <v>10</v>
      </c>
      <c r="D7912" t="s">
        <v>10</v>
      </c>
      <c r="E7912" t="str">
        <f>"$ 1,644"</f>
        <v>$ 1,644</v>
      </c>
      <c r="F7912">
        <v>10</v>
      </c>
    </row>
    <row r="7913" spans="1:6">
      <c r="A7913" t="s">
        <v>7879</v>
      </c>
      <c r="B7913" t="str">
        <f t="shared" si="317"/>
        <v>0.00021%</v>
      </c>
      <c r="C7913" t="s">
        <v>10</v>
      </c>
      <c r="D7913" t="s">
        <v>10</v>
      </c>
      <c r="E7913" t="str">
        <f>"$ 1,632"</f>
        <v>$ 1,632</v>
      </c>
      <c r="F7913">
        <v>66</v>
      </c>
    </row>
    <row r="7914" spans="1:6">
      <c r="A7914" t="s">
        <v>7880</v>
      </c>
      <c r="B7914" t="str">
        <f t="shared" si="317"/>
        <v>0.00021%</v>
      </c>
      <c r="C7914" t="s">
        <v>10</v>
      </c>
      <c r="D7914" t="s">
        <v>10</v>
      </c>
      <c r="E7914" t="str">
        <f>"$ 1,603"</f>
        <v>$ 1,603</v>
      </c>
      <c r="F7914">
        <v>122</v>
      </c>
    </row>
    <row r="7915" spans="1:6">
      <c r="A7915" t="s">
        <v>7881</v>
      </c>
      <c r="B7915" t="str">
        <f t="shared" si="317"/>
        <v>0.00021%</v>
      </c>
      <c r="C7915" t="s">
        <v>10</v>
      </c>
      <c r="D7915" t="s">
        <v>10</v>
      </c>
      <c r="E7915" t="str">
        <f>"$ 1,640"</f>
        <v>$ 1,640</v>
      </c>
      <c r="F7915" s="1">
        <v>1453</v>
      </c>
    </row>
    <row r="7916" spans="1:6">
      <c r="A7916" t="s">
        <v>7882</v>
      </c>
      <c r="B7916" t="str">
        <f t="shared" ref="B7916:B7947" si="318">"0.00020%"</f>
        <v>0.00020%</v>
      </c>
      <c r="C7916" t="s">
        <v>10</v>
      </c>
      <c r="D7916" t="s">
        <v>10</v>
      </c>
      <c r="E7916" t="str">
        <f>"$ 1,522"</f>
        <v>$ 1,522</v>
      </c>
      <c r="F7916" s="1">
        <v>4529</v>
      </c>
    </row>
    <row r="7917" spans="1:6">
      <c r="A7917" t="s">
        <v>7883</v>
      </c>
      <c r="B7917" t="str">
        <f t="shared" si="318"/>
        <v>0.00020%</v>
      </c>
      <c r="C7917" t="s">
        <v>10</v>
      </c>
      <c r="D7917" t="s">
        <v>10</v>
      </c>
      <c r="E7917" t="str">
        <f>"$ 1,573"</f>
        <v>$ 1,573</v>
      </c>
      <c r="F7917">
        <v>10</v>
      </c>
    </row>
    <row r="7918" spans="1:6">
      <c r="A7918" t="s">
        <v>7884</v>
      </c>
      <c r="B7918" t="str">
        <f t="shared" si="318"/>
        <v>0.00020%</v>
      </c>
      <c r="C7918" t="s">
        <v>10</v>
      </c>
      <c r="D7918" t="s">
        <v>10</v>
      </c>
      <c r="E7918" t="str">
        <f>"$ 1,581"</f>
        <v>$ 1,581</v>
      </c>
      <c r="F7918" s="1">
        <v>1296</v>
      </c>
    </row>
    <row r="7919" spans="1:6">
      <c r="A7919" t="s">
        <v>7885</v>
      </c>
      <c r="B7919" t="str">
        <f t="shared" si="318"/>
        <v>0.00020%</v>
      </c>
      <c r="C7919" t="s">
        <v>10</v>
      </c>
      <c r="D7919" t="s">
        <v>10</v>
      </c>
      <c r="E7919" t="str">
        <f>"$ 1,563"</f>
        <v>$ 1,563</v>
      </c>
      <c r="F7919">
        <v>511</v>
      </c>
    </row>
    <row r="7920" spans="1:6">
      <c r="A7920" t="s">
        <v>7886</v>
      </c>
      <c r="B7920" t="str">
        <f t="shared" si="318"/>
        <v>0.00020%</v>
      </c>
      <c r="C7920" t="s">
        <v>10</v>
      </c>
      <c r="D7920" t="s">
        <v>10</v>
      </c>
      <c r="E7920" t="str">
        <f>"$ 1,572"</f>
        <v>$ 1,572</v>
      </c>
      <c r="F7920" s="1">
        <v>3690</v>
      </c>
    </row>
    <row r="7921" spans="1:6">
      <c r="A7921" t="s">
        <v>7887</v>
      </c>
      <c r="B7921" t="str">
        <f t="shared" si="318"/>
        <v>0.00020%</v>
      </c>
      <c r="C7921" t="s">
        <v>10</v>
      </c>
      <c r="D7921" t="s">
        <v>10</v>
      </c>
      <c r="E7921" t="str">
        <f>"$ 1,576"</f>
        <v>$ 1,576</v>
      </c>
      <c r="F7921">
        <v>398</v>
      </c>
    </row>
    <row r="7922" spans="1:6">
      <c r="A7922" t="s">
        <v>5978</v>
      </c>
      <c r="B7922" t="str">
        <f t="shared" si="318"/>
        <v>0.00020%</v>
      </c>
      <c r="C7922" t="s">
        <v>10</v>
      </c>
      <c r="D7922" t="s">
        <v>10</v>
      </c>
      <c r="E7922" t="str">
        <f>"$ 1,576"</f>
        <v>$ 1,576</v>
      </c>
      <c r="F7922">
        <v>198</v>
      </c>
    </row>
    <row r="7923" spans="1:6">
      <c r="A7923" t="s">
        <v>7888</v>
      </c>
      <c r="B7923" t="str">
        <f t="shared" si="318"/>
        <v>0.00020%</v>
      </c>
      <c r="C7923" t="s">
        <v>10</v>
      </c>
      <c r="D7923" t="s">
        <v>10</v>
      </c>
      <c r="E7923" t="str">
        <f>"$ 1,539"</f>
        <v>$ 1,539</v>
      </c>
      <c r="F7923">
        <v>724</v>
      </c>
    </row>
    <row r="7924" spans="1:6">
      <c r="A7924" t="s">
        <v>7889</v>
      </c>
      <c r="B7924" t="str">
        <f t="shared" si="318"/>
        <v>0.00020%</v>
      </c>
      <c r="C7924" t="s">
        <v>10</v>
      </c>
      <c r="D7924" t="s">
        <v>10</v>
      </c>
      <c r="E7924" t="str">
        <f>"$ 1,522"</f>
        <v>$ 1,522</v>
      </c>
      <c r="F7924">
        <v>49</v>
      </c>
    </row>
    <row r="7925" spans="1:6">
      <c r="A7925" t="s">
        <v>7890</v>
      </c>
      <c r="B7925" t="str">
        <f t="shared" si="318"/>
        <v>0.00020%</v>
      </c>
      <c r="C7925" t="s">
        <v>10</v>
      </c>
      <c r="D7925" t="s">
        <v>10</v>
      </c>
      <c r="E7925" t="str">
        <f>"$ 1,573"</f>
        <v>$ 1,573</v>
      </c>
      <c r="F7925" s="1">
        <v>2783</v>
      </c>
    </row>
    <row r="7926" spans="1:6">
      <c r="A7926" t="s">
        <v>7891</v>
      </c>
      <c r="B7926" t="str">
        <f t="shared" si="318"/>
        <v>0.00020%</v>
      </c>
      <c r="C7926" t="s">
        <v>10</v>
      </c>
      <c r="D7926" t="s">
        <v>10</v>
      </c>
      <c r="E7926" t="str">
        <f>"$ 1,523"</f>
        <v>$ 1,523</v>
      </c>
      <c r="F7926">
        <v>706</v>
      </c>
    </row>
    <row r="7927" spans="1:6">
      <c r="A7927" t="s">
        <v>7892</v>
      </c>
      <c r="B7927" t="str">
        <f t="shared" si="318"/>
        <v>0.00020%</v>
      </c>
      <c r="C7927" t="s">
        <v>10</v>
      </c>
      <c r="D7927" t="s">
        <v>10</v>
      </c>
      <c r="E7927" t="str">
        <f>"$ 1,545"</f>
        <v>$ 1,545</v>
      </c>
      <c r="F7927" s="1">
        <v>2771</v>
      </c>
    </row>
    <row r="7928" spans="1:6">
      <c r="A7928" t="s">
        <v>7893</v>
      </c>
      <c r="B7928" t="str">
        <f t="shared" si="318"/>
        <v>0.00020%</v>
      </c>
      <c r="C7928" t="s">
        <v>10</v>
      </c>
      <c r="D7928" t="s">
        <v>10</v>
      </c>
      <c r="E7928" t="str">
        <f>"$ 1,529"</f>
        <v>$ 1,529</v>
      </c>
      <c r="F7928">
        <v>311</v>
      </c>
    </row>
    <row r="7929" spans="1:6">
      <c r="A7929" t="s">
        <v>7894</v>
      </c>
      <c r="B7929" t="str">
        <f t="shared" si="318"/>
        <v>0.00020%</v>
      </c>
      <c r="C7929" t="s">
        <v>10</v>
      </c>
      <c r="D7929" t="s">
        <v>10</v>
      </c>
      <c r="E7929" t="str">
        <f>"$ 1,530"</f>
        <v>$ 1,530</v>
      </c>
      <c r="F7929">
        <v>165</v>
      </c>
    </row>
    <row r="7930" spans="1:6">
      <c r="A7930" t="s">
        <v>7895</v>
      </c>
      <c r="B7930" t="str">
        <f t="shared" si="318"/>
        <v>0.00020%</v>
      </c>
      <c r="C7930" t="s">
        <v>10</v>
      </c>
      <c r="D7930" t="s">
        <v>10</v>
      </c>
      <c r="E7930" t="str">
        <f>"$ 1,552"</f>
        <v>$ 1,552</v>
      </c>
      <c r="F7930" s="1">
        <v>1262</v>
      </c>
    </row>
    <row r="7931" spans="1:6">
      <c r="A7931" t="s">
        <v>7896</v>
      </c>
      <c r="B7931" t="str">
        <f t="shared" si="318"/>
        <v>0.00020%</v>
      </c>
      <c r="C7931" t="s">
        <v>10</v>
      </c>
      <c r="D7931" t="s">
        <v>10</v>
      </c>
      <c r="E7931" t="str">
        <f>"$ 1,578"</f>
        <v>$ 1,578</v>
      </c>
      <c r="F7931">
        <v>46</v>
      </c>
    </row>
    <row r="7932" spans="1:6">
      <c r="A7932" t="s">
        <v>7897</v>
      </c>
      <c r="B7932" t="str">
        <f t="shared" si="318"/>
        <v>0.00020%</v>
      </c>
      <c r="C7932" t="s">
        <v>10</v>
      </c>
      <c r="D7932" t="s">
        <v>10</v>
      </c>
      <c r="E7932" t="str">
        <f>"$ 1,579"</f>
        <v>$ 1,579</v>
      </c>
      <c r="F7932">
        <v>25</v>
      </c>
    </row>
    <row r="7933" spans="1:6">
      <c r="A7933" t="s">
        <v>7898</v>
      </c>
      <c r="B7933" t="str">
        <f t="shared" si="318"/>
        <v>0.00020%</v>
      </c>
      <c r="C7933" t="s">
        <v>10</v>
      </c>
      <c r="D7933" t="s">
        <v>10</v>
      </c>
      <c r="E7933" t="str">
        <f>"$ 1,529"</f>
        <v>$ 1,529</v>
      </c>
      <c r="F7933" s="1">
        <v>3808</v>
      </c>
    </row>
    <row r="7934" spans="1:6">
      <c r="A7934" t="s">
        <v>7899</v>
      </c>
      <c r="B7934" t="str">
        <f t="shared" si="318"/>
        <v>0.00020%</v>
      </c>
      <c r="C7934" t="s">
        <v>10</v>
      </c>
      <c r="D7934" t="s">
        <v>10</v>
      </c>
      <c r="E7934" t="str">
        <f>"$ 1,519"</f>
        <v>$ 1,519</v>
      </c>
      <c r="F7934">
        <v>99</v>
      </c>
    </row>
    <row r="7935" spans="1:6">
      <c r="A7935" t="s">
        <v>7900</v>
      </c>
      <c r="B7935" t="str">
        <f t="shared" si="318"/>
        <v>0.00020%</v>
      </c>
      <c r="C7935" t="s">
        <v>10</v>
      </c>
      <c r="D7935" t="s">
        <v>10</v>
      </c>
      <c r="E7935" t="str">
        <f>"$ 1,531"</f>
        <v>$ 1,531</v>
      </c>
      <c r="F7935">
        <v>336</v>
      </c>
    </row>
    <row r="7936" spans="1:6">
      <c r="A7936" t="s">
        <v>7901</v>
      </c>
      <c r="B7936" t="str">
        <f t="shared" si="318"/>
        <v>0.00020%</v>
      </c>
      <c r="C7936" t="s">
        <v>10</v>
      </c>
      <c r="D7936" t="s">
        <v>10</v>
      </c>
      <c r="E7936" t="str">
        <f>"$ 1,523"</f>
        <v>$ 1,523</v>
      </c>
      <c r="F7936">
        <v>99</v>
      </c>
    </row>
    <row r="7937" spans="1:6">
      <c r="A7937" t="s">
        <v>7902</v>
      </c>
      <c r="B7937" t="str">
        <f t="shared" si="318"/>
        <v>0.00020%</v>
      </c>
      <c r="C7937" t="s">
        <v>10</v>
      </c>
      <c r="D7937" t="s">
        <v>10</v>
      </c>
      <c r="E7937" t="str">
        <f>"$ 1,528"</f>
        <v>$ 1,528</v>
      </c>
      <c r="F7937">
        <v>115</v>
      </c>
    </row>
    <row r="7938" spans="1:6">
      <c r="A7938" t="s">
        <v>7903</v>
      </c>
      <c r="B7938" t="str">
        <f t="shared" si="318"/>
        <v>0.00020%</v>
      </c>
      <c r="C7938" t="s">
        <v>10</v>
      </c>
      <c r="D7938" t="s">
        <v>10</v>
      </c>
      <c r="E7938" t="str">
        <f>"$ 1,550"</f>
        <v>$ 1,550</v>
      </c>
      <c r="F7938">
        <v>99</v>
      </c>
    </row>
    <row r="7939" spans="1:6">
      <c r="A7939" t="s">
        <v>7904</v>
      </c>
      <c r="B7939" t="str">
        <f t="shared" si="318"/>
        <v>0.00020%</v>
      </c>
      <c r="C7939" t="s">
        <v>10</v>
      </c>
      <c r="D7939" t="s">
        <v>10</v>
      </c>
      <c r="E7939" t="str">
        <f>"$ 1,560"</f>
        <v>$ 1,560</v>
      </c>
      <c r="F7939">
        <v>33</v>
      </c>
    </row>
    <row r="7940" spans="1:6">
      <c r="A7940" t="s">
        <v>7905</v>
      </c>
      <c r="B7940" t="str">
        <f t="shared" si="318"/>
        <v>0.00020%</v>
      </c>
      <c r="C7940" t="s">
        <v>10</v>
      </c>
      <c r="D7940" t="s">
        <v>10</v>
      </c>
      <c r="E7940" t="str">
        <f>"$ 1,546"</f>
        <v>$ 1,546</v>
      </c>
      <c r="F7940">
        <v>92</v>
      </c>
    </row>
    <row r="7941" spans="1:6">
      <c r="A7941" t="s">
        <v>7906</v>
      </c>
      <c r="B7941" t="str">
        <f t="shared" si="318"/>
        <v>0.00020%</v>
      </c>
      <c r="C7941" t="s">
        <v>10</v>
      </c>
      <c r="D7941" t="s">
        <v>10</v>
      </c>
      <c r="E7941" t="str">
        <f>"$ 1,517"</f>
        <v>$ 1,517</v>
      </c>
      <c r="F7941">
        <v>305</v>
      </c>
    </row>
    <row r="7942" spans="1:6">
      <c r="A7942" t="s">
        <v>7063</v>
      </c>
      <c r="B7942" t="str">
        <f t="shared" si="318"/>
        <v>0.00020%</v>
      </c>
      <c r="C7942" t="s">
        <v>10</v>
      </c>
      <c r="D7942" t="s">
        <v>10</v>
      </c>
      <c r="E7942" t="str">
        <f>"$ 1,546"</f>
        <v>$ 1,546</v>
      </c>
      <c r="F7942">
        <v>962</v>
      </c>
    </row>
    <row r="7943" spans="1:6">
      <c r="A7943" t="s">
        <v>7907</v>
      </c>
      <c r="B7943" t="str">
        <f t="shared" si="318"/>
        <v>0.00020%</v>
      </c>
      <c r="C7943" t="s">
        <v>10</v>
      </c>
      <c r="D7943" t="s">
        <v>10</v>
      </c>
      <c r="E7943" t="str">
        <f>"$ 1,529"</f>
        <v>$ 1,529</v>
      </c>
      <c r="F7943">
        <v>118</v>
      </c>
    </row>
    <row r="7944" spans="1:6">
      <c r="A7944" t="s">
        <v>7908</v>
      </c>
      <c r="B7944" t="str">
        <f t="shared" si="318"/>
        <v>0.00020%</v>
      </c>
      <c r="C7944" t="s">
        <v>10</v>
      </c>
      <c r="D7944" t="s">
        <v>10</v>
      </c>
      <c r="E7944" t="str">
        <f>"$ 1,537"</f>
        <v>$ 1,537</v>
      </c>
      <c r="F7944">
        <v>822</v>
      </c>
    </row>
    <row r="7945" spans="1:6">
      <c r="A7945" t="s">
        <v>7909</v>
      </c>
      <c r="B7945" t="str">
        <f t="shared" si="318"/>
        <v>0.00020%</v>
      </c>
      <c r="C7945" t="s">
        <v>10</v>
      </c>
      <c r="D7945" t="s">
        <v>10</v>
      </c>
      <c r="E7945" t="str">
        <f>"$ 1,513"</f>
        <v>$ 1,513</v>
      </c>
      <c r="F7945">
        <v>148</v>
      </c>
    </row>
    <row r="7946" spans="1:6">
      <c r="A7946" t="s">
        <v>7910</v>
      </c>
      <c r="B7946" t="str">
        <f t="shared" si="318"/>
        <v>0.00020%</v>
      </c>
      <c r="C7946" t="s">
        <v>10</v>
      </c>
      <c r="D7946" t="s">
        <v>10</v>
      </c>
      <c r="E7946" t="str">
        <f>"$ 1,525"</f>
        <v>$ 1,525</v>
      </c>
      <c r="F7946" s="1">
        <v>1223</v>
      </c>
    </row>
    <row r="7947" spans="1:6">
      <c r="A7947" t="s">
        <v>7911</v>
      </c>
      <c r="B7947" t="str">
        <f t="shared" si="318"/>
        <v>0.00020%</v>
      </c>
      <c r="C7947" t="s">
        <v>10</v>
      </c>
      <c r="D7947" t="s">
        <v>10</v>
      </c>
      <c r="E7947" t="str">
        <f>"$ 1,552"</f>
        <v>$ 1,552</v>
      </c>
      <c r="F7947">
        <v>782</v>
      </c>
    </row>
    <row r="7948" spans="1:6">
      <c r="A7948" t="s">
        <v>7912</v>
      </c>
      <c r="B7948" t="str">
        <f t="shared" ref="B7948:B7979" si="319">"0.00020%"</f>
        <v>0.00020%</v>
      </c>
      <c r="C7948" t="s">
        <v>10</v>
      </c>
      <c r="D7948" t="s">
        <v>10</v>
      </c>
      <c r="E7948" t="str">
        <f>"$ 1,573"</f>
        <v>$ 1,573</v>
      </c>
      <c r="F7948">
        <v>72</v>
      </c>
    </row>
    <row r="7949" spans="1:6">
      <c r="A7949" t="s">
        <v>7913</v>
      </c>
      <c r="B7949" t="str">
        <f t="shared" si="319"/>
        <v>0.00020%</v>
      </c>
      <c r="C7949" t="s">
        <v>10</v>
      </c>
      <c r="D7949" t="s">
        <v>10</v>
      </c>
      <c r="E7949" t="str">
        <f>"$ 1,573"</f>
        <v>$ 1,573</v>
      </c>
      <c r="F7949">
        <v>82</v>
      </c>
    </row>
    <row r="7950" spans="1:6">
      <c r="A7950" t="s">
        <v>7914</v>
      </c>
      <c r="B7950" t="str">
        <f t="shared" si="319"/>
        <v>0.00020%</v>
      </c>
      <c r="C7950" t="s">
        <v>10</v>
      </c>
      <c r="D7950" t="s">
        <v>10</v>
      </c>
      <c r="E7950" t="str">
        <f>"$ 1,554"</f>
        <v>$ 1,554</v>
      </c>
      <c r="F7950">
        <v>132</v>
      </c>
    </row>
    <row r="7951" spans="1:6">
      <c r="A7951" t="s">
        <v>7915</v>
      </c>
      <c r="B7951" t="str">
        <f t="shared" si="319"/>
        <v>0.00020%</v>
      </c>
      <c r="C7951" t="s">
        <v>10</v>
      </c>
      <c r="D7951" t="s">
        <v>10</v>
      </c>
      <c r="E7951" t="str">
        <f>"$ 1,512"</f>
        <v>$ 1,512</v>
      </c>
      <c r="F7951">
        <v>442</v>
      </c>
    </row>
    <row r="7952" spans="1:6">
      <c r="A7952" t="s">
        <v>7916</v>
      </c>
      <c r="B7952" t="str">
        <f t="shared" si="319"/>
        <v>0.00020%</v>
      </c>
      <c r="C7952" t="s">
        <v>10</v>
      </c>
      <c r="D7952" t="s">
        <v>10</v>
      </c>
      <c r="E7952" t="str">
        <f>"$ 1,518"</f>
        <v>$ 1,518</v>
      </c>
      <c r="F7952" s="1">
        <v>14811</v>
      </c>
    </row>
    <row r="7953" spans="1:6">
      <c r="A7953" t="s">
        <v>7917</v>
      </c>
      <c r="B7953" t="str">
        <f t="shared" si="319"/>
        <v>0.00020%</v>
      </c>
      <c r="C7953" t="s">
        <v>10</v>
      </c>
      <c r="D7953" t="s">
        <v>10</v>
      </c>
      <c r="E7953" t="str">
        <f>"$ 1,522"</f>
        <v>$ 1,522</v>
      </c>
      <c r="F7953">
        <v>5</v>
      </c>
    </row>
    <row r="7954" spans="1:6">
      <c r="A7954" t="s">
        <v>7918</v>
      </c>
      <c r="B7954" t="str">
        <f t="shared" si="319"/>
        <v>0.00020%</v>
      </c>
      <c r="C7954" t="s">
        <v>10</v>
      </c>
      <c r="D7954" t="s">
        <v>10</v>
      </c>
      <c r="E7954" t="str">
        <f>"$ 1,525"</f>
        <v>$ 1,525</v>
      </c>
      <c r="F7954">
        <v>66</v>
      </c>
    </row>
    <row r="7955" spans="1:6">
      <c r="A7955" t="s">
        <v>7919</v>
      </c>
      <c r="B7955" t="str">
        <f t="shared" si="319"/>
        <v>0.00020%</v>
      </c>
      <c r="C7955" t="s">
        <v>10</v>
      </c>
      <c r="D7955" t="s">
        <v>10</v>
      </c>
      <c r="E7955" t="str">
        <f>"$ 1,556"</f>
        <v>$ 1,556</v>
      </c>
      <c r="F7955">
        <v>18</v>
      </c>
    </row>
    <row r="7956" spans="1:6">
      <c r="A7956" t="s">
        <v>7920</v>
      </c>
      <c r="B7956" t="str">
        <f t="shared" si="319"/>
        <v>0.00020%</v>
      </c>
      <c r="C7956" t="s">
        <v>10</v>
      </c>
      <c r="D7956" t="s">
        <v>10</v>
      </c>
      <c r="E7956" t="str">
        <f>"$ 1,567"</f>
        <v>$ 1,567</v>
      </c>
      <c r="F7956" s="1">
        <v>2520</v>
      </c>
    </row>
    <row r="7957" spans="1:6">
      <c r="A7957" t="s">
        <v>7921</v>
      </c>
      <c r="B7957" t="str">
        <f t="shared" si="319"/>
        <v>0.00020%</v>
      </c>
      <c r="C7957" t="s">
        <v>10</v>
      </c>
      <c r="D7957" t="s">
        <v>10</v>
      </c>
      <c r="E7957" t="str">
        <f>"$ 1,577"</f>
        <v>$ 1,577</v>
      </c>
      <c r="F7957">
        <v>669</v>
      </c>
    </row>
    <row r="7958" spans="1:6">
      <c r="A7958" t="s">
        <v>7922</v>
      </c>
      <c r="B7958" t="str">
        <f t="shared" si="319"/>
        <v>0.00020%</v>
      </c>
      <c r="C7958" t="s">
        <v>10</v>
      </c>
      <c r="D7958" t="s">
        <v>10</v>
      </c>
      <c r="E7958" t="str">
        <f>"$ 1,578"</f>
        <v>$ 1,578</v>
      </c>
      <c r="F7958">
        <v>66</v>
      </c>
    </row>
    <row r="7959" spans="1:6">
      <c r="A7959" t="s">
        <v>7923</v>
      </c>
      <c r="B7959" t="str">
        <f t="shared" si="319"/>
        <v>0.00020%</v>
      </c>
      <c r="C7959" t="s">
        <v>10</v>
      </c>
      <c r="D7959" t="s">
        <v>10</v>
      </c>
      <c r="E7959" t="str">
        <f>"$ 1,551"</f>
        <v>$ 1,551</v>
      </c>
      <c r="F7959">
        <v>267</v>
      </c>
    </row>
    <row r="7960" spans="1:6">
      <c r="A7960" t="s">
        <v>7924</v>
      </c>
      <c r="B7960" t="str">
        <f t="shared" si="319"/>
        <v>0.00020%</v>
      </c>
      <c r="C7960" t="s">
        <v>10</v>
      </c>
      <c r="D7960" t="s">
        <v>10</v>
      </c>
      <c r="E7960" t="str">
        <f>"$ 1,550"</f>
        <v>$ 1,550</v>
      </c>
      <c r="F7960">
        <v>302</v>
      </c>
    </row>
    <row r="7961" spans="1:6">
      <c r="A7961" t="s">
        <v>7925</v>
      </c>
      <c r="B7961" t="str">
        <f t="shared" si="319"/>
        <v>0.00020%</v>
      </c>
      <c r="C7961" t="s">
        <v>10</v>
      </c>
      <c r="D7961" t="s">
        <v>10</v>
      </c>
      <c r="E7961" t="str">
        <f>"$ 1,570"</f>
        <v>$ 1,570</v>
      </c>
      <c r="F7961">
        <v>46</v>
      </c>
    </row>
    <row r="7962" spans="1:6">
      <c r="A7962" t="s">
        <v>7926</v>
      </c>
      <c r="B7962" t="str">
        <f t="shared" si="319"/>
        <v>0.00020%</v>
      </c>
      <c r="C7962" t="s">
        <v>10</v>
      </c>
      <c r="D7962" t="s">
        <v>10</v>
      </c>
      <c r="E7962" t="str">
        <f>"$ 1,572"</f>
        <v>$ 1,572</v>
      </c>
      <c r="F7962">
        <v>55</v>
      </c>
    </row>
    <row r="7963" spans="1:6">
      <c r="A7963" t="s">
        <v>7927</v>
      </c>
      <c r="B7963" t="str">
        <f t="shared" si="319"/>
        <v>0.00020%</v>
      </c>
      <c r="C7963" t="s">
        <v>10</v>
      </c>
      <c r="D7963" t="s">
        <v>10</v>
      </c>
      <c r="E7963" t="str">
        <f>"$ 1,550"</f>
        <v>$ 1,550</v>
      </c>
      <c r="F7963">
        <v>484</v>
      </c>
    </row>
    <row r="7964" spans="1:6">
      <c r="A7964" t="s">
        <v>7928</v>
      </c>
      <c r="B7964" t="str">
        <f t="shared" si="319"/>
        <v>0.00020%</v>
      </c>
      <c r="C7964" t="s">
        <v>10</v>
      </c>
      <c r="D7964" t="s">
        <v>10</v>
      </c>
      <c r="E7964" t="str">
        <f>"$ 1,582"</f>
        <v>$ 1,582</v>
      </c>
      <c r="F7964">
        <v>67</v>
      </c>
    </row>
    <row r="7965" spans="1:6">
      <c r="A7965" t="s">
        <v>7929</v>
      </c>
      <c r="B7965" t="str">
        <f t="shared" si="319"/>
        <v>0.00020%</v>
      </c>
      <c r="C7965" t="s">
        <v>10</v>
      </c>
      <c r="D7965" t="s">
        <v>10</v>
      </c>
      <c r="E7965" t="str">
        <f>"$ 1,559"</f>
        <v>$ 1,559</v>
      </c>
      <c r="F7965">
        <v>88</v>
      </c>
    </row>
    <row r="7966" spans="1:6">
      <c r="A7966" t="s">
        <v>7930</v>
      </c>
      <c r="B7966" t="str">
        <f t="shared" si="319"/>
        <v>0.00020%</v>
      </c>
      <c r="C7966" t="s">
        <v>10</v>
      </c>
      <c r="D7966" t="s">
        <v>10</v>
      </c>
      <c r="E7966" t="str">
        <f>"$ 1,525"</f>
        <v>$ 1,525</v>
      </c>
      <c r="F7966">
        <v>180</v>
      </c>
    </row>
    <row r="7967" spans="1:6">
      <c r="A7967" t="s">
        <v>7931</v>
      </c>
      <c r="B7967" t="str">
        <f t="shared" si="319"/>
        <v>0.00020%</v>
      </c>
      <c r="C7967" t="s">
        <v>10</v>
      </c>
      <c r="D7967" t="s">
        <v>10</v>
      </c>
      <c r="E7967" t="str">
        <f>"$ 1,522"</f>
        <v>$ 1,522</v>
      </c>
      <c r="F7967">
        <v>110</v>
      </c>
    </row>
    <row r="7968" spans="1:6">
      <c r="A7968" t="s">
        <v>7932</v>
      </c>
      <c r="B7968" t="str">
        <f t="shared" si="319"/>
        <v>0.00020%</v>
      </c>
      <c r="C7968" t="s">
        <v>10</v>
      </c>
      <c r="D7968" t="s">
        <v>10</v>
      </c>
      <c r="E7968" t="str">
        <f>"$ 1,535"</f>
        <v>$ 1,535</v>
      </c>
      <c r="F7968">
        <v>48</v>
      </c>
    </row>
    <row r="7969" spans="1:6">
      <c r="A7969" t="s">
        <v>7933</v>
      </c>
      <c r="B7969" t="str">
        <f t="shared" si="319"/>
        <v>0.00020%</v>
      </c>
      <c r="C7969" t="s">
        <v>10</v>
      </c>
      <c r="D7969" t="s">
        <v>10</v>
      </c>
      <c r="E7969" t="str">
        <f>"$ 1,550"</f>
        <v>$ 1,550</v>
      </c>
      <c r="F7969" s="1">
        <v>1253</v>
      </c>
    </row>
    <row r="7970" spans="1:6">
      <c r="A7970" t="s">
        <v>7934</v>
      </c>
      <c r="B7970" t="str">
        <f t="shared" si="319"/>
        <v>0.00020%</v>
      </c>
      <c r="C7970" t="s">
        <v>10</v>
      </c>
      <c r="D7970" t="s">
        <v>10</v>
      </c>
      <c r="E7970" t="str">
        <f>"$ 1,521"</f>
        <v>$ 1,521</v>
      </c>
      <c r="F7970">
        <v>141</v>
      </c>
    </row>
    <row r="7971" spans="1:6">
      <c r="A7971" t="s">
        <v>7935</v>
      </c>
      <c r="B7971" t="str">
        <f t="shared" si="319"/>
        <v>0.00020%</v>
      </c>
      <c r="C7971" t="s">
        <v>10</v>
      </c>
      <c r="D7971" t="s">
        <v>10</v>
      </c>
      <c r="E7971" t="str">
        <f>"$ 1,510"</f>
        <v>$ 1,510</v>
      </c>
      <c r="F7971">
        <v>930</v>
      </c>
    </row>
    <row r="7972" spans="1:6">
      <c r="A7972" t="s">
        <v>7936</v>
      </c>
      <c r="B7972" t="str">
        <f t="shared" si="319"/>
        <v>0.00020%</v>
      </c>
      <c r="C7972" t="s">
        <v>10</v>
      </c>
      <c r="D7972" t="s">
        <v>10</v>
      </c>
      <c r="E7972" t="str">
        <f>"$ 1,578"</f>
        <v>$ 1,578</v>
      </c>
      <c r="F7972" s="1">
        <v>1551</v>
      </c>
    </row>
    <row r="7973" spans="1:6">
      <c r="A7973" t="s">
        <v>7937</v>
      </c>
      <c r="B7973" t="str">
        <f t="shared" si="319"/>
        <v>0.00020%</v>
      </c>
      <c r="C7973" t="s">
        <v>10</v>
      </c>
      <c r="D7973" t="s">
        <v>10</v>
      </c>
      <c r="E7973" t="str">
        <f>"$ 1,565"</f>
        <v>$ 1,565</v>
      </c>
      <c r="F7973">
        <v>172</v>
      </c>
    </row>
    <row r="7974" spans="1:6">
      <c r="A7974" t="s">
        <v>6994</v>
      </c>
      <c r="B7974" t="str">
        <f t="shared" si="319"/>
        <v>0.00020%</v>
      </c>
      <c r="C7974" t="s">
        <v>10</v>
      </c>
      <c r="D7974" t="s">
        <v>10</v>
      </c>
      <c r="E7974" t="str">
        <f>"$ 1,543"</f>
        <v>$ 1,543</v>
      </c>
      <c r="F7974">
        <v>793</v>
      </c>
    </row>
    <row r="7975" spans="1:6">
      <c r="A7975" t="s">
        <v>7938</v>
      </c>
      <c r="B7975" t="str">
        <f t="shared" si="319"/>
        <v>0.00020%</v>
      </c>
      <c r="C7975" t="s">
        <v>10</v>
      </c>
      <c r="D7975" t="s">
        <v>10</v>
      </c>
      <c r="E7975" t="str">
        <f>"$ 1,559"</f>
        <v>$ 1,559</v>
      </c>
      <c r="F7975">
        <v>117</v>
      </c>
    </row>
    <row r="7976" spans="1:6">
      <c r="A7976" t="s">
        <v>5868</v>
      </c>
      <c r="B7976" t="str">
        <f t="shared" si="319"/>
        <v>0.00020%</v>
      </c>
      <c r="C7976" t="s">
        <v>10</v>
      </c>
      <c r="D7976" t="s">
        <v>10</v>
      </c>
      <c r="E7976" t="str">
        <f>"$ 1,552"</f>
        <v>$ 1,552</v>
      </c>
      <c r="F7976">
        <v>617</v>
      </c>
    </row>
    <row r="7977" spans="1:6">
      <c r="A7977" t="s">
        <v>7939</v>
      </c>
      <c r="B7977" t="str">
        <f t="shared" si="319"/>
        <v>0.00020%</v>
      </c>
      <c r="C7977" t="s">
        <v>10</v>
      </c>
      <c r="D7977" t="s">
        <v>10</v>
      </c>
      <c r="E7977" t="str">
        <f>"$ 1,560"</f>
        <v>$ 1,560</v>
      </c>
      <c r="F7977">
        <v>261</v>
      </c>
    </row>
    <row r="7978" spans="1:6">
      <c r="A7978" t="s">
        <v>7940</v>
      </c>
      <c r="B7978" t="str">
        <f t="shared" si="319"/>
        <v>0.00020%</v>
      </c>
      <c r="C7978" t="s">
        <v>10</v>
      </c>
      <c r="D7978" t="s">
        <v>10</v>
      </c>
      <c r="E7978" t="str">
        <f>"$ 1,516"</f>
        <v>$ 1,516</v>
      </c>
      <c r="F7978" s="1">
        <v>2186</v>
      </c>
    </row>
    <row r="7979" spans="1:6">
      <c r="A7979" t="s">
        <v>7941</v>
      </c>
      <c r="B7979" t="str">
        <f t="shared" si="319"/>
        <v>0.00020%</v>
      </c>
      <c r="C7979" t="s">
        <v>10</v>
      </c>
      <c r="D7979" t="s">
        <v>10</v>
      </c>
      <c r="E7979" t="str">
        <f>"$ 1,549"</f>
        <v>$ 1,549</v>
      </c>
      <c r="F7979" s="1">
        <v>43162</v>
      </c>
    </row>
    <row r="7980" spans="1:6">
      <c r="A7980" t="s">
        <v>7942</v>
      </c>
      <c r="B7980" t="str">
        <f t="shared" ref="B7980:B8011" si="320">"0.00020%"</f>
        <v>0.00020%</v>
      </c>
      <c r="C7980" t="s">
        <v>10</v>
      </c>
      <c r="D7980" t="s">
        <v>10</v>
      </c>
      <c r="E7980" t="str">
        <f>"$ 1,527"</f>
        <v>$ 1,527</v>
      </c>
      <c r="F7980" s="1">
        <v>34325</v>
      </c>
    </row>
    <row r="7981" spans="1:6">
      <c r="A7981" t="s">
        <v>7943</v>
      </c>
      <c r="B7981" t="str">
        <f t="shared" si="320"/>
        <v>0.00020%</v>
      </c>
      <c r="C7981" t="s">
        <v>10</v>
      </c>
      <c r="D7981" t="s">
        <v>10</v>
      </c>
      <c r="E7981" t="str">
        <f>"$ 1,554"</f>
        <v>$ 1,554</v>
      </c>
      <c r="F7981">
        <v>949</v>
      </c>
    </row>
    <row r="7982" spans="1:6">
      <c r="A7982" t="s">
        <v>7944</v>
      </c>
      <c r="B7982" t="str">
        <f t="shared" si="320"/>
        <v>0.00020%</v>
      </c>
      <c r="C7982" t="s">
        <v>10</v>
      </c>
      <c r="D7982" t="s">
        <v>10</v>
      </c>
      <c r="E7982" t="str">
        <f>"$ 1,555"</f>
        <v>$ 1,555</v>
      </c>
      <c r="F7982">
        <v>147</v>
      </c>
    </row>
    <row r="7983" spans="1:6">
      <c r="A7983" t="s">
        <v>7945</v>
      </c>
      <c r="B7983" t="str">
        <f t="shared" si="320"/>
        <v>0.00020%</v>
      </c>
      <c r="C7983" t="s">
        <v>10</v>
      </c>
      <c r="D7983" t="s">
        <v>10</v>
      </c>
      <c r="E7983" t="str">
        <f>"$ 1,520"</f>
        <v>$ 1,520</v>
      </c>
      <c r="F7983">
        <v>377</v>
      </c>
    </row>
    <row r="7984" spans="1:6">
      <c r="A7984" t="s">
        <v>7946</v>
      </c>
      <c r="B7984" t="str">
        <f t="shared" si="320"/>
        <v>0.00020%</v>
      </c>
      <c r="C7984" t="s">
        <v>10</v>
      </c>
      <c r="D7984" t="s">
        <v>10</v>
      </c>
      <c r="E7984" t="str">
        <f>"$ 1,546"</f>
        <v>$ 1,546</v>
      </c>
      <c r="F7984">
        <v>661</v>
      </c>
    </row>
    <row r="7985" spans="1:6">
      <c r="A7985" t="s">
        <v>7947</v>
      </c>
      <c r="B7985" t="str">
        <f t="shared" si="320"/>
        <v>0.00020%</v>
      </c>
      <c r="C7985" t="s">
        <v>10</v>
      </c>
      <c r="D7985" t="s">
        <v>10</v>
      </c>
      <c r="E7985" t="str">
        <f>"$ 1,540"</f>
        <v>$ 1,540</v>
      </c>
      <c r="F7985">
        <v>613</v>
      </c>
    </row>
    <row r="7986" spans="1:6">
      <c r="A7986" t="s">
        <v>7948</v>
      </c>
      <c r="B7986" t="str">
        <f t="shared" si="320"/>
        <v>0.00020%</v>
      </c>
      <c r="C7986" t="s">
        <v>10</v>
      </c>
      <c r="D7986" t="s">
        <v>10</v>
      </c>
      <c r="E7986" t="str">
        <f>"$ 1,510"</f>
        <v>$ 1,510</v>
      </c>
      <c r="F7986">
        <v>116</v>
      </c>
    </row>
    <row r="7987" spans="1:6">
      <c r="A7987" t="s">
        <v>7949</v>
      </c>
      <c r="B7987" t="str">
        <f t="shared" si="320"/>
        <v>0.00020%</v>
      </c>
      <c r="C7987" t="s">
        <v>10</v>
      </c>
      <c r="D7987" t="s">
        <v>10</v>
      </c>
      <c r="E7987" t="str">
        <f>"$ 1,566"</f>
        <v>$ 1,566</v>
      </c>
      <c r="F7987">
        <v>116</v>
      </c>
    </row>
    <row r="7988" spans="1:6">
      <c r="A7988" t="s">
        <v>7950</v>
      </c>
      <c r="B7988" t="str">
        <f t="shared" si="320"/>
        <v>0.00020%</v>
      </c>
      <c r="C7988" t="s">
        <v>10</v>
      </c>
      <c r="D7988" t="s">
        <v>10</v>
      </c>
      <c r="E7988" t="str">
        <f>"$ 1,566"</f>
        <v>$ 1,566</v>
      </c>
      <c r="F7988">
        <v>88</v>
      </c>
    </row>
    <row r="7989" spans="1:6">
      <c r="A7989" t="s">
        <v>7951</v>
      </c>
      <c r="B7989" t="str">
        <f t="shared" si="320"/>
        <v>0.00020%</v>
      </c>
      <c r="C7989" t="s">
        <v>10</v>
      </c>
      <c r="D7989" t="s">
        <v>10</v>
      </c>
      <c r="E7989" t="str">
        <f>"$ 1,517"</f>
        <v>$ 1,517</v>
      </c>
      <c r="F7989">
        <v>38</v>
      </c>
    </row>
    <row r="7990" spans="1:6">
      <c r="A7990" t="s">
        <v>7952</v>
      </c>
      <c r="B7990" t="str">
        <f t="shared" si="320"/>
        <v>0.00020%</v>
      </c>
      <c r="C7990" t="s">
        <v>10</v>
      </c>
      <c r="D7990" t="s">
        <v>10</v>
      </c>
      <c r="E7990" t="str">
        <f>"$ 1,549"</f>
        <v>$ 1,549</v>
      </c>
      <c r="F7990">
        <v>26</v>
      </c>
    </row>
    <row r="7991" spans="1:6">
      <c r="A7991" t="s">
        <v>7953</v>
      </c>
      <c r="B7991" t="str">
        <f t="shared" si="320"/>
        <v>0.00020%</v>
      </c>
      <c r="C7991" t="s">
        <v>10</v>
      </c>
      <c r="D7991" t="s">
        <v>10</v>
      </c>
      <c r="E7991" t="str">
        <f>"$ 1,525"</f>
        <v>$ 1,525</v>
      </c>
      <c r="F7991">
        <v>113</v>
      </c>
    </row>
    <row r="7992" spans="1:6">
      <c r="A7992" t="s">
        <v>7954</v>
      </c>
      <c r="B7992" t="str">
        <f t="shared" si="320"/>
        <v>0.00020%</v>
      </c>
      <c r="C7992" t="s">
        <v>10</v>
      </c>
      <c r="D7992" t="s">
        <v>10</v>
      </c>
      <c r="E7992" t="str">
        <f>"$ 1,532"</f>
        <v>$ 1,532</v>
      </c>
      <c r="F7992">
        <v>106</v>
      </c>
    </row>
    <row r="7993" spans="1:6">
      <c r="A7993" t="s">
        <v>7955</v>
      </c>
      <c r="B7993" t="str">
        <f t="shared" si="320"/>
        <v>0.00020%</v>
      </c>
      <c r="C7993" t="s">
        <v>10</v>
      </c>
      <c r="D7993" t="s">
        <v>10</v>
      </c>
      <c r="E7993" t="str">
        <f>"$ 1,533"</f>
        <v>$ 1,533</v>
      </c>
      <c r="F7993">
        <v>24</v>
      </c>
    </row>
    <row r="7994" spans="1:6">
      <c r="A7994" t="s">
        <v>7956</v>
      </c>
      <c r="B7994" t="str">
        <f t="shared" si="320"/>
        <v>0.00020%</v>
      </c>
      <c r="C7994" t="s">
        <v>10</v>
      </c>
      <c r="D7994" t="s">
        <v>10</v>
      </c>
      <c r="E7994" t="str">
        <f>"$ 1,520"</f>
        <v>$ 1,520</v>
      </c>
      <c r="F7994">
        <v>249</v>
      </c>
    </row>
    <row r="7995" spans="1:6">
      <c r="A7995" t="s">
        <v>7957</v>
      </c>
      <c r="B7995" t="str">
        <f t="shared" si="320"/>
        <v>0.00020%</v>
      </c>
      <c r="C7995" t="s">
        <v>10</v>
      </c>
      <c r="D7995" t="s">
        <v>10</v>
      </c>
      <c r="E7995" t="str">
        <f>"$ 1,521"</f>
        <v>$ 1,521</v>
      </c>
      <c r="F7995">
        <v>2</v>
      </c>
    </row>
    <row r="7996" spans="1:6">
      <c r="A7996" t="s">
        <v>7958</v>
      </c>
      <c r="B7996" t="str">
        <f t="shared" si="320"/>
        <v>0.00020%</v>
      </c>
      <c r="C7996" t="s">
        <v>10</v>
      </c>
      <c r="D7996" t="s">
        <v>10</v>
      </c>
      <c r="E7996" t="str">
        <f>"$ 1,506"</f>
        <v>$ 1,506</v>
      </c>
      <c r="F7996" s="1">
        <v>11559</v>
      </c>
    </row>
    <row r="7997" spans="1:6">
      <c r="A7997" t="s">
        <v>7959</v>
      </c>
      <c r="B7997" t="str">
        <f t="shared" si="320"/>
        <v>0.00020%</v>
      </c>
      <c r="C7997" t="s">
        <v>10</v>
      </c>
      <c r="D7997" t="s">
        <v>10</v>
      </c>
      <c r="E7997" t="str">
        <f>"$ 1,521"</f>
        <v>$ 1,521</v>
      </c>
      <c r="F7997">
        <v>181</v>
      </c>
    </row>
    <row r="7998" spans="1:6">
      <c r="A7998" t="s">
        <v>7960</v>
      </c>
      <c r="B7998" t="str">
        <f t="shared" si="320"/>
        <v>0.00020%</v>
      </c>
      <c r="C7998" t="s">
        <v>10</v>
      </c>
      <c r="D7998" t="s">
        <v>10</v>
      </c>
      <c r="E7998" t="str">
        <f>"$ 1,530"</f>
        <v>$ 1,530</v>
      </c>
      <c r="F7998">
        <v>307</v>
      </c>
    </row>
    <row r="7999" spans="1:6">
      <c r="A7999" t="s">
        <v>7961</v>
      </c>
      <c r="B7999" t="str">
        <f t="shared" si="320"/>
        <v>0.00020%</v>
      </c>
      <c r="C7999" t="s">
        <v>10</v>
      </c>
      <c r="D7999" t="s">
        <v>10</v>
      </c>
      <c r="E7999" t="str">
        <f>"$ 1,506"</f>
        <v>$ 1,506</v>
      </c>
      <c r="F7999" s="1">
        <v>1545</v>
      </c>
    </row>
    <row r="8000" spans="1:6">
      <c r="A8000" t="s">
        <v>7962</v>
      </c>
      <c r="B8000" t="str">
        <f t="shared" si="320"/>
        <v>0.00020%</v>
      </c>
      <c r="C8000" t="s">
        <v>10</v>
      </c>
      <c r="D8000" t="s">
        <v>10</v>
      </c>
      <c r="E8000" t="str">
        <f>"$ 1,507"</f>
        <v>$ 1,507</v>
      </c>
      <c r="F8000">
        <v>366</v>
      </c>
    </row>
    <row r="8001" spans="1:6">
      <c r="A8001" t="s">
        <v>7963</v>
      </c>
      <c r="B8001" t="str">
        <f t="shared" si="320"/>
        <v>0.00020%</v>
      </c>
      <c r="C8001" t="s">
        <v>10</v>
      </c>
      <c r="D8001" t="s">
        <v>10</v>
      </c>
      <c r="E8001" t="str">
        <f>"$ 1,535"</f>
        <v>$ 1,535</v>
      </c>
      <c r="F8001" s="1">
        <v>7225</v>
      </c>
    </row>
    <row r="8002" spans="1:6">
      <c r="A8002" t="s">
        <v>7964</v>
      </c>
      <c r="B8002" t="str">
        <f t="shared" si="320"/>
        <v>0.00020%</v>
      </c>
      <c r="C8002" t="s">
        <v>10</v>
      </c>
      <c r="D8002" t="s">
        <v>10</v>
      </c>
      <c r="E8002" t="str">
        <f>"$ 1,573"</f>
        <v>$ 1,573</v>
      </c>
      <c r="F8002">
        <v>604</v>
      </c>
    </row>
    <row r="8003" spans="1:6">
      <c r="A8003" t="s">
        <v>7965</v>
      </c>
      <c r="B8003" t="str">
        <f t="shared" si="320"/>
        <v>0.00020%</v>
      </c>
      <c r="C8003" t="s">
        <v>10</v>
      </c>
      <c r="D8003" t="s">
        <v>10</v>
      </c>
      <c r="E8003" t="str">
        <f>"$ 1,533"</f>
        <v>$ 1,533</v>
      </c>
      <c r="F8003" s="1">
        <v>3289</v>
      </c>
    </row>
    <row r="8004" spans="1:6">
      <c r="A8004" t="s">
        <v>7966</v>
      </c>
      <c r="B8004" t="str">
        <f t="shared" si="320"/>
        <v>0.00020%</v>
      </c>
      <c r="C8004" t="s">
        <v>10</v>
      </c>
      <c r="D8004" t="s">
        <v>10</v>
      </c>
      <c r="E8004" t="str">
        <f>"$ 1,548"</f>
        <v>$ 1,548</v>
      </c>
      <c r="F8004">
        <v>59</v>
      </c>
    </row>
    <row r="8005" spans="1:6">
      <c r="A8005" t="s">
        <v>7967</v>
      </c>
      <c r="B8005" t="str">
        <f t="shared" si="320"/>
        <v>0.00020%</v>
      </c>
      <c r="C8005" t="s">
        <v>10</v>
      </c>
      <c r="D8005" t="s">
        <v>10</v>
      </c>
      <c r="E8005" t="str">
        <f>"$ 1,561"</f>
        <v>$ 1,561</v>
      </c>
      <c r="F8005">
        <v>915</v>
      </c>
    </row>
    <row r="8006" spans="1:6">
      <c r="A8006" t="s">
        <v>7968</v>
      </c>
      <c r="B8006" t="str">
        <f t="shared" si="320"/>
        <v>0.00020%</v>
      </c>
      <c r="C8006" t="s">
        <v>10</v>
      </c>
      <c r="D8006" t="s">
        <v>10</v>
      </c>
      <c r="E8006" t="str">
        <f>"$ 1,558"</f>
        <v>$ 1,558</v>
      </c>
      <c r="F8006">
        <v>736</v>
      </c>
    </row>
    <row r="8007" spans="1:6">
      <c r="A8007" t="s">
        <v>7046</v>
      </c>
      <c r="B8007" t="str">
        <f t="shared" si="320"/>
        <v>0.00020%</v>
      </c>
      <c r="C8007" t="s">
        <v>10</v>
      </c>
      <c r="D8007" t="s">
        <v>10</v>
      </c>
      <c r="E8007" t="str">
        <f>"$ 1,580"</f>
        <v>$ 1,580</v>
      </c>
      <c r="F8007">
        <v>344</v>
      </c>
    </row>
    <row r="8008" spans="1:6">
      <c r="A8008" t="s">
        <v>7969</v>
      </c>
      <c r="B8008" t="str">
        <f t="shared" si="320"/>
        <v>0.00020%</v>
      </c>
      <c r="C8008" t="s">
        <v>10</v>
      </c>
      <c r="D8008" t="s">
        <v>10</v>
      </c>
      <c r="E8008" t="str">
        <f>"$ 1,576"</f>
        <v>$ 1,576</v>
      </c>
      <c r="F8008">
        <v>30</v>
      </c>
    </row>
    <row r="8009" spans="1:6">
      <c r="A8009" t="s">
        <v>7970</v>
      </c>
      <c r="B8009" t="str">
        <f t="shared" si="320"/>
        <v>0.00020%</v>
      </c>
      <c r="C8009" t="s">
        <v>10</v>
      </c>
      <c r="D8009" t="s">
        <v>10</v>
      </c>
      <c r="E8009" t="str">
        <f>"$ 1,537"</f>
        <v>$ 1,537</v>
      </c>
      <c r="F8009">
        <v>107</v>
      </c>
    </row>
    <row r="8010" spans="1:6">
      <c r="A8010" t="s">
        <v>7971</v>
      </c>
      <c r="B8010" t="str">
        <f t="shared" si="320"/>
        <v>0.00020%</v>
      </c>
      <c r="C8010" t="s">
        <v>10</v>
      </c>
      <c r="D8010" t="s">
        <v>10</v>
      </c>
      <c r="E8010" t="str">
        <f>"$ 1,512"</f>
        <v>$ 1,512</v>
      </c>
      <c r="F8010">
        <v>334</v>
      </c>
    </row>
    <row r="8011" spans="1:6">
      <c r="A8011" t="s">
        <v>7972</v>
      </c>
      <c r="B8011" t="str">
        <f t="shared" si="320"/>
        <v>0.00020%</v>
      </c>
      <c r="C8011" t="s">
        <v>10</v>
      </c>
      <c r="D8011" t="s">
        <v>10</v>
      </c>
      <c r="E8011" t="str">
        <f>"$ 1,526"</f>
        <v>$ 1,526</v>
      </c>
      <c r="F8011">
        <v>21</v>
      </c>
    </row>
    <row r="8012" spans="1:6">
      <c r="A8012" t="s">
        <v>7973</v>
      </c>
      <c r="B8012" t="str">
        <f t="shared" ref="B8012:B8019" si="321">"0.00020%"</f>
        <v>0.00020%</v>
      </c>
      <c r="C8012" t="s">
        <v>10</v>
      </c>
      <c r="D8012" t="s">
        <v>10</v>
      </c>
      <c r="E8012" t="str">
        <f>"$ 1,562"</f>
        <v>$ 1,562</v>
      </c>
      <c r="F8012">
        <v>897</v>
      </c>
    </row>
    <row r="8013" spans="1:6">
      <c r="A8013" t="s">
        <v>7974</v>
      </c>
      <c r="B8013" t="str">
        <f t="shared" si="321"/>
        <v>0.00020%</v>
      </c>
      <c r="C8013" t="s">
        <v>10</v>
      </c>
      <c r="D8013" t="s">
        <v>10</v>
      </c>
      <c r="E8013" t="str">
        <f>"$ 1,511"</f>
        <v>$ 1,511</v>
      </c>
      <c r="F8013">
        <v>177</v>
      </c>
    </row>
    <row r="8014" spans="1:6">
      <c r="A8014" t="s">
        <v>7975</v>
      </c>
      <c r="B8014" t="str">
        <f t="shared" si="321"/>
        <v>0.00020%</v>
      </c>
      <c r="C8014" t="s">
        <v>10</v>
      </c>
      <c r="D8014" t="s">
        <v>10</v>
      </c>
      <c r="E8014" t="str">
        <f>"$ 1,557"</f>
        <v>$ 1,557</v>
      </c>
      <c r="F8014">
        <v>194</v>
      </c>
    </row>
    <row r="8015" spans="1:6">
      <c r="A8015" t="s">
        <v>7976</v>
      </c>
      <c r="B8015" t="str">
        <f t="shared" si="321"/>
        <v>0.00020%</v>
      </c>
      <c r="C8015" t="s">
        <v>10</v>
      </c>
      <c r="D8015" t="s">
        <v>10</v>
      </c>
      <c r="E8015" t="str">
        <f>"$ 1,554"</f>
        <v>$ 1,554</v>
      </c>
      <c r="F8015">
        <v>388</v>
      </c>
    </row>
    <row r="8016" spans="1:6">
      <c r="A8016" t="s">
        <v>7977</v>
      </c>
      <c r="B8016" t="str">
        <f t="shared" si="321"/>
        <v>0.00020%</v>
      </c>
      <c r="C8016" t="s">
        <v>10</v>
      </c>
      <c r="D8016" t="s">
        <v>10</v>
      </c>
      <c r="E8016" t="str">
        <f>"$ 1,548"</f>
        <v>$ 1,548</v>
      </c>
      <c r="F8016">
        <v>331</v>
      </c>
    </row>
    <row r="8017" spans="1:6">
      <c r="A8017" t="s">
        <v>7978</v>
      </c>
      <c r="B8017" t="str">
        <f t="shared" si="321"/>
        <v>0.00020%</v>
      </c>
      <c r="C8017" t="s">
        <v>10</v>
      </c>
      <c r="D8017" t="s">
        <v>10</v>
      </c>
      <c r="E8017" t="str">
        <f>"$ 1,551"</f>
        <v>$ 1,551</v>
      </c>
      <c r="F8017">
        <v>72</v>
      </c>
    </row>
    <row r="8018" spans="1:6">
      <c r="A8018" t="s">
        <v>7979</v>
      </c>
      <c r="B8018" t="str">
        <f t="shared" si="321"/>
        <v>0.00020%</v>
      </c>
      <c r="C8018" t="s">
        <v>10</v>
      </c>
      <c r="D8018" t="s">
        <v>10</v>
      </c>
      <c r="E8018" t="str">
        <f>"$ 1,582"</f>
        <v>$ 1,582</v>
      </c>
      <c r="F8018" s="1">
        <v>2221</v>
      </c>
    </row>
    <row r="8019" spans="1:6">
      <c r="A8019" t="s">
        <v>7980</v>
      </c>
      <c r="B8019" t="str">
        <f t="shared" si="321"/>
        <v>0.00020%</v>
      </c>
      <c r="C8019" t="s">
        <v>10</v>
      </c>
      <c r="D8019" t="s">
        <v>10</v>
      </c>
      <c r="E8019" t="str">
        <f>"$ 1,581"</f>
        <v>$ 1,581</v>
      </c>
      <c r="F8019">
        <v>148</v>
      </c>
    </row>
    <row r="8020" spans="1:6">
      <c r="A8020" t="s">
        <v>7981</v>
      </c>
      <c r="B8020" t="str">
        <f t="shared" ref="B8020:B8051" si="322">"0.00019%"</f>
        <v>0.00019%</v>
      </c>
      <c r="C8020" t="s">
        <v>10</v>
      </c>
      <c r="D8020" t="s">
        <v>10</v>
      </c>
      <c r="E8020" t="str">
        <f>"$ 1,436"</f>
        <v>$ 1,436</v>
      </c>
      <c r="F8020">
        <v>209</v>
      </c>
    </row>
    <row r="8021" spans="1:6">
      <c r="A8021" t="s">
        <v>7982</v>
      </c>
      <c r="B8021" t="str">
        <f t="shared" si="322"/>
        <v>0.00019%</v>
      </c>
      <c r="C8021" t="s">
        <v>10</v>
      </c>
      <c r="D8021" t="s">
        <v>10</v>
      </c>
      <c r="E8021" t="str">
        <f>"$ 1,480"</f>
        <v>$ 1,480</v>
      </c>
      <c r="F8021" s="1">
        <v>3203</v>
      </c>
    </row>
    <row r="8022" spans="1:6">
      <c r="A8022" t="s">
        <v>7983</v>
      </c>
      <c r="B8022" t="str">
        <f t="shared" si="322"/>
        <v>0.00019%</v>
      </c>
      <c r="C8022" t="s">
        <v>10</v>
      </c>
      <c r="D8022" t="s">
        <v>10</v>
      </c>
      <c r="E8022" t="str">
        <f>"$ 1,439"</f>
        <v>$ 1,439</v>
      </c>
      <c r="F8022">
        <v>692</v>
      </c>
    </row>
    <row r="8023" spans="1:6">
      <c r="A8023" t="s">
        <v>7984</v>
      </c>
      <c r="B8023" t="str">
        <f t="shared" si="322"/>
        <v>0.00019%</v>
      </c>
      <c r="C8023" t="s">
        <v>10</v>
      </c>
      <c r="D8023" t="s">
        <v>10</v>
      </c>
      <c r="E8023" t="str">
        <f>"$ 1,438"</f>
        <v>$ 1,438</v>
      </c>
      <c r="F8023">
        <v>149</v>
      </c>
    </row>
    <row r="8024" spans="1:6">
      <c r="A8024" t="s">
        <v>7985</v>
      </c>
      <c r="B8024" t="str">
        <f t="shared" si="322"/>
        <v>0.00019%</v>
      </c>
      <c r="C8024" t="s">
        <v>10</v>
      </c>
      <c r="D8024" t="s">
        <v>10</v>
      </c>
      <c r="E8024" t="str">
        <f>"$ 1,436"</f>
        <v>$ 1,436</v>
      </c>
      <c r="F8024" s="1">
        <v>1407</v>
      </c>
    </row>
    <row r="8025" spans="1:6">
      <c r="A8025" t="s">
        <v>7986</v>
      </c>
      <c r="B8025" t="str">
        <f t="shared" si="322"/>
        <v>0.00019%</v>
      </c>
      <c r="C8025" t="s">
        <v>10</v>
      </c>
      <c r="D8025" t="s">
        <v>10</v>
      </c>
      <c r="E8025" t="str">
        <f>"$ 1,487"</f>
        <v>$ 1,487</v>
      </c>
      <c r="F8025">
        <v>524</v>
      </c>
    </row>
    <row r="8026" spans="1:6">
      <c r="A8026" t="s">
        <v>7987</v>
      </c>
      <c r="B8026" t="str">
        <f t="shared" si="322"/>
        <v>0.00019%</v>
      </c>
      <c r="C8026" t="s">
        <v>10</v>
      </c>
      <c r="D8026" t="s">
        <v>10</v>
      </c>
      <c r="E8026" t="str">
        <f>"$ 1,474"</f>
        <v>$ 1,474</v>
      </c>
      <c r="F8026">
        <v>817</v>
      </c>
    </row>
    <row r="8027" spans="1:6">
      <c r="A8027" t="s">
        <v>7988</v>
      </c>
      <c r="B8027" t="str">
        <f t="shared" si="322"/>
        <v>0.00019%</v>
      </c>
      <c r="C8027" t="s">
        <v>10</v>
      </c>
      <c r="D8027" t="s">
        <v>10</v>
      </c>
      <c r="E8027" t="str">
        <f>"$ 1,465"</f>
        <v>$ 1,465</v>
      </c>
      <c r="F8027" s="1">
        <v>2944</v>
      </c>
    </row>
    <row r="8028" spans="1:6">
      <c r="A8028" t="s">
        <v>7989</v>
      </c>
      <c r="B8028" t="str">
        <f t="shared" si="322"/>
        <v>0.00019%</v>
      </c>
      <c r="C8028" t="s">
        <v>10</v>
      </c>
      <c r="D8028" t="s">
        <v>10</v>
      </c>
      <c r="E8028" t="str">
        <f>"$ 1,468"</f>
        <v>$ 1,468</v>
      </c>
      <c r="F8028" s="1">
        <v>1038</v>
      </c>
    </row>
    <row r="8029" spans="1:6">
      <c r="A8029" t="s">
        <v>7990</v>
      </c>
      <c r="B8029" t="str">
        <f t="shared" si="322"/>
        <v>0.00019%</v>
      </c>
      <c r="C8029" t="s">
        <v>10</v>
      </c>
      <c r="D8029" t="s">
        <v>10</v>
      </c>
      <c r="E8029" t="str">
        <f>"$ 1,487"</f>
        <v>$ 1,487</v>
      </c>
      <c r="F8029">
        <v>63</v>
      </c>
    </row>
    <row r="8030" spans="1:6">
      <c r="A8030" t="s">
        <v>7991</v>
      </c>
      <c r="B8030" t="str">
        <f t="shared" si="322"/>
        <v>0.00019%</v>
      </c>
      <c r="C8030" t="s">
        <v>10</v>
      </c>
      <c r="D8030" t="s">
        <v>10</v>
      </c>
      <c r="E8030" t="str">
        <f>"$ 1,453"</f>
        <v>$ 1,453</v>
      </c>
      <c r="F8030">
        <v>49</v>
      </c>
    </row>
    <row r="8031" spans="1:6">
      <c r="A8031" t="s">
        <v>7992</v>
      </c>
      <c r="B8031" t="str">
        <f t="shared" si="322"/>
        <v>0.00019%</v>
      </c>
      <c r="C8031" t="s">
        <v>10</v>
      </c>
      <c r="D8031" t="s">
        <v>10</v>
      </c>
      <c r="E8031" t="str">
        <f>"$ 1,461"</f>
        <v>$ 1,461</v>
      </c>
      <c r="F8031" s="1">
        <v>1039</v>
      </c>
    </row>
    <row r="8032" spans="1:6">
      <c r="A8032" t="s">
        <v>7993</v>
      </c>
      <c r="B8032" t="str">
        <f t="shared" si="322"/>
        <v>0.00019%</v>
      </c>
      <c r="C8032" t="s">
        <v>10</v>
      </c>
      <c r="D8032" t="s">
        <v>10</v>
      </c>
      <c r="E8032" t="str">
        <f>"$ 1,441"</f>
        <v>$ 1,441</v>
      </c>
      <c r="F8032" s="1">
        <v>1842</v>
      </c>
    </row>
    <row r="8033" spans="1:6">
      <c r="A8033" t="s">
        <v>7994</v>
      </c>
      <c r="B8033" t="str">
        <f t="shared" si="322"/>
        <v>0.00019%</v>
      </c>
      <c r="C8033" t="s">
        <v>10</v>
      </c>
      <c r="D8033" t="s">
        <v>10</v>
      </c>
      <c r="E8033" t="str">
        <f>"$ 1,476"</f>
        <v>$ 1,476</v>
      </c>
      <c r="F8033">
        <v>99</v>
      </c>
    </row>
    <row r="8034" spans="1:6">
      <c r="A8034" t="s">
        <v>7995</v>
      </c>
      <c r="B8034" t="str">
        <f t="shared" si="322"/>
        <v>0.00019%</v>
      </c>
      <c r="C8034" t="s">
        <v>10</v>
      </c>
      <c r="D8034" t="s">
        <v>10</v>
      </c>
      <c r="E8034" t="str">
        <f>"$ 1,501"</f>
        <v>$ 1,501</v>
      </c>
      <c r="F8034">
        <v>21</v>
      </c>
    </row>
    <row r="8035" spans="1:6">
      <c r="A8035" t="s">
        <v>7996</v>
      </c>
      <c r="B8035" t="str">
        <f t="shared" si="322"/>
        <v>0.00019%</v>
      </c>
      <c r="C8035" t="s">
        <v>10</v>
      </c>
      <c r="D8035" t="s">
        <v>10</v>
      </c>
      <c r="E8035" t="str">
        <f>"$ 1,460"</f>
        <v>$ 1,460</v>
      </c>
      <c r="F8035" s="1">
        <v>2197</v>
      </c>
    </row>
    <row r="8036" spans="1:6">
      <c r="A8036" t="s">
        <v>7997</v>
      </c>
      <c r="B8036" t="str">
        <f t="shared" si="322"/>
        <v>0.00019%</v>
      </c>
      <c r="C8036" t="s">
        <v>10</v>
      </c>
      <c r="D8036" t="s">
        <v>10</v>
      </c>
      <c r="E8036" t="str">
        <f>"$ 1,465"</f>
        <v>$ 1,465</v>
      </c>
      <c r="F8036">
        <v>49</v>
      </c>
    </row>
    <row r="8037" spans="1:6">
      <c r="A8037" t="s">
        <v>7998</v>
      </c>
      <c r="B8037" t="str">
        <f t="shared" si="322"/>
        <v>0.00019%</v>
      </c>
      <c r="C8037" t="s">
        <v>10</v>
      </c>
      <c r="D8037" t="s">
        <v>10</v>
      </c>
      <c r="E8037" t="str">
        <f>"$ 1,475"</f>
        <v>$ 1,475</v>
      </c>
      <c r="F8037">
        <v>49</v>
      </c>
    </row>
    <row r="8038" spans="1:6">
      <c r="A8038" t="s">
        <v>7999</v>
      </c>
      <c r="B8038" t="str">
        <f t="shared" si="322"/>
        <v>0.00019%</v>
      </c>
      <c r="C8038" t="s">
        <v>10</v>
      </c>
      <c r="D8038" t="s">
        <v>10</v>
      </c>
      <c r="E8038" t="str">
        <f>"$ 1,480"</f>
        <v>$ 1,480</v>
      </c>
      <c r="F8038">
        <v>66</v>
      </c>
    </row>
    <row r="8039" spans="1:6">
      <c r="A8039" t="s">
        <v>8000</v>
      </c>
      <c r="B8039" t="str">
        <f t="shared" si="322"/>
        <v>0.00019%</v>
      </c>
      <c r="C8039" t="s">
        <v>10</v>
      </c>
      <c r="D8039" t="s">
        <v>10</v>
      </c>
      <c r="E8039" t="str">
        <f>"$ 1,484"</f>
        <v>$ 1,484</v>
      </c>
      <c r="F8039">
        <v>165</v>
      </c>
    </row>
    <row r="8040" spans="1:6">
      <c r="A8040" t="s">
        <v>8001</v>
      </c>
      <c r="B8040" t="str">
        <f t="shared" si="322"/>
        <v>0.00019%</v>
      </c>
      <c r="C8040" t="s">
        <v>10</v>
      </c>
      <c r="D8040" t="s">
        <v>10</v>
      </c>
      <c r="E8040" t="str">
        <f>"$ 1,430"</f>
        <v>$ 1,430</v>
      </c>
      <c r="F8040">
        <v>49</v>
      </c>
    </row>
    <row r="8041" spans="1:6">
      <c r="A8041" t="s">
        <v>8002</v>
      </c>
      <c r="B8041" t="str">
        <f t="shared" si="322"/>
        <v>0.00019%</v>
      </c>
      <c r="C8041" t="s">
        <v>10</v>
      </c>
      <c r="D8041" t="s">
        <v>10</v>
      </c>
      <c r="E8041" t="str">
        <f>"$ 1,433"</f>
        <v>$ 1,433</v>
      </c>
      <c r="F8041" s="1">
        <v>8747</v>
      </c>
    </row>
    <row r="8042" spans="1:6">
      <c r="A8042" t="s">
        <v>8003</v>
      </c>
      <c r="B8042" t="str">
        <f t="shared" si="322"/>
        <v>0.00019%</v>
      </c>
      <c r="C8042" t="s">
        <v>10</v>
      </c>
      <c r="D8042" t="s">
        <v>10</v>
      </c>
      <c r="E8042" t="str">
        <f>"$ 1,487"</f>
        <v>$ 1,487</v>
      </c>
      <c r="F8042">
        <v>307</v>
      </c>
    </row>
    <row r="8043" spans="1:6">
      <c r="A8043" t="s">
        <v>8004</v>
      </c>
      <c r="B8043" t="str">
        <f t="shared" si="322"/>
        <v>0.00019%</v>
      </c>
      <c r="C8043" t="s">
        <v>10</v>
      </c>
      <c r="D8043" t="s">
        <v>10</v>
      </c>
      <c r="E8043" t="str">
        <f>"$ 1,482"</f>
        <v>$ 1,482</v>
      </c>
      <c r="F8043">
        <v>257</v>
      </c>
    </row>
    <row r="8044" spans="1:6">
      <c r="A8044" t="s">
        <v>8005</v>
      </c>
      <c r="B8044" t="str">
        <f t="shared" si="322"/>
        <v>0.00019%</v>
      </c>
      <c r="C8044" t="s">
        <v>10</v>
      </c>
      <c r="D8044" t="s">
        <v>10</v>
      </c>
      <c r="E8044" t="str">
        <f>"$ 1,456"</f>
        <v>$ 1,456</v>
      </c>
      <c r="F8044">
        <v>115</v>
      </c>
    </row>
    <row r="8045" spans="1:6">
      <c r="A8045" t="s">
        <v>8006</v>
      </c>
      <c r="B8045" t="str">
        <f t="shared" si="322"/>
        <v>0.00019%</v>
      </c>
      <c r="C8045" t="s">
        <v>10</v>
      </c>
      <c r="D8045" t="s">
        <v>10</v>
      </c>
      <c r="E8045" t="str">
        <f>"$ 1,482"</f>
        <v>$ 1,482</v>
      </c>
      <c r="F8045">
        <v>561</v>
      </c>
    </row>
    <row r="8046" spans="1:6">
      <c r="A8046" t="s">
        <v>8007</v>
      </c>
      <c r="B8046" t="str">
        <f t="shared" si="322"/>
        <v>0.00019%</v>
      </c>
      <c r="C8046" t="s">
        <v>10</v>
      </c>
      <c r="D8046" t="s">
        <v>10</v>
      </c>
      <c r="E8046" t="str">
        <f>"$ 1,477"</f>
        <v>$ 1,477</v>
      </c>
      <c r="F8046" s="1">
        <v>1033</v>
      </c>
    </row>
    <row r="8047" spans="1:6">
      <c r="A8047" t="s">
        <v>8008</v>
      </c>
      <c r="B8047" t="str">
        <f t="shared" si="322"/>
        <v>0.00019%</v>
      </c>
      <c r="C8047" t="s">
        <v>10</v>
      </c>
      <c r="D8047" t="s">
        <v>10</v>
      </c>
      <c r="E8047" t="str">
        <f>"$ 1,471"</f>
        <v>$ 1,471</v>
      </c>
      <c r="F8047">
        <v>524</v>
      </c>
    </row>
    <row r="8048" spans="1:6">
      <c r="A8048" t="s">
        <v>6817</v>
      </c>
      <c r="B8048" t="str">
        <f t="shared" si="322"/>
        <v>0.00019%</v>
      </c>
      <c r="C8048" t="s">
        <v>10</v>
      </c>
      <c r="D8048" t="s">
        <v>10</v>
      </c>
      <c r="E8048" t="str">
        <f>"$ 1,472"</f>
        <v>$ 1,472</v>
      </c>
      <c r="F8048">
        <v>604</v>
      </c>
    </row>
    <row r="8049" spans="1:6">
      <c r="A8049" t="s">
        <v>8009</v>
      </c>
      <c r="B8049" t="str">
        <f t="shared" si="322"/>
        <v>0.00019%</v>
      </c>
      <c r="C8049" t="s">
        <v>10</v>
      </c>
      <c r="D8049" t="s">
        <v>10</v>
      </c>
      <c r="E8049" t="str">
        <f>"$ 1,502"</f>
        <v>$ 1,502</v>
      </c>
      <c r="F8049" s="1">
        <v>1895</v>
      </c>
    </row>
    <row r="8050" spans="1:6">
      <c r="A8050" t="s">
        <v>8010</v>
      </c>
      <c r="B8050" t="str">
        <f t="shared" si="322"/>
        <v>0.00019%</v>
      </c>
      <c r="C8050" t="s">
        <v>10</v>
      </c>
      <c r="D8050" t="s">
        <v>10</v>
      </c>
      <c r="E8050" t="str">
        <f>"$ 1,429"</f>
        <v>$ 1,429</v>
      </c>
      <c r="F8050">
        <v>381</v>
      </c>
    </row>
    <row r="8051" spans="1:6">
      <c r="A8051" t="s">
        <v>8011</v>
      </c>
      <c r="B8051" t="str">
        <f t="shared" si="322"/>
        <v>0.00019%</v>
      </c>
      <c r="C8051" t="s">
        <v>10</v>
      </c>
      <c r="D8051" t="s">
        <v>10</v>
      </c>
      <c r="E8051" t="str">
        <f>"$ 1,505"</f>
        <v>$ 1,505</v>
      </c>
      <c r="F8051" s="1">
        <v>1850</v>
      </c>
    </row>
    <row r="8052" spans="1:6">
      <c r="A8052" t="s">
        <v>8012</v>
      </c>
      <c r="B8052" t="str">
        <f t="shared" ref="B8052:B8083" si="323">"0.00019%"</f>
        <v>0.00019%</v>
      </c>
      <c r="C8052" t="s">
        <v>10</v>
      </c>
      <c r="D8052" t="s">
        <v>10</v>
      </c>
      <c r="E8052" t="str">
        <f>"$ 1,460"</f>
        <v>$ 1,460</v>
      </c>
      <c r="F8052">
        <v>49</v>
      </c>
    </row>
    <row r="8053" spans="1:6">
      <c r="A8053" t="s">
        <v>8013</v>
      </c>
      <c r="B8053" t="str">
        <f t="shared" si="323"/>
        <v>0.00019%</v>
      </c>
      <c r="C8053" t="s">
        <v>10</v>
      </c>
      <c r="D8053" t="s">
        <v>10</v>
      </c>
      <c r="E8053" t="str">
        <f>"$ 1,457"</f>
        <v>$ 1,457</v>
      </c>
      <c r="F8053">
        <v>598</v>
      </c>
    </row>
    <row r="8054" spans="1:6">
      <c r="A8054" t="s">
        <v>8014</v>
      </c>
      <c r="B8054" t="str">
        <f t="shared" si="323"/>
        <v>0.00019%</v>
      </c>
      <c r="C8054" t="s">
        <v>10</v>
      </c>
      <c r="D8054" t="s">
        <v>10</v>
      </c>
      <c r="E8054" t="str">
        <f>"$ 1,465"</f>
        <v>$ 1,465</v>
      </c>
      <c r="F8054">
        <v>313</v>
      </c>
    </row>
    <row r="8055" spans="1:6">
      <c r="A8055" t="s">
        <v>8015</v>
      </c>
      <c r="B8055" t="str">
        <f t="shared" si="323"/>
        <v>0.00019%</v>
      </c>
      <c r="C8055" t="s">
        <v>10</v>
      </c>
      <c r="D8055" t="s">
        <v>10</v>
      </c>
      <c r="E8055" t="str">
        <f>"$ 1,483"</f>
        <v>$ 1,483</v>
      </c>
      <c r="F8055">
        <v>45</v>
      </c>
    </row>
    <row r="8056" spans="1:6">
      <c r="A8056" t="s">
        <v>8016</v>
      </c>
      <c r="B8056" t="str">
        <f t="shared" si="323"/>
        <v>0.00019%</v>
      </c>
      <c r="C8056" t="s">
        <v>10</v>
      </c>
      <c r="D8056" t="s">
        <v>10</v>
      </c>
      <c r="E8056" t="str">
        <f>"$ 1,500"</f>
        <v>$ 1,500</v>
      </c>
      <c r="F8056">
        <v>33</v>
      </c>
    </row>
    <row r="8057" spans="1:6">
      <c r="A8057" t="s">
        <v>8017</v>
      </c>
      <c r="B8057" t="str">
        <f t="shared" si="323"/>
        <v>0.00019%</v>
      </c>
      <c r="C8057" t="s">
        <v>10</v>
      </c>
      <c r="D8057" t="s">
        <v>10</v>
      </c>
      <c r="E8057" t="str">
        <f>"$ 1,445"</f>
        <v>$ 1,445</v>
      </c>
      <c r="F8057">
        <v>116</v>
      </c>
    </row>
    <row r="8058" spans="1:6">
      <c r="A8058" t="s">
        <v>6773</v>
      </c>
      <c r="B8058" t="str">
        <f t="shared" si="323"/>
        <v>0.00019%</v>
      </c>
      <c r="C8058" t="s">
        <v>10</v>
      </c>
      <c r="D8058" t="s">
        <v>10</v>
      </c>
      <c r="E8058" t="str">
        <f>"$ 1,438"</f>
        <v>$ 1,438</v>
      </c>
      <c r="F8058">
        <v>307</v>
      </c>
    </row>
    <row r="8059" spans="1:6">
      <c r="A8059" t="s">
        <v>8018</v>
      </c>
      <c r="B8059" t="str">
        <f t="shared" si="323"/>
        <v>0.00019%</v>
      </c>
      <c r="C8059" t="s">
        <v>10</v>
      </c>
      <c r="D8059" t="s">
        <v>10</v>
      </c>
      <c r="E8059" t="str">
        <f>"$ 1,454"</f>
        <v>$ 1,454</v>
      </c>
      <c r="F8059">
        <v>98</v>
      </c>
    </row>
    <row r="8060" spans="1:6">
      <c r="A8060" t="s">
        <v>8019</v>
      </c>
      <c r="B8060" t="str">
        <f t="shared" si="323"/>
        <v>0.00019%</v>
      </c>
      <c r="C8060" t="s">
        <v>10</v>
      </c>
      <c r="D8060" t="s">
        <v>10</v>
      </c>
      <c r="E8060" t="str">
        <f>"$ 1,459"</f>
        <v>$ 1,459</v>
      </c>
      <c r="F8060">
        <v>52</v>
      </c>
    </row>
    <row r="8061" spans="1:6">
      <c r="A8061" t="s">
        <v>8020</v>
      </c>
      <c r="B8061" t="str">
        <f t="shared" si="323"/>
        <v>0.00019%</v>
      </c>
      <c r="C8061" t="s">
        <v>10</v>
      </c>
      <c r="D8061" t="s">
        <v>10</v>
      </c>
      <c r="E8061" t="str">
        <f>"$ 1,453"</f>
        <v>$ 1,453</v>
      </c>
      <c r="F8061">
        <v>126</v>
      </c>
    </row>
    <row r="8062" spans="1:6">
      <c r="A8062" t="s">
        <v>8021</v>
      </c>
      <c r="B8062" t="str">
        <f t="shared" si="323"/>
        <v>0.00019%</v>
      </c>
      <c r="C8062" t="s">
        <v>10</v>
      </c>
      <c r="D8062" t="s">
        <v>10</v>
      </c>
      <c r="E8062" t="str">
        <f>"$ 1,467"</f>
        <v>$ 1,467</v>
      </c>
      <c r="F8062">
        <v>967</v>
      </c>
    </row>
    <row r="8063" spans="1:6">
      <c r="A8063" t="s">
        <v>8022</v>
      </c>
      <c r="B8063" t="str">
        <f t="shared" si="323"/>
        <v>0.00019%</v>
      </c>
      <c r="C8063" t="s">
        <v>10</v>
      </c>
      <c r="D8063" t="s">
        <v>10</v>
      </c>
      <c r="E8063" t="str">
        <f>"$ 1,469"</f>
        <v>$ 1,469</v>
      </c>
      <c r="F8063">
        <v>99</v>
      </c>
    </row>
    <row r="8064" spans="1:6">
      <c r="A8064" t="s">
        <v>8023</v>
      </c>
      <c r="B8064" t="str">
        <f t="shared" si="323"/>
        <v>0.00019%</v>
      </c>
      <c r="C8064" t="s">
        <v>10</v>
      </c>
      <c r="D8064" t="s">
        <v>10</v>
      </c>
      <c r="E8064" t="str">
        <f>"$ 1,468"</f>
        <v>$ 1,468</v>
      </c>
      <c r="F8064">
        <v>729</v>
      </c>
    </row>
    <row r="8065" spans="1:6">
      <c r="A8065" t="s">
        <v>8024</v>
      </c>
      <c r="B8065" t="str">
        <f t="shared" si="323"/>
        <v>0.00019%</v>
      </c>
      <c r="C8065" t="s">
        <v>10</v>
      </c>
      <c r="D8065" t="s">
        <v>10</v>
      </c>
      <c r="E8065" t="str">
        <f>"$ 1,488"</f>
        <v>$ 1,488</v>
      </c>
      <c r="F8065">
        <v>695</v>
      </c>
    </row>
    <row r="8066" spans="1:6">
      <c r="A8066" t="s">
        <v>8025</v>
      </c>
      <c r="B8066" t="str">
        <f t="shared" si="323"/>
        <v>0.00019%</v>
      </c>
      <c r="C8066" t="s">
        <v>10</v>
      </c>
      <c r="D8066" t="s">
        <v>10</v>
      </c>
      <c r="E8066" t="str">
        <f>"$ 1,454"</f>
        <v>$ 1,454</v>
      </c>
      <c r="F8066">
        <v>33</v>
      </c>
    </row>
    <row r="8067" spans="1:6">
      <c r="A8067" t="s">
        <v>8026</v>
      </c>
      <c r="B8067" t="str">
        <f t="shared" si="323"/>
        <v>0.00019%</v>
      </c>
      <c r="C8067" t="s">
        <v>10</v>
      </c>
      <c r="D8067" t="s">
        <v>10</v>
      </c>
      <c r="E8067" t="str">
        <f>"$ 1,471"</f>
        <v>$ 1,471</v>
      </c>
      <c r="F8067">
        <v>97</v>
      </c>
    </row>
    <row r="8068" spans="1:6">
      <c r="A8068" t="s">
        <v>8027</v>
      </c>
      <c r="B8068" t="str">
        <f t="shared" si="323"/>
        <v>0.00019%</v>
      </c>
      <c r="C8068" t="s">
        <v>10</v>
      </c>
      <c r="D8068" t="s">
        <v>10</v>
      </c>
      <c r="E8068" t="str">
        <f>"$ 1,438"</f>
        <v>$ 1,438</v>
      </c>
      <c r="F8068">
        <v>54</v>
      </c>
    </row>
    <row r="8069" spans="1:6">
      <c r="A8069" t="s">
        <v>8028</v>
      </c>
      <c r="B8069" t="str">
        <f t="shared" si="323"/>
        <v>0.00019%</v>
      </c>
      <c r="C8069" t="s">
        <v>10</v>
      </c>
      <c r="D8069" t="s">
        <v>10</v>
      </c>
      <c r="E8069" t="str">
        <f>"$ 1,445"</f>
        <v>$ 1,445</v>
      </c>
      <c r="F8069">
        <v>19</v>
      </c>
    </row>
    <row r="8070" spans="1:6">
      <c r="A8070" t="s">
        <v>8029</v>
      </c>
      <c r="B8070" t="str">
        <f t="shared" si="323"/>
        <v>0.00019%</v>
      </c>
      <c r="C8070" t="s">
        <v>10</v>
      </c>
      <c r="D8070" t="s">
        <v>10</v>
      </c>
      <c r="E8070" t="str">
        <f>"$ 1,430"</f>
        <v>$ 1,430</v>
      </c>
      <c r="F8070" s="1">
        <v>1320</v>
      </c>
    </row>
    <row r="8071" spans="1:6">
      <c r="A8071" t="s">
        <v>8030</v>
      </c>
      <c r="B8071" t="str">
        <f t="shared" si="323"/>
        <v>0.00019%</v>
      </c>
      <c r="C8071" t="s">
        <v>10</v>
      </c>
      <c r="D8071" t="s">
        <v>10</v>
      </c>
      <c r="E8071" t="str">
        <f>"$ 1,466"</f>
        <v>$ 1,466</v>
      </c>
      <c r="F8071">
        <v>162</v>
      </c>
    </row>
    <row r="8072" spans="1:6">
      <c r="A8072" t="s">
        <v>8031</v>
      </c>
      <c r="B8072" t="str">
        <f t="shared" si="323"/>
        <v>0.00019%</v>
      </c>
      <c r="C8072" t="s">
        <v>10</v>
      </c>
      <c r="D8072" t="s">
        <v>10</v>
      </c>
      <c r="E8072" t="str">
        <f>"$ 1,488"</f>
        <v>$ 1,488</v>
      </c>
      <c r="F8072">
        <v>214</v>
      </c>
    </row>
    <row r="8073" spans="1:6">
      <c r="A8073" t="s">
        <v>8032</v>
      </c>
      <c r="B8073" t="str">
        <f t="shared" si="323"/>
        <v>0.00019%</v>
      </c>
      <c r="C8073" t="s">
        <v>10</v>
      </c>
      <c r="D8073" t="s">
        <v>10</v>
      </c>
      <c r="E8073" t="str">
        <f>"$ 1,474"</f>
        <v>$ 1,474</v>
      </c>
      <c r="F8073">
        <v>96</v>
      </c>
    </row>
    <row r="8074" spans="1:6">
      <c r="A8074" t="s">
        <v>8033</v>
      </c>
      <c r="B8074" t="str">
        <f t="shared" si="323"/>
        <v>0.00019%</v>
      </c>
      <c r="C8074" t="s">
        <v>10</v>
      </c>
      <c r="D8074" t="s">
        <v>10</v>
      </c>
      <c r="E8074" t="str">
        <f>"$ 1,491"</f>
        <v>$ 1,491</v>
      </c>
      <c r="F8074">
        <v>522</v>
      </c>
    </row>
    <row r="8075" spans="1:6">
      <c r="A8075" t="s">
        <v>8034</v>
      </c>
      <c r="B8075" t="str">
        <f t="shared" si="323"/>
        <v>0.00019%</v>
      </c>
      <c r="C8075" t="s">
        <v>10</v>
      </c>
      <c r="D8075" t="s">
        <v>10</v>
      </c>
      <c r="E8075" t="str">
        <f>"$ 1,464"</f>
        <v>$ 1,464</v>
      </c>
      <c r="F8075">
        <v>220</v>
      </c>
    </row>
    <row r="8076" spans="1:6">
      <c r="A8076" t="s">
        <v>8035</v>
      </c>
      <c r="B8076" t="str">
        <f t="shared" si="323"/>
        <v>0.00019%</v>
      </c>
      <c r="C8076" t="s">
        <v>10</v>
      </c>
      <c r="D8076" t="s">
        <v>10</v>
      </c>
      <c r="E8076" t="str">
        <f>"$ 1,458"</f>
        <v>$ 1,458</v>
      </c>
      <c r="F8076">
        <v>141</v>
      </c>
    </row>
    <row r="8077" spans="1:6">
      <c r="A8077" t="s">
        <v>8036</v>
      </c>
      <c r="B8077" t="str">
        <f t="shared" si="323"/>
        <v>0.00019%</v>
      </c>
      <c r="C8077" t="s">
        <v>10</v>
      </c>
      <c r="D8077" t="s">
        <v>10</v>
      </c>
      <c r="E8077" t="str">
        <f>"$ 1,445"</f>
        <v>$ 1,445</v>
      </c>
      <c r="F8077">
        <v>82</v>
      </c>
    </row>
    <row r="8078" spans="1:6">
      <c r="A8078" t="s">
        <v>8037</v>
      </c>
      <c r="B8078" t="str">
        <f t="shared" si="323"/>
        <v>0.00019%</v>
      </c>
      <c r="C8078" t="s">
        <v>10</v>
      </c>
      <c r="D8078" t="s">
        <v>10</v>
      </c>
      <c r="E8078" t="str">
        <f>"$ 1,440"</f>
        <v>$ 1,440</v>
      </c>
      <c r="F8078">
        <v>139</v>
      </c>
    </row>
    <row r="8079" spans="1:6">
      <c r="A8079" t="s">
        <v>8038</v>
      </c>
      <c r="B8079" t="str">
        <f t="shared" si="323"/>
        <v>0.00019%</v>
      </c>
      <c r="C8079" t="s">
        <v>10</v>
      </c>
      <c r="D8079" t="s">
        <v>10</v>
      </c>
      <c r="E8079" t="str">
        <f>"$ 1,466"</f>
        <v>$ 1,466</v>
      </c>
      <c r="F8079">
        <v>125</v>
      </c>
    </row>
    <row r="8080" spans="1:6">
      <c r="A8080" t="s">
        <v>8039</v>
      </c>
      <c r="B8080" t="str">
        <f t="shared" si="323"/>
        <v>0.00019%</v>
      </c>
      <c r="C8080" t="s">
        <v>10</v>
      </c>
      <c r="D8080" t="s">
        <v>10</v>
      </c>
      <c r="E8080" t="str">
        <f>"$ 1,481"</f>
        <v>$ 1,481</v>
      </c>
      <c r="F8080">
        <v>65</v>
      </c>
    </row>
    <row r="8081" spans="1:6">
      <c r="A8081" t="s">
        <v>8040</v>
      </c>
      <c r="B8081" t="str">
        <f t="shared" si="323"/>
        <v>0.00019%</v>
      </c>
      <c r="C8081" t="s">
        <v>10</v>
      </c>
      <c r="D8081" t="s">
        <v>10</v>
      </c>
      <c r="E8081" t="str">
        <f>"$ 1,478"</f>
        <v>$ 1,478</v>
      </c>
      <c r="F8081">
        <v>115</v>
      </c>
    </row>
    <row r="8082" spans="1:6">
      <c r="A8082" t="s">
        <v>8041</v>
      </c>
      <c r="B8082" t="str">
        <f t="shared" si="323"/>
        <v>0.00019%</v>
      </c>
      <c r="C8082" t="s">
        <v>10</v>
      </c>
      <c r="D8082" t="s">
        <v>10</v>
      </c>
      <c r="E8082" t="str">
        <f>"$ 1,431"</f>
        <v>$ 1,431</v>
      </c>
      <c r="F8082">
        <v>720</v>
      </c>
    </row>
    <row r="8083" spans="1:6">
      <c r="A8083" t="s">
        <v>8042</v>
      </c>
      <c r="B8083" t="str">
        <f t="shared" si="323"/>
        <v>0.00019%</v>
      </c>
      <c r="C8083" t="s">
        <v>10</v>
      </c>
      <c r="D8083" t="s">
        <v>10</v>
      </c>
      <c r="E8083" t="str">
        <f>"$ 1,475"</f>
        <v>$ 1,475</v>
      </c>
      <c r="F8083">
        <v>66</v>
      </c>
    </row>
    <row r="8084" spans="1:6">
      <c r="A8084" t="s">
        <v>8043</v>
      </c>
      <c r="B8084" t="str">
        <f t="shared" ref="B8084:B8115" si="324">"0.00019%"</f>
        <v>0.00019%</v>
      </c>
      <c r="C8084" t="s">
        <v>10</v>
      </c>
      <c r="D8084" t="s">
        <v>10</v>
      </c>
      <c r="E8084" t="str">
        <f>"$ 1,468"</f>
        <v>$ 1,468</v>
      </c>
      <c r="F8084">
        <v>85</v>
      </c>
    </row>
    <row r="8085" spans="1:6">
      <c r="A8085" t="s">
        <v>8044</v>
      </c>
      <c r="B8085" t="str">
        <f t="shared" si="324"/>
        <v>0.00019%</v>
      </c>
      <c r="C8085" t="s">
        <v>10</v>
      </c>
      <c r="D8085" t="s">
        <v>10</v>
      </c>
      <c r="E8085" t="str">
        <f>"$ 1,446"</f>
        <v>$ 1,446</v>
      </c>
      <c r="F8085">
        <v>353</v>
      </c>
    </row>
    <row r="8086" spans="1:6">
      <c r="A8086" t="s">
        <v>8045</v>
      </c>
      <c r="B8086" t="str">
        <f t="shared" si="324"/>
        <v>0.00019%</v>
      </c>
      <c r="C8086" t="s">
        <v>10</v>
      </c>
      <c r="D8086" t="s">
        <v>10</v>
      </c>
      <c r="E8086" t="str">
        <f>"$ 1,483"</f>
        <v>$ 1,483</v>
      </c>
      <c r="F8086">
        <v>958</v>
      </c>
    </row>
    <row r="8087" spans="1:6">
      <c r="A8087" t="s">
        <v>8046</v>
      </c>
      <c r="B8087" t="str">
        <f t="shared" si="324"/>
        <v>0.00019%</v>
      </c>
      <c r="C8087" t="s">
        <v>10</v>
      </c>
      <c r="D8087" t="s">
        <v>10</v>
      </c>
      <c r="E8087" t="str">
        <f>"$ 1,462"</f>
        <v>$ 1,462</v>
      </c>
      <c r="F8087">
        <v>4</v>
      </c>
    </row>
    <row r="8088" spans="1:6">
      <c r="A8088" t="s">
        <v>8047</v>
      </c>
      <c r="B8088" t="str">
        <f t="shared" si="324"/>
        <v>0.00019%</v>
      </c>
      <c r="C8088" t="s">
        <v>10</v>
      </c>
      <c r="D8088" t="s">
        <v>10</v>
      </c>
      <c r="E8088" t="str">
        <f>"$ 1,477"</f>
        <v>$ 1,477</v>
      </c>
      <c r="F8088">
        <v>81</v>
      </c>
    </row>
    <row r="8089" spans="1:6">
      <c r="A8089" t="s">
        <v>8048</v>
      </c>
      <c r="B8089" t="str">
        <f t="shared" si="324"/>
        <v>0.00019%</v>
      </c>
      <c r="C8089" t="s">
        <v>10</v>
      </c>
      <c r="D8089" t="s">
        <v>10</v>
      </c>
      <c r="E8089" t="str">
        <f>"$ 1,498"</f>
        <v>$ 1,498</v>
      </c>
      <c r="F8089" s="1">
        <v>17528</v>
      </c>
    </row>
    <row r="8090" spans="1:6">
      <c r="A8090" t="s">
        <v>8049</v>
      </c>
      <c r="B8090" t="str">
        <f t="shared" si="324"/>
        <v>0.00019%</v>
      </c>
      <c r="C8090" t="s">
        <v>10</v>
      </c>
      <c r="D8090" t="s">
        <v>10</v>
      </c>
      <c r="E8090" t="str">
        <f>"$ 1,466"</f>
        <v>$ 1,466</v>
      </c>
      <c r="F8090">
        <v>396</v>
      </c>
    </row>
    <row r="8091" spans="1:6">
      <c r="A8091" t="s">
        <v>8050</v>
      </c>
      <c r="B8091" t="str">
        <f t="shared" si="324"/>
        <v>0.00019%</v>
      </c>
      <c r="C8091" t="s">
        <v>10</v>
      </c>
      <c r="D8091" t="s">
        <v>10</v>
      </c>
      <c r="E8091" t="str">
        <f>"$ 1,460"</f>
        <v>$ 1,460</v>
      </c>
      <c r="F8091">
        <v>33</v>
      </c>
    </row>
    <row r="8092" spans="1:6">
      <c r="A8092" t="s">
        <v>8051</v>
      </c>
      <c r="B8092" t="str">
        <f t="shared" si="324"/>
        <v>0.00019%</v>
      </c>
      <c r="C8092" t="s">
        <v>10</v>
      </c>
      <c r="D8092" t="s">
        <v>10</v>
      </c>
      <c r="E8092" t="str">
        <f>"$ 1,491"</f>
        <v>$ 1,491</v>
      </c>
      <c r="F8092">
        <v>49</v>
      </c>
    </row>
    <row r="8093" spans="1:6">
      <c r="A8093" t="s">
        <v>8052</v>
      </c>
      <c r="B8093" t="str">
        <f t="shared" si="324"/>
        <v>0.00019%</v>
      </c>
      <c r="C8093" t="s">
        <v>10</v>
      </c>
      <c r="D8093" t="s">
        <v>10</v>
      </c>
      <c r="E8093" t="str">
        <f>"$ 1,447"</f>
        <v>$ 1,447</v>
      </c>
      <c r="F8093">
        <v>82</v>
      </c>
    </row>
    <row r="8094" spans="1:6">
      <c r="A8094" t="s">
        <v>8053</v>
      </c>
      <c r="B8094" t="str">
        <f t="shared" si="324"/>
        <v>0.00019%</v>
      </c>
      <c r="C8094" t="s">
        <v>10</v>
      </c>
      <c r="D8094" t="s">
        <v>10</v>
      </c>
      <c r="E8094" t="str">
        <f>"$ 1,430"</f>
        <v>$ 1,430</v>
      </c>
      <c r="F8094">
        <v>158</v>
      </c>
    </row>
    <row r="8095" spans="1:6">
      <c r="A8095" t="s">
        <v>8054</v>
      </c>
      <c r="B8095" t="str">
        <f t="shared" si="324"/>
        <v>0.00019%</v>
      </c>
      <c r="C8095" t="s">
        <v>10</v>
      </c>
      <c r="D8095" t="s">
        <v>10</v>
      </c>
      <c r="E8095" t="str">
        <f>"$ 1,435"</f>
        <v>$ 1,435</v>
      </c>
      <c r="F8095" s="1">
        <v>1288</v>
      </c>
    </row>
    <row r="8096" spans="1:6">
      <c r="A8096" t="s">
        <v>8055</v>
      </c>
      <c r="B8096" t="str">
        <f t="shared" si="324"/>
        <v>0.00019%</v>
      </c>
      <c r="C8096" t="s">
        <v>10</v>
      </c>
      <c r="D8096" t="s">
        <v>10</v>
      </c>
      <c r="E8096" t="str">
        <f>"$ 1,503"</f>
        <v>$ 1,503</v>
      </c>
      <c r="F8096">
        <v>40</v>
      </c>
    </row>
    <row r="8097" spans="1:6">
      <c r="A8097" t="s">
        <v>8056</v>
      </c>
      <c r="B8097" t="str">
        <f t="shared" si="324"/>
        <v>0.00019%</v>
      </c>
      <c r="C8097" t="s">
        <v>10</v>
      </c>
      <c r="D8097" t="s">
        <v>10</v>
      </c>
      <c r="E8097" t="str">
        <f>"$ 1,506"</f>
        <v>$ 1,506</v>
      </c>
      <c r="F8097">
        <v>66</v>
      </c>
    </row>
    <row r="8098" spans="1:6">
      <c r="A8098" t="s">
        <v>8057</v>
      </c>
      <c r="B8098" t="str">
        <f t="shared" si="324"/>
        <v>0.00019%</v>
      </c>
      <c r="C8098" t="s">
        <v>10</v>
      </c>
      <c r="D8098" t="s">
        <v>10</v>
      </c>
      <c r="E8098" t="str">
        <f>"$ 1,483"</f>
        <v>$ 1,483</v>
      </c>
      <c r="F8098">
        <v>52</v>
      </c>
    </row>
    <row r="8099" spans="1:6">
      <c r="A8099" t="s">
        <v>8058</v>
      </c>
      <c r="B8099" t="str">
        <f t="shared" si="324"/>
        <v>0.00019%</v>
      </c>
      <c r="C8099" t="s">
        <v>10</v>
      </c>
      <c r="D8099" t="s">
        <v>10</v>
      </c>
      <c r="E8099" t="str">
        <f>"$ 1,476"</f>
        <v>$ 1,476</v>
      </c>
      <c r="F8099">
        <v>115</v>
      </c>
    </row>
    <row r="8100" spans="1:6">
      <c r="A8100" t="s">
        <v>8059</v>
      </c>
      <c r="B8100" t="str">
        <f t="shared" si="324"/>
        <v>0.00019%</v>
      </c>
      <c r="C8100" t="s">
        <v>10</v>
      </c>
      <c r="D8100" t="s">
        <v>10</v>
      </c>
      <c r="E8100" t="str">
        <f>"$ 1,479"</f>
        <v>$ 1,479</v>
      </c>
      <c r="F8100">
        <v>149</v>
      </c>
    </row>
    <row r="8101" spans="1:6">
      <c r="A8101" t="s">
        <v>8060</v>
      </c>
      <c r="B8101" t="str">
        <f t="shared" si="324"/>
        <v>0.00019%</v>
      </c>
      <c r="C8101" t="s">
        <v>10</v>
      </c>
      <c r="D8101" t="s">
        <v>10</v>
      </c>
      <c r="E8101" t="str">
        <f>"$ 1,447"</f>
        <v>$ 1,447</v>
      </c>
      <c r="F8101">
        <v>49</v>
      </c>
    </row>
    <row r="8102" spans="1:6">
      <c r="A8102" t="s">
        <v>8061</v>
      </c>
      <c r="B8102" t="str">
        <f t="shared" si="324"/>
        <v>0.00019%</v>
      </c>
      <c r="C8102" t="s">
        <v>10</v>
      </c>
      <c r="D8102" t="s">
        <v>10</v>
      </c>
      <c r="E8102" t="str">
        <f>"$ 1,444"</f>
        <v>$ 1,444</v>
      </c>
      <c r="F8102">
        <v>33</v>
      </c>
    </row>
    <row r="8103" spans="1:6">
      <c r="A8103" t="s">
        <v>8062</v>
      </c>
      <c r="B8103" t="str">
        <f t="shared" si="324"/>
        <v>0.00019%</v>
      </c>
      <c r="C8103" t="s">
        <v>10</v>
      </c>
      <c r="D8103" t="s">
        <v>10</v>
      </c>
      <c r="E8103" t="str">
        <f>"$ 1,445"</f>
        <v>$ 1,445</v>
      </c>
      <c r="F8103">
        <v>70</v>
      </c>
    </row>
    <row r="8104" spans="1:6">
      <c r="A8104" t="s">
        <v>8063</v>
      </c>
      <c r="B8104" t="str">
        <f t="shared" si="324"/>
        <v>0.00019%</v>
      </c>
      <c r="C8104" t="s">
        <v>10</v>
      </c>
      <c r="D8104" t="s">
        <v>10</v>
      </c>
      <c r="E8104" t="str">
        <f>"$ 1,446"</f>
        <v>$ 1,446</v>
      </c>
      <c r="F8104">
        <v>818</v>
      </c>
    </row>
    <row r="8105" spans="1:6">
      <c r="A8105" t="s">
        <v>8064</v>
      </c>
      <c r="B8105" t="str">
        <f t="shared" si="324"/>
        <v>0.00019%</v>
      </c>
      <c r="C8105" t="s">
        <v>10</v>
      </c>
      <c r="D8105" t="s">
        <v>10</v>
      </c>
      <c r="E8105" t="str">
        <f>"$ 1,454"</f>
        <v>$ 1,454</v>
      </c>
      <c r="F8105">
        <v>28</v>
      </c>
    </row>
    <row r="8106" spans="1:6">
      <c r="A8106" t="s">
        <v>8065</v>
      </c>
      <c r="B8106" t="str">
        <f t="shared" si="324"/>
        <v>0.00019%</v>
      </c>
      <c r="C8106" t="s">
        <v>10</v>
      </c>
      <c r="D8106" t="s">
        <v>10</v>
      </c>
      <c r="E8106" t="str">
        <f>"$ 1,454"</f>
        <v>$ 1,454</v>
      </c>
      <c r="F8106" s="1">
        <v>1943</v>
      </c>
    </row>
    <row r="8107" spans="1:6">
      <c r="A8107" t="s">
        <v>8066</v>
      </c>
      <c r="B8107" t="str">
        <f t="shared" si="324"/>
        <v>0.00019%</v>
      </c>
      <c r="C8107" t="s">
        <v>10</v>
      </c>
      <c r="D8107" t="s">
        <v>10</v>
      </c>
      <c r="E8107" t="str">
        <f>"$ 1,456"</f>
        <v>$ 1,456</v>
      </c>
      <c r="F8107" s="1">
        <v>5501</v>
      </c>
    </row>
    <row r="8108" spans="1:6">
      <c r="A8108" t="s">
        <v>8067</v>
      </c>
      <c r="B8108" t="str">
        <f t="shared" si="324"/>
        <v>0.00019%</v>
      </c>
      <c r="C8108" t="s">
        <v>10</v>
      </c>
      <c r="D8108" t="s">
        <v>10</v>
      </c>
      <c r="E8108" t="str">
        <f>"$ 1,466"</f>
        <v>$ 1,466</v>
      </c>
      <c r="F8108" s="1">
        <v>3116</v>
      </c>
    </row>
    <row r="8109" spans="1:6">
      <c r="A8109" t="s">
        <v>8068</v>
      </c>
      <c r="B8109" t="str">
        <f t="shared" si="324"/>
        <v>0.00019%</v>
      </c>
      <c r="C8109" t="s">
        <v>10</v>
      </c>
      <c r="D8109" t="s">
        <v>10</v>
      </c>
      <c r="E8109" t="str">
        <f>"$ 1,481"</f>
        <v>$ 1,481</v>
      </c>
      <c r="F8109">
        <v>64</v>
      </c>
    </row>
    <row r="8110" spans="1:6">
      <c r="A8110" t="s">
        <v>8069</v>
      </c>
      <c r="B8110" t="str">
        <f t="shared" si="324"/>
        <v>0.00019%</v>
      </c>
      <c r="C8110" t="s">
        <v>10</v>
      </c>
      <c r="D8110" t="s">
        <v>10</v>
      </c>
      <c r="E8110" t="str">
        <f>"$ 1,433"</f>
        <v>$ 1,433</v>
      </c>
      <c r="F8110">
        <v>827</v>
      </c>
    </row>
    <row r="8111" spans="1:6">
      <c r="A8111" t="s">
        <v>8070</v>
      </c>
      <c r="B8111" t="str">
        <f t="shared" si="324"/>
        <v>0.00019%</v>
      </c>
      <c r="C8111" t="s">
        <v>10</v>
      </c>
      <c r="D8111" t="s">
        <v>10</v>
      </c>
      <c r="E8111" t="str">
        <f>"$ 1,437"</f>
        <v>$ 1,437</v>
      </c>
      <c r="F8111" s="1">
        <v>3334</v>
      </c>
    </row>
    <row r="8112" spans="1:6">
      <c r="A8112" t="s">
        <v>8071</v>
      </c>
      <c r="B8112" t="str">
        <f t="shared" si="324"/>
        <v>0.00019%</v>
      </c>
      <c r="C8112" t="s">
        <v>10</v>
      </c>
      <c r="D8112" t="s">
        <v>10</v>
      </c>
      <c r="E8112" t="str">
        <f>"$ 1,437"</f>
        <v>$ 1,437</v>
      </c>
      <c r="F8112" s="1">
        <v>1017</v>
      </c>
    </row>
    <row r="8113" spans="1:6">
      <c r="A8113" t="s">
        <v>8072</v>
      </c>
      <c r="B8113" t="str">
        <f t="shared" si="324"/>
        <v>0.00019%</v>
      </c>
      <c r="C8113" t="s">
        <v>10</v>
      </c>
      <c r="D8113" t="s">
        <v>10</v>
      </c>
      <c r="E8113" t="str">
        <f>"$ 1,448"</f>
        <v>$ 1,448</v>
      </c>
      <c r="F8113" s="1">
        <v>3530</v>
      </c>
    </row>
    <row r="8114" spans="1:6">
      <c r="A8114" t="s">
        <v>8073</v>
      </c>
      <c r="B8114" t="str">
        <f t="shared" si="324"/>
        <v>0.00019%</v>
      </c>
      <c r="C8114" t="s">
        <v>10</v>
      </c>
      <c r="D8114" t="s">
        <v>10</v>
      </c>
      <c r="E8114" t="str">
        <f>"$ 1,444"</f>
        <v>$ 1,444</v>
      </c>
      <c r="F8114" s="1">
        <v>1456</v>
      </c>
    </row>
    <row r="8115" spans="1:6">
      <c r="A8115" t="s">
        <v>8074</v>
      </c>
      <c r="B8115" t="str">
        <f t="shared" si="324"/>
        <v>0.00019%</v>
      </c>
      <c r="C8115" t="s">
        <v>10</v>
      </c>
      <c r="D8115" t="s">
        <v>10</v>
      </c>
      <c r="E8115" t="str">
        <f>"$ 1,436"</f>
        <v>$ 1,436</v>
      </c>
      <c r="F8115">
        <v>940</v>
      </c>
    </row>
    <row r="8116" spans="1:6">
      <c r="A8116" t="s">
        <v>8075</v>
      </c>
      <c r="B8116" t="str">
        <f t="shared" ref="B8116:B8130" si="325">"0.00019%"</f>
        <v>0.00019%</v>
      </c>
      <c r="C8116" t="s">
        <v>10</v>
      </c>
      <c r="D8116" t="s">
        <v>10</v>
      </c>
      <c r="E8116" t="str">
        <f>"$ 1,438"</f>
        <v>$ 1,438</v>
      </c>
      <c r="F8116" s="1">
        <v>2144</v>
      </c>
    </row>
    <row r="8117" spans="1:6">
      <c r="A8117" t="s">
        <v>8076</v>
      </c>
      <c r="B8117" t="str">
        <f t="shared" si="325"/>
        <v>0.00019%</v>
      </c>
      <c r="C8117" t="s">
        <v>10</v>
      </c>
      <c r="D8117" t="s">
        <v>10</v>
      </c>
      <c r="E8117" t="str">
        <f>"$ 1,480"</f>
        <v>$ 1,480</v>
      </c>
      <c r="F8117">
        <v>184</v>
      </c>
    </row>
    <row r="8118" spans="1:6">
      <c r="A8118" t="s">
        <v>8077</v>
      </c>
      <c r="B8118" t="str">
        <f t="shared" si="325"/>
        <v>0.00019%</v>
      </c>
      <c r="C8118" t="s">
        <v>10</v>
      </c>
      <c r="D8118" t="s">
        <v>10</v>
      </c>
      <c r="E8118" t="str">
        <f>"$ 1,478"</f>
        <v>$ 1,478</v>
      </c>
      <c r="F8118">
        <v>66</v>
      </c>
    </row>
    <row r="8119" spans="1:6">
      <c r="A8119" t="s">
        <v>8078</v>
      </c>
      <c r="B8119" t="str">
        <f t="shared" si="325"/>
        <v>0.00019%</v>
      </c>
      <c r="C8119" t="s">
        <v>10</v>
      </c>
      <c r="D8119" t="s">
        <v>10</v>
      </c>
      <c r="E8119" t="str">
        <f>"$ 1,485"</f>
        <v>$ 1,485</v>
      </c>
      <c r="F8119">
        <v>284</v>
      </c>
    </row>
    <row r="8120" spans="1:6">
      <c r="A8120" t="s">
        <v>8079</v>
      </c>
      <c r="B8120" t="str">
        <f t="shared" si="325"/>
        <v>0.00019%</v>
      </c>
      <c r="C8120" t="s">
        <v>10</v>
      </c>
      <c r="D8120" t="s">
        <v>10</v>
      </c>
      <c r="E8120" t="str">
        <f>"$ 1,488"</f>
        <v>$ 1,488</v>
      </c>
      <c r="F8120">
        <v>267</v>
      </c>
    </row>
    <row r="8121" spans="1:6">
      <c r="A8121" t="s">
        <v>8080</v>
      </c>
      <c r="B8121" t="str">
        <f t="shared" si="325"/>
        <v>0.00019%</v>
      </c>
      <c r="C8121" t="s">
        <v>10</v>
      </c>
      <c r="D8121" t="s">
        <v>10</v>
      </c>
      <c r="E8121" t="str">
        <f>"$ 1,441"</f>
        <v>$ 1,441</v>
      </c>
      <c r="F8121" s="1">
        <v>2804</v>
      </c>
    </row>
    <row r="8122" spans="1:6">
      <c r="A8122" t="s">
        <v>8081</v>
      </c>
      <c r="B8122" t="str">
        <f t="shared" si="325"/>
        <v>0.00019%</v>
      </c>
      <c r="C8122" t="s">
        <v>10</v>
      </c>
      <c r="D8122" t="s">
        <v>10</v>
      </c>
      <c r="E8122" t="str">
        <f>"$ 1,445"</f>
        <v>$ 1,445</v>
      </c>
      <c r="F8122">
        <v>358</v>
      </c>
    </row>
    <row r="8123" spans="1:6">
      <c r="A8123" t="s">
        <v>8082</v>
      </c>
      <c r="B8123" t="str">
        <f t="shared" si="325"/>
        <v>0.00019%</v>
      </c>
      <c r="C8123" t="s">
        <v>10</v>
      </c>
      <c r="D8123" t="s">
        <v>10</v>
      </c>
      <c r="E8123" t="str">
        <f>"$ 1,448"</f>
        <v>$ 1,448</v>
      </c>
      <c r="F8123">
        <v>350</v>
      </c>
    </row>
    <row r="8124" spans="1:6">
      <c r="A8124" t="s">
        <v>8083</v>
      </c>
      <c r="B8124" t="str">
        <f t="shared" si="325"/>
        <v>0.00019%</v>
      </c>
      <c r="C8124" t="s">
        <v>10</v>
      </c>
      <c r="D8124" t="s">
        <v>10</v>
      </c>
      <c r="E8124" t="str">
        <f>"$ 1,437"</f>
        <v>$ 1,437</v>
      </c>
      <c r="F8124">
        <v>49</v>
      </c>
    </row>
    <row r="8125" spans="1:6">
      <c r="A8125" t="s">
        <v>8084</v>
      </c>
      <c r="B8125" t="str">
        <f t="shared" si="325"/>
        <v>0.00019%</v>
      </c>
      <c r="C8125" t="s">
        <v>10</v>
      </c>
      <c r="D8125" t="s">
        <v>10</v>
      </c>
      <c r="E8125" t="str">
        <f>"$ 1,461"</f>
        <v>$ 1,461</v>
      </c>
      <c r="F8125">
        <v>66</v>
      </c>
    </row>
    <row r="8126" spans="1:6">
      <c r="A8126" t="s">
        <v>8085</v>
      </c>
      <c r="B8126" t="str">
        <f t="shared" si="325"/>
        <v>0.00019%</v>
      </c>
      <c r="C8126" t="s">
        <v>10</v>
      </c>
      <c r="D8126" t="s">
        <v>10</v>
      </c>
      <c r="E8126" t="str">
        <f>"$ 1,439"</f>
        <v>$ 1,439</v>
      </c>
      <c r="F8126">
        <v>233</v>
      </c>
    </row>
    <row r="8127" spans="1:6">
      <c r="A8127" t="s">
        <v>8086</v>
      </c>
      <c r="B8127" t="str">
        <f t="shared" si="325"/>
        <v>0.00019%</v>
      </c>
      <c r="C8127" t="s">
        <v>10</v>
      </c>
      <c r="D8127" t="s">
        <v>10</v>
      </c>
      <c r="E8127" t="str">
        <f>"$ 1,491"</f>
        <v>$ 1,491</v>
      </c>
      <c r="F8127">
        <v>66</v>
      </c>
    </row>
    <row r="8128" spans="1:6">
      <c r="A8128" t="s">
        <v>8087</v>
      </c>
      <c r="B8128" t="str">
        <f t="shared" si="325"/>
        <v>0.00019%</v>
      </c>
      <c r="C8128" t="s">
        <v>10</v>
      </c>
      <c r="D8128" t="s">
        <v>10</v>
      </c>
      <c r="E8128" t="str">
        <f>"$ 1,490"</f>
        <v>$ 1,490</v>
      </c>
      <c r="F8128" s="1">
        <v>1052</v>
      </c>
    </row>
    <row r="8129" spans="1:6">
      <c r="A8129" t="s">
        <v>8088</v>
      </c>
      <c r="B8129" t="str">
        <f t="shared" si="325"/>
        <v>0.00019%</v>
      </c>
      <c r="C8129" t="s">
        <v>10</v>
      </c>
      <c r="D8129" t="s">
        <v>10</v>
      </c>
      <c r="E8129" t="str">
        <f>"$ 1,499"</f>
        <v>$ 1,499</v>
      </c>
      <c r="F8129">
        <v>706</v>
      </c>
    </row>
    <row r="8130" spans="1:6">
      <c r="A8130" t="s">
        <v>8089</v>
      </c>
      <c r="B8130" t="str">
        <f t="shared" si="325"/>
        <v>0.00019%</v>
      </c>
      <c r="C8130" t="s">
        <v>10</v>
      </c>
      <c r="D8130" t="s">
        <v>10</v>
      </c>
      <c r="E8130" t="str">
        <f>"$ 1,441"</f>
        <v>$ 1,441</v>
      </c>
      <c r="F8130">
        <v>73</v>
      </c>
    </row>
    <row r="8131" spans="1:6">
      <c r="A8131" t="s">
        <v>8090</v>
      </c>
      <c r="B8131" t="str">
        <f t="shared" ref="B8131:B8162" si="326">"0.00018%"</f>
        <v>0.00018%</v>
      </c>
      <c r="C8131" t="s">
        <v>10</v>
      </c>
      <c r="D8131" t="s">
        <v>10</v>
      </c>
      <c r="E8131" t="str">
        <f>"$ 1,395"</f>
        <v>$ 1,395</v>
      </c>
      <c r="F8131">
        <v>292</v>
      </c>
    </row>
    <row r="8132" spans="1:6">
      <c r="A8132" t="s">
        <v>8091</v>
      </c>
      <c r="B8132" t="str">
        <f t="shared" si="326"/>
        <v>0.00018%</v>
      </c>
      <c r="C8132" t="s">
        <v>10</v>
      </c>
      <c r="D8132" t="s">
        <v>10</v>
      </c>
      <c r="E8132" t="str">
        <f>"$ 1,420"</f>
        <v>$ 1,420</v>
      </c>
      <c r="F8132">
        <v>123</v>
      </c>
    </row>
    <row r="8133" spans="1:6">
      <c r="A8133" t="s">
        <v>8092</v>
      </c>
      <c r="B8133" t="str">
        <f t="shared" si="326"/>
        <v>0.00018%</v>
      </c>
      <c r="C8133" t="s">
        <v>10</v>
      </c>
      <c r="D8133" t="s">
        <v>10</v>
      </c>
      <c r="E8133" t="str">
        <f>"$ 1,410"</f>
        <v>$ 1,410</v>
      </c>
      <c r="F8133">
        <v>115</v>
      </c>
    </row>
    <row r="8134" spans="1:6">
      <c r="A8134" t="s">
        <v>8093</v>
      </c>
      <c r="B8134" t="str">
        <f t="shared" si="326"/>
        <v>0.00018%</v>
      </c>
      <c r="C8134" t="s">
        <v>10</v>
      </c>
      <c r="D8134" t="s">
        <v>10</v>
      </c>
      <c r="E8134" t="str">
        <f>"$ 1,383"</f>
        <v>$ 1,383</v>
      </c>
      <c r="F8134">
        <v>107</v>
      </c>
    </row>
    <row r="8135" spans="1:6">
      <c r="A8135" t="s">
        <v>8094</v>
      </c>
      <c r="B8135" t="str">
        <f t="shared" si="326"/>
        <v>0.00018%</v>
      </c>
      <c r="C8135" t="s">
        <v>10</v>
      </c>
      <c r="D8135" t="s">
        <v>10</v>
      </c>
      <c r="E8135" t="str">
        <f>"$ 1,383"</f>
        <v>$ 1,383</v>
      </c>
      <c r="F8135">
        <v>49</v>
      </c>
    </row>
    <row r="8136" spans="1:6">
      <c r="A8136" t="s">
        <v>8095</v>
      </c>
      <c r="B8136" t="str">
        <f t="shared" si="326"/>
        <v>0.00018%</v>
      </c>
      <c r="C8136" t="s">
        <v>10</v>
      </c>
      <c r="D8136" t="s">
        <v>10</v>
      </c>
      <c r="E8136" t="str">
        <f>"$ 1,390"</f>
        <v>$ 1,390</v>
      </c>
      <c r="F8136">
        <v>49</v>
      </c>
    </row>
    <row r="8137" spans="1:6">
      <c r="A8137" t="s">
        <v>8096</v>
      </c>
      <c r="B8137" t="str">
        <f t="shared" si="326"/>
        <v>0.00018%</v>
      </c>
      <c r="C8137" t="s">
        <v>10</v>
      </c>
      <c r="D8137" t="s">
        <v>10</v>
      </c>
      <c r="E8137" t="str">
        <f>"$ 1,421"</f>
        <v>$ 1,421</v>
      </c>
      <c r="F8137">
        <v>49</v>
      </c>
    </row>
    <row r="8138" spans="1:6">
      <c r="A8138" t="s">
        <v>8097</v>
      </c>
      <c r="B8138" t="str">
        <f t="shared" si="326"/>
        <v>0.00018%</v>
      </c>
      <c r="C8138" t="s">
        <v>10</v>
      </c>
      <c r="D8138" t="s">
        <v>10</v>
      </c>
      <c r="E8138" t="str">
        <f>"$ 1,424"</f>
        <v>$ 1,424</v>
      </c>
      <c r="F8138">
        <v>911</v>
      </c>
    </row>
    <row r="8139" spans="1:6">
      <c r="A8139" t="s">
        <v>8098</v>
      </c>
      <c r="B8139" t="str">
        <f t="shared" si="326"/>
        <v>0.00018%</v>
      </c>
      <c r="C8139" t="s">
        <v>10</v>
      </c>
      <c r="D8139" t="s">
        <v>10</v>
      </c>
      <c r="E8139" t="str">
        <f>"$ 1,393"</f>
        <v>$ 1,393</v>
      </c>
      <c r="F8139">
        <v>120</v>
      </c>
    </row>
    <row r="8140" spans="1:6">
      <c r="A8140" t="s">
        <v>8099</v>
      </c>
      <c r="B8140" t="str">
        <f t="shared" si="326"/>
        <v>0.00018%</v>
      </c>
      <c r="C8140" t="s">
        <v>10</v>
      </c>
      <c r="D8140" t="s">
        <v>10</v>
      </c>
      <c r="E8140" t="str">
        <f>"$ 1,401"</f>
        <v>$ 1,401</v>
      </c>
      <c r="F8140">
        <v>685</v>
      </c>
    </row>
    <row r="8141" spans="1:6">
      <c r="A8141" t="s">
        <v>8100</v>
      </c>
      <c r="B8141" t="str">
        <f t="shared" si="326"/>
        <v>0.00018%</v>
      </c>
      <c r="C8141" t="s">
        <v>10</v>
      </c>
      <c r="D8141" t="s">
        <v>10</v>
      </c>
      <c r="E8141" t="str">
        <f>"$ 1,422"</f>
        <v>$ 1,422</v>
      </c>
      <c r="F8141">
        <v>340</v>
      </c>
    </row>
    <row r="8142" spans="1:6">
      <c r="A8142" t="s">
        <v>8101</v>
      </c>
      <c r="B8142" t="str">
        <f t="shared" si="326"/>
        <v>0.00018%</v>
      </c>
      <c r="C8142" t="s">
        <v>10</v>
      </c>
      <c r="D8142" t="s">
        <v>10</v>
      </c>
      <c r="E8142" t="str">
        <f>"$ 1,420"</f>
        <v>$ 1,420</v>
      </c>
      <c r="F8142">
        <v>688</v>
      </c>
    </row>
    <row r="8143" spans="1:6">
      <c r="A8143" t="s">
        <v>6645</v>
      </c>
      <c r="B8143" t="str">
        <f t="shared" si="326"/>
        <v>0.00018%</v>
      </c>
      <c r="C8143" t="s">
        <v>10</v>
      </c>
      <c r="D8143" t="s">
        <v>10</v>
      </c>
      <c r="E8143" t="str">
        <f>"$ 1,354"</f>
        <v>$ 1,354</v>
      </c>
      <c r="F8143">
        <v>216</v>
      </c>
    </row>
    <row r="8144" spans="1:6">
      <c r="A8144" t="s">
        <v>8102</v>
      </c>
      <c r="B8144" t="str">
        <f t="shared" si="326"/>
        <v>0.00018%</v>
      </c>
      <c r="C8144" t="s">
        <v>10</v>
      </c>
      <c r="D8144" t="s">
        <v>10</v>
      </c>
      <c r="E8144" t="str">
        <f>"$ 1,352"</f>
        <v>$ 1,352</v>
      </c>
      <c r="F8144">
        <v>771</v>
      </c>
    </row>
    <row r="8145" spans="1:6">
      <c r="A8145" t="s">
        <v>8103</v>
      </c>
      <c r="B8145" t="str">
        <f t="shared" si="326"/>
        <v>0.00018%</v>
      </c>
      <c r="C8145" t="s">
        <v>10</v>
      </c>
      <c r="D8145" t="s">
        <v>10</v>
      </c>
      <c r="E8145" t="str">
        <f>"$ 1,377"</f>
        <v>$ 1,377</v>
      </c>
      <c r="F8145" s="1">
        <v>4289</v>
      </c>
    </row>
    <row r="8146" spans="1:6">
      <c r="A8146" t="s">
        <v>8104</v>
      </c>
      <c r="B8146" t="str">
        <f t="shared" si="326"/>
        <v>0.00018%</v>
      </c>
      <c r="C8146" t="s">
        <v>10</v>
      </c>
      <c r="D8146" t="s">
        <v>10</v>
      </c>
      <c r="E8146" t="str">
        <f>"$ 1,381"</f>
        <v>$ 1,381</v>
      </c>
      <c r="F8146">
        <v>16</v>
      </c>
    </row>
    <row r="8147" spans="1:6">
      <c r="A8147" t="s">
        <v>8105</v>
      </c>
      <c r="B8147" t="str">
        <f t="shared" si="326"/>
        <v>0.00018%</v>
      </c>
      <c r="C8147" t="s">
        <v>10</v>
      </c>
      <c r="D8147" t="s">
        <v>10</v>
      </c>
      <c r="E8147" t="str">
        <f>"$ 1,367"</f>
        <v>$ 1,367</v>
      </c>
      <c r="F8147">
        <v>155</v>
      </c>
    </row>
    <row r="8148" spans="1:6">
      <c r="A8148" t="s">
        <v>8106</v>
      </c>
      <c r="B8148" t="str">
        <f t="shared" si="326"/>
        <v>0.00018%</v>
      </c>
      <c r="C8148" t="s">
        <v>10</v>
      </c>
      <c r="D8148" t="s">
        <v>10</v>
      </c>
      <c r="E8148" t="str">
        <f>"$ 1,355"</f>
        <v>$ 1,355</v>
      </c>
      <c r="F8148">
        <v>475</v>
      </c>
    </row>
    <row r="8149" spans="1:6">
      <c r="A8149" t="s">
        <v>8107</v>
      </c>
      <c r="B8149" t="str">
        <f t="shared" si="326"/>
        <v>0.00018%</v>
      </c>
      <c r="C8149" t="s">
        <v>10</v>
      </c>
      <c r="D8149" t="s">
        <v>10</v>
      </c>
      <c r="E8149" t="str">
        <f>"$ 1,355"</f>
        <v>$ 1,355</v>
      </c>
      <c r="F8149">
        <v>49</v>
      </c>
    </row>
    <row r="8150" spans="1:6">
      <c r="A8150" t="s">
        <v>8108</v>
      </c>
      <c r="B8150" t="str">
        <f t="shared" si="326"/>
        <v>0.00018%</v>
      </c>
      <c r="C8150" t="s">
        <v>10</v>
      </c>
      <c r="D8150" t="s">
        <v>10</v>
      </c>
      <c r="E8150" t="str">
        <f>"$ 1,403"</f>
        <v>$ 1,403</v>
      </c>
      <c r="F8150">
        <v>579</v>
      </c>
    </row>
    <row r="8151" spans="1:6">
      <c r="A8151" t="s">
        <v>8109</v>
      </c>
      <c r="B8151" t="str">
        <f t="shared" si="326"/>
        <v>0.00018%</v>
      </c>
      <c r="C8151" t="s">
        <v>10</v>
      </c>
      <c r="D8151" t="s">
        <v>10</v>
      </c>
      <c r="E8151" t="str">
        <f>"$ 1,399"</f>
        <v>$ 1,399</v>
      </c>
      <c r="F8151">
        <v>165</v>
      </c>
    </row>
    <row r="8152" spans="1:6">
      <c r="A8152" t="s">
        <v>8110</v>
      </c>
      <c r="B8152" t="str">
        <f t="shared" si="326"/>
        <v>0.00018%</v>
      </c>
      <c r="C8152" t="s">
        <v>10</v>
      </c>
      <c r="D8152" t="s">
        <v>10</v>
      </c>
      <c r="E8152" t="str">
        <f>"$ 1,406"</f>
        <v>$ 1,406</v>
      </c>
      <c r="F8152">
        <v>116</v>
      </c>
    </row>
    <row r="8153" spans="1:6">
      <c r="A8153" t="s">
        <v>8111</v>
      </c>
      <c r="B8153" t="str">
        <f t="shared" si="326"/>
        <v>0.00018%</v>
      </c>
      <c r="C8153" t="s">
        <v>10</v>
      </c>
      <c r="D8153" t="s">
        <v>10</v>
      </c>
      <c r="E8153" t="str">
        <f>"$ 1,353"</f>
        <v>$ 1,353</v>
      </c>
      <c r="F8153">
        <v>622</v>
      </c>
    </row>
    <row r="8154" spans="1:6">
      <c r="A8154" t="s">
        <v>8112</v>
      </c>
      <c r="B8154" t="str">
        <f t="shared" si="326"/>
        <v>0.00018%</v>
      </c>
      <c r="C8154" t="s">
        <v>10</v>
      </c>
      <c r="D8154" t="s">
        <v>10</v>
      </c>
      <c r="E8154" t="str">
        <f>"$ 1,362"</f>
        <v>$ 1,362</v>
      </c>
      <c r="F8154" s="1">
        <v>1670</v>
      </c>
    </row>
    <row r="8155" spans="1:6">
      <c r="A8155" t="s">
        <v>8113</v>
      </c>
      <c r="B8155" t="str">
        <f t="shared" si="326"/>
        <v>0.00018%</v>
      </c>
      <c r="C8155" t="s">
        <v>10</v>
      </c>
      <c r="D8155" t="s">
        <v>10</v>
      </c>
      <c r="E8155" t="str">
        <f>"$ 1,415"</f>
        <v>$ 1,415</v>
      </c>
      <c r="F8155">
        <v>37</v>
      </c>
    </row>
    <row r="8156" spans="1:6">
      <c r="A8156" t="s">
        <v>8114</v>
      </c>
      <c r="B8156" t="str">
        <f t="shared" si="326"/>
        <v>0.00018%</v>
      </c>
      <c r="C8156" t="s">
        <v>10</v>
      </c>
      <c r="D8156" t="s">
        <v>10</v>
      </c>
      <c r="E8156" t="str">
        <f>"$ 1,365"</f>
        <v>$ 1,365</v>
      </c>
      <c r="F8156">
        <v>33</v>
      </c>
    </row>
    <row r="8157" spans="1:6">
      <c r="A8157" t="s">
        <v>8115</v>
      </c>
      <c r="B8157" t="str">
        <f t="shared" si="326"/>
        <v>0.00018%</v>
      </c>
      <c r="C8157" t="s">
        <v>10</v>
      </c>
      <c r="D8157" t="s">
        <v>10</v>
      </c>
      <c r="E8157" t="str">
        <f>"$ 1,356"</f>
        <v>$ 1,356</v>
      </c>
      <c r="F8157">
        <v>115</v>
      </c>
    </row>
    <row r="8158" spans="1:6">
      <c r="A8158" t="s">
        <v>8116</v>
      </c>
      <c r="B8158" t="str">
        <f t="shared" si="326"/>
        <v>0.00018%</v>
      </c>
      <c r="C8158" t="s">
        <v>10</v>
      </c>
      <c r="D8158" t="s">
        <v>10</v>
      </c>
      <c r="E8158" t="str">
        <f>"$ 1,387"</f>
        <v>$ 1,387</v>
      </c>
      <c r="F8158" s="1">
        <v>2338</v>
      </c>
    </row>
    <row r="8159" spans="1:6">
      <c r="A8159" t="s">
        <v>8117</v>
      </c>
      <c r="B8159" t="str">
        <f t="shared" si="326"/>
        <v>0.00018%</v>
      </c>
      <c r="C8159" t="s">
        <v>10</v>
      </c>
      <c r="D8159" t="s">
        <v>10</v>
      </c>
      <c r="E8159" t="str">
        <f>"$ 1,404"</f>
        <v>$ 1,404</v>
      </c>
      <c r="F8159">
        <v>66</v>
      </c>
    </row>
    <row r="8160" spans="1:6">
      <c r="A8160" t="s">
        <v>8118</v>
      </c>
      <c r="B8160" t="str">
        <f t="shared" si="326"/>
        <v>0.00018%</v>
      </c>
      <c r="C8160" t="s">
        <v>10</v>
      </c>
      <c r="D8160" t="s">
        <v>10</v>
      </c>
      <c r="E8160" t="str">
        <f>"$ 1,417"</f>
        <v>$ 1,417</v>
      </c>
      <c r="F8160">
        <v>333</v>
      </c>
    </row>
    <row r="8161" spans="1:6">
      <c r="A8161" t="s">
        <v>8119</v>
      </c>
      <c r="B8161" t="str">
        <f t="shared" si="326"/>
        <v>0.00018%</v>
      </c>
      <c r="C8161" t="s">
        <v>10</v>
      </c>
      <c r="D8161" t="s">
        <v>10</v>
      </c>
      <c r="E8161" t="str">
        <f>"$ 1,402"</f>
        <v>$ 1,402</v>
      </c>
      <c r="F8161">
        <v>66</v>
      </c>
    </row>
    <row r="8162" spans="1:6">
      <c r="A8162" t="s">
        <v>8120</v>
      </c>
      <c r="B8162" t="str">
        <f t="shared" si="326"/>
        <v>0.00018%</v>
      </c>
      <c r="C8162" t="s">
        <v>10</v>
      </c>
      <c r="D8162" t="s">
        <v>10</v>
      </c>
      <c r="E8162" t="str">
        <f>"$ 1,411"</f>
        <v>$ 1,411</v>
      </c>
      <c r="F8162">
        <v>130</v>
      </c>
    </row>
    <row r="8163" spans="1:6">
      <c r="A8163" t="s">
        <v>8121</v>
      </c>
      <c r="B8163" t="str">
        <f t="shared" ref="B8163:B8194" si="327">"0.00018%"</f>
        <v>0.00018%</v>
      </c>
      <c r="C8163" t="s">
        <v>10</v>
      </c>
      <c r="D8163" t="s">
        <v>10</v>
      </c>
      <c r="E8163" t="str">
        <f>"$ 1,361"</f>
        <v>$ 1,361</v>
      </c>
      <c r="F8163">
        <v>31</v>
      </c>
    </row>
    <row r="8164" spans="1:6">
      <c r="A8164" t="s">
        <v>8122</v>
      </c>
      <c r="B8164" t="str">
        <f t="shared" si="327"/>
        <v>0.00018%</v>
      </c>
      <c r="C8164" t="s">
        <v>10</v>
      </c>
      <c r="D8164" t="s">
        <v>10</v>
      </c>
      <c r="E8164" t="str">
        <f>"$ 1,372"</f>
        <v>$ 1,372</v>
      </c>
      <c r="F8164">
        <v>27</v>
      </c>
    </row>
    <row r="8165" spans="1:6">
      <c r="A8165" t="s">
        <v>8123</v>
      </c>
      <c r="B8165" t="str">
        <f t="shared" si="327"/>
        <v>0.00018%</v>
      </c>
      <c r="C8165" t="s">
        <v>10</v>
      </c>
      <c r="D8165" t="s">
        <v>10</v>
      </c>
      <c r="E8165" t="str">
        <f>"$ 1,420"</f>
        <v>$ 1,420</v>
      </c>
      <c r="F8165">
        <v>142</v>
      </c>
    </row>
    <row r="8166" spans="1:6">
      <c r="A8166" t="s">
        <v>8124</v>
      </c>
      <c r="B8166" t="str">
        <f t="shared" si="327"/>
        <v>0.00018%</v>
      </c>
      <c r="C8166" t="s">
        <v>10</v>
      </c>
      <c r="D8166" t="s">
        <v>10</v>
      </c>
      <c r="E8166" t="str">
        <f>"$ 1,427"</f>
        <v>$ 1,427</v>
      </c>
      <c r="F8166">
        <v>34</v>
      </c>
    </row>
    <row r="8167" spans="1:6">
      <c r="A8167" t="s">
        <v>8125</v>
      </c>
      <c r="B8167" t="str">
        <f t="shared" si="327"/>
        <v>0.00018%</v>
      </c>
      <c r="C8167" t="s">
        <v>10</v>
      </c>
      <c r="D8167" t="s">
        <v>10</v>
      </c>
      <c r="E8167" t="str">
        <f>"$ 1,401"</f>
        <v>$ 1,401</v>
      </c>
      <c r="F8167">
        <v>132</v>
      </c>
    </row>
    <row r="8168" spans="1:6">
      <c r="A8168" t="s">
        <v>8126</v>
      </c>
      <c r="B8168" t="str">
        <f t="shared" si="327"/>
        <v>0.00018%</v>
      </c>
      <c r="C8168" t="s">
        <v>10</v>
      </c>
      <c r="D8168" t="s">
        <v>10</v>
      </c>
      <c r="E8168" t="str">
        <f>"$ 1,373"</f>
        <v>$ 1,373</v>
      </c>
      <c r="F8168">
        <v>214</v>
      </c>
    </row>
    <row r="8169" spans="1:6">
      <c r="A8169" t="s">
        <v>8127</v>
      </c>
      <c r="B8169" t="str">
        <f t="shared" si="327"/>
        <v>0.00018%</v>
      </c>
      <c r="C8169" t="s">
        <v>10</v>
      </c>
      <c r="D8169" t="s">
        <v>10</v>
      </c>
      <c r="E8169" t="str">
        <f>"$ 1,356"</f>
        <v>$ 1,356</v>
      </c>
      <c r="F8169">
        <v>49</v>
      </c>
    </row>
    <row r="8170" spans="1:6">
      <c r="A8170" t="s">
        <v>8128</v>
      </c>
      <c r="B8170" t="str">
        <f t="shared" si="327"/>
        <v>0.00018%</v>
      </c>
      <c r="C8170" t="s">
        <v>10</v>
      </c>
      <c r="D8170" t="s">
        <v>10</v>
      </c>
      <c r="E8170" t="str">
        <f>"$ 1,374"</f>
        <v>$ 1,374</v>
      </c>
      <c r="F8170">
        <v>686</v>
      </c>
    </row>
    <row r="8171" spans="1:6">
      <c r="A8171" t="s">
        <v>8129</v>
      </c>
      <c r="B8171" t="str">
        <f t="shared" si="327"/>
        <v>0.00018%</v>
      </c>
      <c r="C8171" t="s">
        <v>10</v>
      </c>
      <c r="D8171" t="s">
        <v>10</v>
      </c>
      <c r="E8171" t="str">
        <f>"$ 1,375"</f>
        <v>$ 1,375</v>
      </c>
      <c r="F8171">
        <v>363</v>
      </c>
    </row>
    <row r="8172" spans="1:6">
      <c r="A8172" t="s">
        <v>8130</v>
      </c>
      <c r="B8172" t="str">
        <f t="shared" si="327"/>
        <v>0.00018%</v>
      </c>
      <c r="C8172" t="s">
        <v>10</v>
      </c>
      <c r="D8172" t="s">
        <v>10</v>
      </c>
      <c r="E8172" t="str">
        <f>"$ 1,399"</f>
        <v>$ 1,399</v>
      </c>
      <c r="F8172" s="1">
        <v>2253</v>
      </c>
    </row>
    <row r="8173" spans="1:6">
      <c r="A8173" t="s">
        <v>8131</v>
      </c>
      <c r="B8173" t="str">
        <f t="shared" si="327"/>
        <v>0.00018%</v>
      </c>
      <c r="C8173" t="s">
        <v>10</v>
      </c>
      <c r="D8173" t="s">
        <v>10</v>
      </c>
      <c r="E8173" t="str">
        <f>"$ 1,415"</f>
        <v>$ 1,415</v>
      </c>
      <c r="F8173">
        <v>33</v>
      </c>
    </row>
    <row r="8174" spans="1:6">
      <c r="A8174" t="s">
        <v>8132</v>
      </c>
      <c r="B8174" t="str">
        <f t="shared" si="327"/>
        <v>0.00018%</v>
      </c>
      <c r="C8174" t="s">
        <v>10</v>
      </c>
      <c r="D8174" t="s">
        <v>10</v>
      </c>
      <c r="E8174" t="str">
        <f>"$ 1,371"</f>
        <v>$ 1,371</v>
      </c>
      <c r="F8174">
        <v>47</v>
      </c>
    </row>
    <row r="8175" spans="1:6">
      <c r="A8175" t="s">
        <v>8133</v>
      </c>
      <c r="B8175" t="str">
        <f t="shared" si="327"/>
        <v>0.00018%</v>
      </c>
      <c r="C8175" t="s">
        <v>10</v>
      </c>
      <c r="D8175" t="s">
        <v>10</v>
      </c>
      <c r="E8175" t="str">
        <f>"$ 1,381"</f>
        <v>$ 1,381</v>
      </c>
      <c r="F8175">
        <v>178</v>
      </c>
    </row>
    <row r="8176" spans="1:6">
      <c r="A8176" t="s">
        <v>8134</v>
      </c>
      <c r="B8176" t="str">
        <f t="shared" si="327"/>
        <v>0.00018%</v>
      </c>
      <c r="C8176" t="s">
        <v>10</v>
      </c>
      <c r="D8176" t="s">
        <v>10</v>
      </c>
      <c r="E8176" t="str">
        <f>"$ 1,375"</f>
        <v>$ 1,375</v>
      </c>
      <c r="F8176">
        <v>880</v>
      </c>
    </row>
    <row r="8177" spans="1:6">
      <c r="A8177" t="s">
        <v>8135</v>
      </c>
      <c r="B8177" t="str">
        <f t="shared" si="327"/>
        <v>0.00018%</v>
      </c>
      <c r="C8177" t="s">
        <v>10</v>
      </c>
      <c r="D8177" t="s">
        <v>10</v>
      </c>
      <c r="E8177" t="str">
        <f>"$ 1,381"</f>
        <v>$ 1,381</v>
      </c>
      <c r="F8177">
        <v>165</v>
      </c>
    </row>
    <row r="8178" spans="1:6">
      <c r="A8178" t="s">
        <v>8136</v>
      </c>
      <c r="B8178" t="str">
        <f t="shared" si="327"/>
        <v>0.00018%</v>
      </c>
      <c r="C8178" t="s">
        <v>10</v>
      </c>
      <c r="D8178" t="s">
        <v>10</v>
      </c>
      <c r="E8178" t="str">
        <f>"$ 1,411"</f>
        <v>$ 1,411</v>
      </c>
      <c r="F8178">
        <v>52</v>
      </c>
    </row>
    <row r="8179" spans="1:6">
      <c r="A8179" t="s">
        <v>8137</v>
      </c>
      <c r="B8179" t="str">
        <f t="shared" si="327"/>
        <v>0.00018%</v>
      </c>
      <c r="C8179" t="s">
        <v>10</v>
      </c>
      <c r="D8179" t="s">
        <v>10</v>
      </c>
      <c r="E8179" t="str">
        <f>"$ 1,405"</f>
        <v>$ 1,405</v>
      </c>
      <c r="F8179">
        <v>153</v>
      </c>
    </row>
    <row r="8180" spans="1:6">
      <c r="A8180" t="s">
        <v>8138</v>
      </c>
      <c r="B8180" t="str">
        <f t="shared" si="327"/>
        <v>0.00018%</v>
      </c>
      <c r="C8180" t="s">
        <v>10</v>
      </c>
      <c r="D8180" t="s">
        <v>10</v>
      </c>
      <c r="E8180" t="str">
        <f>"$ 1,382"</f>
        <v>$ 1,382</v>
      </c>
      <c r="F8180">
        <v>45</v>
      </c>
    </row>
    <row r="8181" spans="1:6">
      <c r="A8181" t="s">
        <v>8139</v>
      </c>
      <c r="B8181" t="str">
        <f t="shared" si="327"/>
        <v>0.00018%</v>
      </c>
      <c r="C8181" t="s">
        <v>10</v>
      </c>
      <c r="D8181" t="s">
        <v>10</v>
      </c>
      <c r="E8181" t="str">
        <f>"$ 1,391"</f>
        <v>$ 1,391</v>
      </c>
      <c r="F8181">
        <v>250</v>
      </c>
    </row>
    <row r="8182" spans="1:6">
      <c r="A8182" t="s">
        <v>8140</v>
      </c>
      <c r="B8182" t="str">
        <f t="shared" si="327"/>
        <v>0.00018%</v>
      </c>
      <c r="C8182" t="s">
        <v>10</v>
      </c>
      <c r="D8182" t="s">
        <v>10</v>
      </c>
      <c r="E8182" t="str">
        <f>"$ 1,418"</f>
        <v>$ 1,418</v>
      </c>
      <c r="F8182">
        <v>56</v>
      </c>
    </row>
    <row r="8183" spans="1:6">
      <c r="A8183" t="s">
        <v>8141</v>
      </c>
      <c r="B8183" t="str">
        <f t="shared" si="327"/>
        <v>0.00018%</v>
      </c>
      <c r="C8183" t="s">
        <v>10</v>
      </c>
      <c r="D8183" t="s">
        <v>10</v>
      </c>
      <c r="E8183" t="str">
        <f>"$ 1,359"</f>
        <v>$ 1,359</v>
      </c>
      <c r="F8183">
        <v>61</v>
      </c>
    </row>
    <row r="8184" spans="1:6">
      <c r="A8184" t="s">
        <v>8142</v>
      </c>
      <c r="B8184" t="str">
        <f t="shared" si="327"/>
        <v>0.00018%</v>
      </c>
      <c r="C8184" t="s">
        <v>10</v>
      </c>
      <c r="D8184" t="s">
        <v>10</v>
      </c>
      <c r="E8184" t="str">
        <f>"$ 1,372"</f>
        <v>$ 1,372</v>
      </c>
      <c r="F8184">
        <v>194</v>
      </c>
    </row>
    <row r="8185" spans="1:6">
      <c r="A8185" t="s">
        <v>8143</v>
      </c>
      <c r="B8185" t="str">
        <f t="shared" si="327"/>
        <v>0.00018%</v>
      </c>
      <c r="C8185" t="s">
        <v>10</v>
      </c>
      <c r="D8185" t="s">
        <v>10</v>
      </c>
      <c r="E8185" t="str">
        <f>"$ 1,360"</f>
        <v>$ 1,360</v>
      </c>
      <c r="F8185">
        <v>112</v>
      </c>
    </row>
    <row r="8186" spans="1:6">
      <c r="A8186" t="s">
        <v>8144</v>
      </c>
      <c r="B8186" t="str">
        <f t="shared" si="327"/>
        <v>0.00018%</v>
      </c>
      <c r="C8186" t="s">
        <v>10</v>
      </c>
      <c r="D8186" t="s">
        <v>10</v>
      </c>
      <c r="E8186" t="str">
        <f>"$ 1,417"</f>
        <v>$ 1,417</v>
      </c>
      <c r="F8186">
        <v>19</v>
      </c>
    </row>
    <row r="8187" spans="1:6">
      <c r="A8187" t="s">
        <v>8145</v>
      </c>
      <c r="B8187" t="str">
        <f t="shared" si="327"/>
        <v>0.00018%</v>
      </c>
      <c r="C8187" t="s">
        <v>10</v>
      </c>
      <c r="D8187" t="s">
        <v>10</v>
      </c>
      <c r="E8187" t="str">
        <f>"$ 1,395"</f>
        <v>$ 1,395</v>
      </c>
      <c r="F8187">
        <v>291</v>
      </c>
    </row>
    <row r="8188" spans="1:6">
      <c r="A8188" t="s">
        <v>8146</v>
      </c>
      <c r="B8188" t="str">
        <f t="shared" si="327"/>
        <v>0.00018%</v>
      </c>
      <c r="C8188" t="s">
        <v>10</v>
      </c>
      <c r="D8188" t="s">
        <v>10</v>
      </c>
      <c r="E8188" t="str">
        <f>"$ 1,395"</f>
        <v>$ 1,395</v>
      </c>
      <c r="F8188">
        <v>19</v>
      </c>
    </row>
    <row r="8189" spans="1:6">
      <c r="A8189" t="s">
        <v>8147</v>
      </c>
      <c r="B8189" t="str">
        <f t="shared" si="327"/>
        <v>0.00018%</v>
      </c>
      <c r="C8189" t="s">
        <v>10</v>
      </c>
      <c r="D8189" t="s">
        <v>10</v>
      </c>
      <c r="E8189" t="str">
        <f>"$ 1,416"</f>
        <v>$ 1,416</v>
      </c>
      <c r="F8189">
        <v>11</v>
      </c>
    </row>
    <row r="8190" spans="1:6">
      <c r="A8190" t="s">
        <v>8148</v>
      </c>
      <c r="B8190" t="str">
        <f t="shared" si="327"/>
        <v>0.00018%</v>
      </c>
      <c r="C8190" t="s">
        <v>10</v>
      </c>
      <c r="D8190" t="s">
        <v>10</v>
      </c>
      <c r="E8190" t="str">
        <f>"$ 1,428"</f>
        <v>$ 1,428</v>
      </c>
      <c r="F8190">
        <v>33</v>
      </c>
    </row>
    <row r="8191" spans="1:6">
      <c r="A8191" t="s">
        <v>8149</v>
      </c>
      <c r="B8191" t="str">
        <f t="shared" si="327"/>
        <v>0.00018%</v>
      </c>
      <c r="C8191" t="s">
        <v>10</v>
      </c>
      <c r="D8191" t="s">
        <v>10</v>
      </c>
      <c r="E8191" t="str">
        <f>"$ 1,424"</f>
        <v>$ 1,424</v>
      </c>
      <c r="F8191">
        <v>131</v>
      </c>
    </row>
    <row r="8192" spans="1:6">
      <c r="A8192" t="s">
        <v>8150</v>
      </c>
      <c r="B8192" t="str">
        <f t="shared" si="327"/>
        <v>0.00018%</v>
      </c>
      <c r="C8192" t="s">
        <v>10</v>
      </c>
      <c r="D8192" t="s">
        <v>10</v>
      </c>
      <c r="E8192" t="str">
        <f>"$ 1,426"</f>
        <v>$ 1,426</v>
      </c>
      <c r="F8192" s="1">
        <v>4033</v>
      </c>
    </row>
    <row r="8193" spans="1:6">
      <c r="A8193" t="s">
        <v>8151</v>
      </c>
      <c r="B8193" t="str">
        <f t="shared" si="327"/>
        <v>0.00018%</v>
      </c>
      <c r="C8193" t="s">
        <v>10</v>
      </c>
      <c r="D8193" t="s">
        <v>10</v>
      </c>
      <c r="E8193" t="str">
        <f>"$ 1,357"</f>
        <v>$ 1,357</v>
      </c>
      <c r="F8193">
        <v>33</v>
      </c>
    </row>
    <row r="8194" spans="1:6">
      <c r="A8194" t="s">
        <v>8152</v>
      </c>
      <c r="B8194" t="str">
        <f t="shared" si="327"/>
        <v>0.00018%</v>
      </c>
      <c r="C8194" t="s">
        <v>10</v>
      </c>
      <c r="D8194" t="s">
        <v>10</v>
      </c>
      <c r="E8194" t="str">
        <f>"$ 1,424"</f>
        <v>$ 1,424</v>
      </c>
      <c r="F8194">
        <v>67</v>
      </c>
    </row>
    <row r="8195" spans="1:6">
      <c r="A8195" t="s">
        <v>8153</v>
      </c>
      <c r="B8195" t="str">
        <f t="shared" ref="B8195:B8226" si="328">"0.00018%"</f>
        <v>0.00018%</v>
      </c>
      <c r="C8195" t="s">
        <v>10</v>
      </c>
      <c r="D8195" t="s">
        <v>10</v>
      </c>
      <c r="E8195" t="str">
        <f>"$ 1,398"</f>
        <v>$ 1,398</v>
      </c>
      <c r="F8195">
        <v>173</v>
      </c>
    </row>
    <row r="8196" spans="1:6">
      <c r="A8196" t="s">
        <v>8154</v>
      </c>
      <c r="B8196" t="str">
        <f t="shared" si="328"/>
        <v>0.00018%</v>
      </c>
      <c r="C8196" t="s">
        <v>10</v>
      </c>
      <c r="D8196" t="s">
        <v>10</v>
      </c>
      <c r="E8196" t="str">
        <f>"$ 1,423"</f>
        <v>$ 1,423</v>
      </c>
      <c r="F8196">
        <v>123</v>
      </c>
    </row>
    <row r="8197" spans="1:6">
      <c r="A8197" t="s">
        <v>8155</v>
      </c>
      <c r="B8197" t="str">
        <f t="shared" si="328"/>
        <v>0.00018%</v>
      </c>
      <c r="C8197" t="s">
        <v>10</v>
      </c>
      <c r="D8197" t="s">
        <v>10</v>
      </c>
      <c r="E8197" t="str">
        <f>"$ 1,427"</f>
        <v>$ 1,427</v>
      </c>
      <c r="F8197">
        <v>778</v>
      </c>
    </row>
    <row r="8198" spans="1:6">
      <c r="A8198" t="s">
        <v>8156</v>
      </c>
      <c r="B8198" t="str">
        <f t="shared" si="328"/>
        <v>0.00018%</v>
      </c>
      <c r="C8198" t="s">
        <v>10</v>
      </c>
      <c r="D8198" t="s">
        <v>10</v>
      </c>
      <c r="E8198" t="str">
        <f>"$ 1,361"</f>
        <v>$ 1,361</v>
      </c>
      <c r="F8198">
        <v>379</v>
      </c>
    </row>
    <row r="8199" spans="1:6">
      <c r="A8199" t="s">
        <v>8157</v>
      </c>
      <c r="B8199" t="str">
        <f t="shared" si="328"/>
        <v>0.00018%</v>
      </c>
      <c r="C8199" t="s">
        <v>10</v>
      </c>
      <c r="D8199" t="s">
        <v>10</v>
      </c>
      <c r="E8199" t="str">
        <f>"$ 1,356"</f>
        <v>$ 1,356</v>
      </c>
      <c r="F8199">
        <v>245</v>
      </c>
    </row>
    <row r="8200" spans="1:6">
      <c r="A8200" t="s">
        <v>8158</v>
      </c>
      <c r="B8200" t="str">
        <f t="shared" si="328"/>
        <v>0.00018%</v>
      </c>
      <c r="C8200" t="s">
        <v>10</v>
      </c>
      <c r="D8200" t="s">
        <v>10</v>
      </c>
      <c r="E8200" t="str">
        <f>"$ 1,414"</f>
        <v>$ 1,414</v>
      </c>
      <c r="F8200" s="1">
        <v>2062</v>
      </c>
    </row>
    <row r="8201" spans="1:6">
      <c r="A8201" t="s">
        <v>8047</v>
      </c>
      <c r="B8201" t="str">
        <f t="shared" si="328"/>
        <v>0.00018%</v>
      </c>
      <c r="C8201" t="s">
        <v>10</v>
      </c>
      <c r="D8201" t="s">
        <v>10</v>
      </c>
      <c r="E8201" t="str">
        <f>"$ 1,376"</f>
        <v>$ 1,376</v>
      </c>
      <c r="F8201">
        <v>76</v>
      </c>
    </row>
    <row r="8202" spans="1:6">
      <c r="A8202" t="s">
        <v>8159</v>
      </c>
      <c r="B8202" t="str">
        <f t="shared" si="328"/>
        <v>0.00018%</v>
      </c>
      <c r="C8202" t="s">
        <v>10</v>
      </c>
      <c r="D8202" t="s">
        <v>10</v>
      </c>
      <c r="E8202" t="str">
        <f>"$ 1,407"</f>
        <v>$ 1,407</v>
      </c>
      <c r="F8202">
        <v>834</v>
      </c>
    </row>
    <row r="8203" spans="1:6">
      <c r="A8203" t="s">
        <v>8160</v>
      </c>
      <c r="B8203" t="str">
        <f t="shared" si="328"/>
        <v>0.00018%</v>
      </c>
      <c r="C8203" t="s">
        <v>10</v>
      </c>
      <c r="D8203" t="s">
        <v>10</v>
      </c>
      <c r="E8203" t="str">
        <f>"$ 1,369"</f>
        <v>$ 1,369</v>
      </c>
      <c r="F8203">
        <v>93</v>
      </c>
    </row>
    <row r="8204" spans="1:6">
      <c r="A8204" t="s">
        <v>8161</v>
      </c>
      <c r="B8204" t="str">
        <f t="shared" si="328"/>
        <v>0.00018%</v>
      </c>
      <c r="C8204" t="s">
        <v>10</v>
      </c>
      <c r="D8204" t="s">
        <v>10</v>
      </c>
      <c r="E8204" t="str">
        <f>"$ 1,370"</f>
        <v>$ 1,370</v>
      </c>
      <c r="F8204">
        <v>53</v>
      </c>
    </row>
    <row r="8205" spans="1:6">
      <c r="A8205" t="s">
        <v>8162</v>
      </c>
      <c r="B8205" t="str">
        <f t="shared" si="328"/>
        <v>0.00018%</v>
      </c>
      <c r="C8205" t="s">
        <v>10</v>
      </c>
      <c r="D8205" t="s">
        <v>10</v>
      </c>
      <c r="E8205" t="str">
        <f>"$ 1,383"</f>
        <v>$ 1,383</v>
      </c>
      <c r="F8205">
        <v>382</v>
      </c>
    </row>
    <row r="8206" spans="1:6">
      <c r="A8206" t="s">
        <v>8163</v>
      </c>
      <c r="B8206" t="str">
        <f t="shared" si="328"/>
        <v>0.00018%</v>
      </c>
      <c r="C8206" t="s">
        <v>10</v>
      </c>
      <c r="D8206" t="s">
        <v>10</v>
      </c>
      <c r="E8206" t="str">
        <f>"$ 1,428"</f>
        <v>$ 1,428</v>
      </c>
      <c r="F8206" s="1">
        <v>1224</v>
      </c>
    </row>
    <row r="8207" spans="1:6">
      <c r="A8207" t="s">
        <v>8164</v>
      </c>
      <c r="B8207" t="str">
        <f t="shared" si="328"/>
        <v>0.00018%</v>
      </c>
      <c r="C8207" t="s">
        <v>10</v>
      </c>
      <c r="D8207" t="s">
        <v>10</v>
      </c>
      <c r="E8207" t="str">
        <f>"$ 1,354"</f>
        <v>$ 1,354</v>
      </c>
      <c r="F8207" s="1">
        <v>2141</v>
      </c>
    </row>
    <row r="8208" spans="1:6">
      <c r="A8208" t="s">
        <v>8165</v>
      </c>
      <c r="B8208" t="str">
        <f t="shared" si="328"/>
        <v>0.00018%</v>
      </c>
      <c r="C8208" t="s">
        <v>10</v>
      </c>
      <c r="D8208" t="s">
        <v>10</v>
      </c>
      <c r="E8208" t="str">
        <f>"$ 1,352"</f>
        <v>$ 1,352</v>
      </c>
      <c r="F8208">
        <v>96</v>
      </c>
    </row>
    <row r="8209" spans="1:6">
      <c r="A8209" t="s">
        <v>8166</v>
      </c>
      <c r="B8209" t="str">
        <f t="shared" si="328"/>
        <v>0.00018%</v>
      </c>
      <c r="C8209" t="s">
        <v>10</v>
      </c>
      <c r="D8209" t="s">
        <v>10</v>
      </c>
      <c r="E8209" t="str">
        <f>"$ 1,415"</f>
        <v>$ 1,415</v>
      </c>
      <c r="F8209">
        <v>103</v>
      </c>
    </row>
    <row r="8210" spans="1:6">
      <c r="A8210" t="s">
        <v>8167</v>
      </c>
      <c r="B8210" t="str">
        <f t="shared" si="328"/>
        <v>0.00018%</v>
      </c>
      <c r="C8210" t="s">
        <v>10</v>
      </c>
      <c r="D8210" t="s">
        <v>10</v>
      </c>
      <c r="E8210" t="str">
        <f>"$ 1,400"</f>
        <v>$ 1,400</v>
      </c>
      <c r="F8210">
        <v>133</v>
      </c>
    </row>
    <row r="8211" spans="1:6">
      <c r="A8211" t="s">
        <v>8168</v>
      </c>
      <c r="B8211" t="str">
        <f t="shared" si="328"/>
        <v>0.00018%</v>
      </c>
      <c r="C8211" t="s">
        <v>10</v>
      </c>
      <c r="D8211" t="s">
        <v>10</v>
      </c>
      <c r="E8211" t="str">
        <f>"$ 1,400"</f>
        <v>$ 1,400</v>
      </c>
      <c r="F8211">
        <v>28</v>
      </c>
    </row>
    <row r="8212" spans="1:6">
      <c r="A8212" t="s">
        <v>8169</v>
      </c>
      <c r="B8212" t="str">
        <f t="shared" si="328"/>
        <v>0.00018%</v>
      </c>
      <c r="C8212" t="s">
        <v>10</v>
      </c>
      <c r="D8212" t="s">
        <v>10</v>
      </c>
      <c r="E8212" t="str">
        <f>"$ 1,353"</f>
        <v>$ 1,353</v>
      </c>
      <c r="F8212">
        <v>61</v>
      </c>
    </row>
    <row r="8213" spans="1:6">
      <c r="A8213" t="s">
        <v>8170</v>
      </c>
      <c r="B8213" t="str">
        <f t="shared" si="328"/>
        <v>0.00018%</v>
      </c>
      <c r="C8213" t="s">
        <v>10</v>
      </c>
      <c r="D8213" t="s">
        <v>10</v>
      </c>
      <c r="E8213" t="str">
        <f>"$ 1,384"</f>
        <v>$ 1,384</v>
      </c>
      <c r="F8213">
        <v>860</v>
      </c>
    </row>
    <row r="8214" spans="1:6">
      <c r="A8214" t="s">
        <v>8171</v>
      </c>
      <c r="B8214" t="str">
        <f t="shared" si="328"/>
        <v>0.00018%</v>
      </c>
      <c r="C8214" t="s">
        <v>10</v>
      </c>
      <c r="D8214" t="s">
        <v>10</v>
      </c>
      <c r="E8214" t="str">
        <f>"$ 1,378"</f>
        <v>$ 1,378</v>
      </c>
      <c r="F8214">
        <v>48</v>
      </c>
    </row>
    <row r="8215" spans="1:6">
      <c r="A8215" t="s">
        <v>8172</v>
      </c>
      <c r="B8215" t="str">
        <f t="shared" si="328"/>
        <v>0.00018%</v>
      </c>
      <c r="C8215" t="s">
        <v>10</v>
      </c>
      <c r="D8215" t="s">
        <v>10</v>
      </c>
      <c r="E8215" t="str">
        <f>"$ 1,427"</f>
        <v>$ 1,427</v>
      </c>
      <c r="F8215">
        <v>51</v>
      </c>
    </row>
    <row r="8216" spans="1:6">
      <c r="A8216" t="s">
        <v>8173</v>
      </c>
      <c r="B8216" t="str">
        <f t="shared" si="328"/>
        <v>0.00018%</v>
      </c>
      <c r="C8216" t="s">
        <v>10</v>
      </c>
      <c r="D8216" t="s">
        <v>10</v>
      </c>
      <c r="E8216" t="str">
        <f>"$ 1,418"</f>
        <v>$ 1,418</v>
      </c>
      <c r="F8216">
        <v>46</v>
      </c>
    </row>
    <row r="8217" spans="1:6">
      <c r="A8217" t="s">
        <v>8174</v>
      </c>
      <c r="B8217" t="str">
        <f t="shared" si="328"/>
        <v>0.00018%</v>
      </c>
      <c r="C8217" t="s">
        <v>10</v>
      </c>
      <c r="D8217" t="s">
        <v>10</v>
      </c>
      <c r="E8217" t="str">
        <f>"$ 1,409"</f>
        <v>$ 1,409</v>
      </c>
      <c r="F8217">
        <v>81</v>
      </c>
    </row>
    <row r="8218" spans="1:6">
      <c r="A8218" t="s">
        <v>8175</v>
      </c>
      <c r="B8218" t="str">
        <f t="shared" si="328"/>
        <v>0.00018%</v>
      </c>
      <c r="C8218" t="s">
        <v>10</v>
      </c>
      <c r="D8218" t="s">
        <v>10</v>
      </c>
      <c r="E8218" t="str">
        <f>"$ 1,411"</f>
        <v>$ 1,411</v>
      </c>
      <c r="F8218">
        <v>198</v>
      </c>
    </row>
    <row r="8219" spans="1:6">
      <c r="A8219" t="s">
        <v>8176</v>
      </c>
      <c r="B8219" t="str">
        <f t="shared" si="328"/>
        <v>0.00018%</v>
      </c>
      <c r="C8219" t="s">
        <v>10</v>
      </c>
      <c r="D8219" t="s">
        <v>10</v>
      </c>
      <c r="E8219" t="str">
        <f>"$ 1,363"</f>
        <v>$ 1,363</v>
      </c>
      <c r="F8219">
        <v>15</v>
      </c>
    </row>
    <row r="8220" spans="1:6">
      <c r="A8220" t="s">
        <v>8177</v>
      </c>
      <c r="B8220" t="str">
        <f t="shared" si="328"/>
        <v>0.00018%</v>
      </c>
      <c r="C8220" t="s">
        <v>10</v>
      </c>
      <c r="D8220" t="s">
        <v>10</v>
      </c>
      <c r="E8220" t="str">
        <f>"$ 1,423"</f>
        <v>$ 1,423</v>
      </c>
      <c r="F8220">
        <v>186</v>
      </c>
    </row>
    <row r="8221" spans="1:6">
      <c r="A8221" t="s">
        <v>8178</v>
      </c>
      <c r="B8221" t="str">
        <f t="shared" si="328"/>
        <v>0.00018%</v>
      </c>
      <c r="C8221" t="s">
        <v>10</v>
      </c>
      <c r="D8221" t="s">
        <v>10</v>
      </c>
      <c r="E8221" t="str">
        <f>"$ 1,426"</f>
        <v>$ 1,426</v>
      </c>
      <c r="F8221" s="1">
        <v>5612</v>
      </c>
    </row>
    <row r="8222" spans="1:6">
      <c r="A8222" t="s">
        <v>8179</v>
      </c>
      <c r="B8222" t="str">
        <f t="shared" si="328"/>
        <v>0.00018%</v>
      </c>
      <c r="C8222" t="s">
        <v>10</v>
      </c>
      <c r="D8222" t="s">
        <v>10</v>
      </c>
      <c r="E8222" t="str">
        <f>"$ 1,356"</f>
        <v>$ 1,356</v>
      </c>
      <c r="F8222">
        <v>99</v>
      </c>
    </row>
    <row r="8223" spans="1:6">
      <c r="A8223" t="s">
        <v>8180</v>
      </c>
      <c r="B8223" t="str">
        <f t="shared" si="328"/>
        <v>0.00018%</v>
      </c>
      <c r="C8223" t="s">
        <v>10</v>
      </c>
      <c r="D8223" t="s">
        <v>10</v>
      </c>
      <c r="E8223" t="str">
        <f>"$ 1,417"</f>
        <v>$ 1,417</v>
      </c>
      <c r="F8223" s="1">
        <v>2403</v>
      </c>
    </row>
    <row r="8224" spans="1:6">
      <c r="A8224" t="s">
        <v>8181</v>
      </c>
      <c r="B8224" t="str">
        <f t="shared" si="328"/>
        <v>0.00018%</v>
      </c>
      <c r="C8224" t="s">
        <v>10</v>
      </c>
      <c r="D8224" t="s">
        <v>10</v>
      </c>
      <c r="E8224" t="str">
        <f>"$ 1,408"</f>
        <v>$ 1,408</v>
      </c>
      <c r="F8224">
        <v>267</v>
      </c>
    </row>
    <row r="8225" spans="1:6">
      <c r="A8225" t="s">
        <v>8182</v>
      </c>
      <c r="B8225" t="str">
        <f t="shared" si="328"/>
        <v>0.00018%</v>
      </c>
      <c r="C8225" t="s">
        <v>10</v>
      </c>
      <c r="D8225" t="s">
        <v>10</v>
      </c>
      <c r="E8225" t="str">
        <f>"$ 1,414"</f>
        <v>$ 1,414</v>
      </c>
      <c r="F8225" s="1">
        <v>2451</v>
      </c>
    </row>
    <row r="8226" spans="1:6">
      <c r="A8226" t="s">
        <v>8183</v>
      </c>
      <c r="B8226" t="str">
        <f t="shared" si="328"/>
        <v>0.00018%</v>
      </c>
      <c r="C8226" t="s">
        <v>10</v>
      </c>
      <c r="D8226" t="s">
        <v>10</v>
      </c>
      <c r="E8226" t="str">
        <f>"$ 1,385"</f>
        <v>$ 1,385</v>
      </c>
      <c r="F8226">
        <v>82</v>
      </c>
    </row>
    <row r="8227" spans="1:6">
      <c r="A8227" t="s">
        <v>8184</v>
      </c>
      <c r="B8227" t="str">
        <f t="shared" ref="B8227:B8234" si="329">"0.00018%"</f>
        <v>0.00018%</v>
      </c>
      <c r="C8227" t="s">
        <v>10</v>
      </c>
      <c r="D8227" t="s">
        <v>10</v>
      </c>
      <c r="E8227" t="str">
        <f>"$ 1,382"</f>
        <v>$ 1,382</v>
      </c>
      <c r="F8227">
        <v>66</v>
      </c>
    </row>
    <row r="8228" spans="1:6">
      <c r="A8228" t="s">
        <v>8185</v>
      </c>
      <c r="B8228" t="str">
        <f t="shared" si="329"/>
        <v>0.00018%</v>
      </c>
      <c r="C8228" t="s">
        <v>10</v>
      </c>
      <c r="D8228" t="s">
        <v>10</v>
      </c>
      <c r="E8228" t="str">
        <f>"$ 1,407"</f>
        <v>$ 1,407</v>
      </c>
      <c r="F8228">
        <v>33</v>
      </c>
    </row>
    <row r="8229" spans="1:6">
      <c r="A8229" t="s">
        <v>8186</v>
      </c>
      <c r="B8229" t="str">
        <f t="shared" si="329"/>
        <v>0.00018%</v>
      </c>
      <c r="C8229" t="s">
        <v>10</v>
      </c>
      <c r="D8229" t="s">
        <v>10</v>
      </c>
      <c r="E8229" t="str">
        <f>"$ 1,404"</f>
        <v>$ 1,404</v>
      </c>
      <c r="F8229">
        <v>522</v>
      </c>
    </row>
    <row r="8230" spans="1:6">
      <c r="A8230" t="s">
        <v>8187</v>
      </c>
      <c r="B8230" t="str">
        <f t="shared" si="329"/>
        <v>0.00018%</v>
      </c>
      <c r="C8230" t="s">
        <v>10</v>
      </c>
      <c r="D8230" t="s">
        <v>10</v>
      </c>
      <c r="E8230" t="str">
        <f>"$ 1,357"</f>
        <v>$ 1,357</v>
      </c>
      <c r="F8230">
        <v>287</v>
      </c>
    </row>
    <row r="8231" spans="1:6">
      <c r="A8231" t="s">
        <v>6855</v>
      </c>
      <c r="B8231" t="str">
        <f t="shared" si="329"/>
        <v>0.00018%</v>
      </c>
      <c r="C8231" t="s">
        <v>10</v>
      </c>
      <c r="D8231" t="s">
        <v>10</v>
      </c>
      <c r="E8231" t="str">
        <f>"$ 1,380"</f>
        <v>$ 1,380</v>
      </c>
      <c r="F8231">
        <v>305</v>
      </c>
    </row>
    <row r="8232" spans="1:6">
      <c r="A8232" t="s">
        <v>8188</v>
      </c>
      <c r="B8232" t="str">
        <f t="shared" si="329"/>
        <v>0.00018%</v>
      </c>
      <c r="C8232" t="s">
        <v>10</v>
      </c>
      <c r="D8232" t="s">
        <v>10</v>
      </c>
      <c r="E8232" t="str">
        <f>"$ 1,363"</f>
        <v>$ 1,363</v>
      </c>
      <c r="F8232">
        <v>66</v>
      </c>
    </row>
    <row r="8233" spans="1:6">
      <c r="A8233" t="s">
        <v>8189</v>
      </c>
      <c r="B8233" t="str">
        <f t="shared" si="329"/>
        <v>0.00018%</v>
      </c>
      <c r="C8233" t="s">
        <v>10</v>
      </c>
      <c r="D8233" t="s">
        <v>10</v>
      </c>
      <c r="E8233" t="str">
        <f>"$ 1,421"</f>
        <v>$ 1,421</v>
      </c>
      <c r="F8233">
        <v>944</v>
      </c>
    </row>
    <row r="8234" spans="1:6">
      <c r="A8234" t="s">
        <v>8190</v>
      </c>
      <c r="B8234" t="str">
        <f t="shared" si="329"/>
        <v>0.00018%</v>
      </c>
      <c r="C8234" t="s">
        <v>10</v>
      </c>
      <c r="D8234" t="s">
        <v>10</v>
      </c>
      <c r="E8234" t="str">
        <f>"$ 1,387"</f>
        <v>$ 1,387</v>
      </c>
      <c r="F8234">
        <v>18</v>
      </c>
    </row>
    <row r="8235" spans="1:6">
      <c r="A8235" t="s">
        <v>8191</v>
      </c>
      <c r="B8235" t="str">
        <f t="shared" ref="B8235:B8266" si="330">"0.00017%"</f>
        <v>0.00017%</v>
      </c>
      <c r="C8235" t="s">
        <v>10</v>
      </c>
      <c r="D8235" t="s">
        <v>10</v>
      </c>
      <c r="E8235" t="str">
        <f>"$ 1,285"</f>
        <v>$ 1,285</v>
      </c>
      <c r="F8235">
        <v>111</v>
      </c>
    </row>
    <row r="8236" spans="1:6">
      <c r="A8236" t="s">
        <v>8192</v>
      </c>
      <c r="B8236" t="str">
        <f t="shared" si="330"/>
        <v>0.00017%</v>
      </c>
      <c r="C8236" t="s">
        <v>10</v>
      </c>
      <c r="D8236" t="s">
        <v>10</v>
      </c>
      <c r="E8236" t="str">
        <f>"$ 1,344"</f>
        <v>$ 1,344</v>
      </c>
      <c r="F8236">
        <v>274</v>
      </c>
    </row>
    <row r="8237" spans="1:6">
      <c r="A8237" t="s">
        <v>8193</v>
      </c>
      <c r="B8237" t="str">
        <f t="shared" si="330"/>
        <v>0.00017%</v>
      </c>
      <c r="C8237" t="s">
        <v>10</v>
      </c>
      <c r="D8237" t="s">
        <v>10</v>
      </c>
      <c r="E8237" t="str">
        <f>"$ 1,305"</f>
        <v>$ 1,305</v>
      </c>
      <c r="F8237">
        <v>213</v>
      </c>
    </row>
    <row r="8238" spans="1:6">
      <c r="A8238" t="s">
        <v>8194</v>
      </c>
      <c r="B8238" t="str">
        <f t="shared" si="330"/>
        <v>0.00017%</v>
      </c>
      <c r="C8238" t="s">
        <v>10</v>
      </c>
      <c r="D8238" t="s">
        <v>10</v>
      </c>
      <c r="E8238" t="str">
        <f>"$ 1,347"</f>
        <v>$ 1,347</v>
      </c>
      <c r="F8238">
        <v>132</v>
      </c>
    </row>
    <row r="8239" spans="1:6">
      <c r="A8239" t="s">
        <v>8195</v>
      </c>
      <c r="B8239" t="str">
        <f t="shared" si="330"/>
        <v>0.00017%</v>
      </c>
      <c r="C8239" t="s">
        <v>10</v>
      </c>
      <c r="D8239" t="s">
        <v>10</v>
      </c>
      <c r="E8239" t="str">
        <f>"$ 1,313"</f>
        <v>$ 1,313</v>
      </c>
      <c r="F8239">
        <v>49</v>
      </c>
    </row>
    <row r="8240" spans="1:6">
      <c r="A8240" t="s">
        <v>8196</v>
      </c>
      <c r="B8240" t="str">
        <f t="shared" si="330"/>
        <v>0.00017%</v>
      </c>
      <c r="C8240" t="s">
        <v>10</v>
      </c>
      <c r="D8240" t="s">
        <v>10</v>
      </c>
      <c r="E8240" t="str">
        <f>"$ 1,330"</f>
        <v>$ 1,330</v>
      </c>
      <c r="F8240">
        <v>58</v>
      </c>
    </row>
    <row r="8241" spans="1:6">
      <c r="A8241" t="s">
        <v>8197</v>
      </c>
      <c r="B8241" t="str">
        <f t="shared" si="330"/>
        <v>0.00017%</v>
      </c>
      <c r="C8241" t="s">
        <v>10</v>
      </c>
      <c r="D8241" t="s">
        <v>10</v>
      </c>
      <c r="E8241" t="str">
        <f>"$ 1,332"</f>
        <v>$ 1,332</v>
      </c>
      <c r="F8241">
        <v>230</v>
      </c>
    </row>
    <row r="8242" spans="1:6">
      <c r="A8242" t="s">
        <v>8198</v>
      </c>
      <c r="B8242" t="str">
        <f t="shared" si="330"/>
        <v>0.00017%</v>
      </c>
      <c r="C8242" t="s">
        <v>10</v>
      </c>
      <c r="D8242" t="s">
        <v>10</v>
      </c>
      <c r="E8242" t="str">
        <f>"$ 1,297"</f>
        <v>$ 1,297</v>
      </c>
      <c r="F8242">
        <v>115</v>
      </c>
    </row>
    <row r="8243" spans="1:6">
      <c r="A8243" t="s">
        <v>8199</v>
      </c>
      <c r="B8243" t="str">
        <f t="shared" si="330"/>
        <v>0.00017%</v>
      </c>
      <c r="C8243" t="s">
        <v>10</v>
      </c>
      <c r="D8243" t="s">
        <v>10</v>
      </c>
      <c r="E8243" t="str">
        <f>"$ 1,308"</f>
        <v>$ 1,308</v>
      </c>
      <c r="F8243">
        <v>82</v>
      </c>
    </row>
    <row r="8244" spans="1:6">
      <c r="A8244" t="s">
        <v>8200</v>
      </c>
      <c r="B8244" t="str">
        <f t="shared" si="330"/>
        <v>0.00017%</v>
      </c>
      <c r="C8244" t="s">
        <v>10</v>
      </c>
      <c r="D8244" t="s">
        <v>10</v>
      </c>
      <c r="E8244" t="str">
        <f>"$ 1,330"</f>
        <v>$ 1,330</v>
      </c>
      <c r="F8244">
        <v>115</v>
      </c>
    </row>
    <row r="8245" spans="1:6">
      <c r="A8245" t="s">
        <v>8201</v>
      </c>
      <c r="B8245" t="str">
        <f t="shared" si="330"/>
        <v>0.00017%</v>
      </c>
      <c r="C8245" t="s">
        <v>10</v>
      </c>
      <c r="D8245" t="s">
        <v>10</v>
      </c>
      <c r="E8245" t="str">
        <f>"$ 1,275"</f>
        <v>$ 1,275</v>
      </c>
      <c r="F8245">
        <v>66</v>
      </c>
    </row>
    <row r="8246" spans="1:6">
      <c r="A8246" t="s">
        <v>8202</v>
      </c>
      <c r="B8246" t="str">
        <f t="shared" si="330"/>
        <v>0.00017%</v>
      </c>
      <c r="C8246" t="s">
        <v>10</v>
      </c>
      <c r="D8246" t="s">
        <v>10</v>
      </c>
      <c r="E8246" t="str">
        <f>"$ 1,275"</f>
        <v>$ 1,275</v>
      </c>
      <c r="F8246">
        <v>16</v>
      </c>
    </row>
    <row r="8247" spans="1:6">
      <c r="A8247" t="s">
        <v>8203</v>
      </c>
      <c r="B8247" t="str">
        <f t="shared" si="330"/>
        <v>0.00017%</v>
      </c>
      <c r="C8247" t="s">
        <v>10</v>
      </c>
      <c r="D8247" t="s">
        <v>10</v>
      </c>
      <c r="E8247" t="str">
        <f>"$ 1,277"</f>
        <v>$ 1,277</v>
      </c>
      <c r="F8247">
        <v>66</v>
      </c>
    </row>
    <row r="8248" spans="1:6">
      <c r="A8248" t="s">
        <v>8204</v>
      </c>
      <c r="B8248" t="str">
        <f t="shared" si="330"/>
        <v>0.00017%</v>
      </c>
      <c r="C8248" t="s">
        <v>10</v>
      </c>
      <c r="D8248" t="s">
        <v>10</v>
      </c>
      <c r="E8248" t="str">
        <f>"$ 1,297"</f>
        <v>$ 1,297</v>
      </c>
      <c r="F8248" s="1">
        <v>1719</v>
      </c>
    </row>
    <row r="8249" spans="1:6">
      <c r="A8249" t="s">
        <v>8205</v>
      </c>
      <c r="B8249" t="str">
        <f t="shared" si="330"/>
        <v>0.00017%</v>
      </c>
      <c r="C8249" t="s">
        <v>10</v>
      </c>
      <c r="D8249" t="s">
        <v>10</v>
      </c>
      <c r="E8249" t="str">
        <f>"$ 1,337"</f>
        <v>$ 1,337</v>
      </c>
      <c r="F8249">
        <v>917</v>
      </c>
    </row>
    <row r="8250" spans="1:6">
      <c r="A8250" t="s">
        <v>8206</v>
      </c>
      <c r="B8250" t="str">
        <f t="shared" si="330"/>
        <v>0.00017%</v>
      </c>
      <c r="C8250" t="s">
        <v>10</v>
      </c>
      <c r="D8250" t="s">
        <v>10</v>
      </c>
      <c r="E8250" t="str">
        <f>"$ 1,308"</f>
        <v>$ 1,308</v>
      </c>
      <c r="F8250" s="1">
        <v>745619</v>
      </c>
    </row>
    <row r="8251" spans="1:6">
      <c r="A8251" t="s">
        <v>8207</v>
      </c>
      <c r="B8251" t="str">
        <f t="shared" si="330"/>
        <v>0.00017%</v>
      </c>
      <c r="C8251" t="s">
        <v>10</v>
      </c>
      <c r="D8251" t="s">
        <v>10</v>
      </c>
      <c r="E8251" t="str">
        <f>"$ 1,314"</f>
        <v>$ 1,314</v>
      </c>
      <c r="F8251">
        <v>24</v>
      </c>
    </row>
    <row r="8252" spans="1:6">
      <c r="A8252" t="s">
        <v>8208</v>
      </c>
      <c r="B8252" t="str">
        <f t="shared" si="330"/>
        <v>0.00017%</v>
      </c>
      <c r="C8252" t="s">
        <v>10</v>
      </c>
      <c r="D8252" t="s">
        <v>10</v>
      </c>
      <c r="E8252" t="str">
        <f>"$ 1,276"</f>
        <v>$ 1,276</v>
      </c>
      <c r="F8252">
        <v>82</v>
      </c>
    </row>
    <row r="8253" spans="1:6">
      <c r="A8253" t="s">
        <v>8209</v>
      </c>
      <c r="B8253" t="str">
        <f t="shared" si="330"/>
        <v>0.00017%</v>
      </c>
      <c r="C8253" t="s">
        <v>10</v>
      </c>
      <c r="D8253" t="s">
        <v>10</v>
      </c>
      <c r="E8253" t="str">
        <f>"$ 1,314"</f>
        <v>$ 1,314</v>
      </c>
      <c r="F8253" s="1">
        <v>1181</v>
      </c>
    </row>
    <row r="8254" spans="1:6">
      <c r="A8254" t="s">
        <v>8210</v>
      </c>
      <c r="B8254" t="str">
        <f t="shared" si="330"/>
        <v>0.00017%</v>
      </c>
      <c r="C8254" t="s">
        <v>10</v>
      </c>
      <c r="D8254" t="s">
        <v>10</v>
      </c>
      <c r="E8254" t="str">
        <f>"$ 1,345"</f>
        <v>$ 1,345</v>
      </c>
      <c r="F8254">
        <v>179</v>
      </c>
    </row>
    <row r="8255" spans="1:6">
      <c r="A8255" t="s">
        <v>8211</v>
      </c>
      <c r="B8255" t="str">
        <f t="shared" si="330"/>
        <v>0.00017%</v>
      </c>
      <c r="C8255" t="s">
        <v>10</v>
      </c>
      <c r="D8255" t="s">
        <v>10</v>
      </c>
      <c r="E8255" t="str">
        <f>"$ 1,310"</f>
        <v>$ 1,310</v>
      </c>
      <c r="F8255">
        <v>69</v>
      </c>
    </row>
    <row r="8256" spans="1:6">
      <c r="A8256" t="s">
        <v>8212</v>
      </c>
      <c r="B8256" t="str">
        <f t="shared" si="330"/>
        <v>0.00017%</v>
      </c>
      <c r="C8256" t="s">
        <v>10</v>
      </c>
      <c r="D8256" t="s">
        <v>10</v>
      </c>
      <c r="E8256" t="str">
        <f>"$ 1,317"</f>
        <v>$ 1,317</v>
      </c>
      <c r="F8256">
        <v>66</v>
      </c>
    </row>
    <row r="8257" spans="1:6">
      <c r="A8257" t="s">
        <v>8213</v>
      </c>
      <c r="B8257" t="str">
        <f t="shared" si="330"/>
        <v>0.00017%</v>
      </c>
      <c r="C8257" t="s">
        <v>10</v>
      </c>
      <c r="D8257" t="s">
        <v>10</v>
      </c>
      <c r="E8257" t="str">
        <f>"$ 1,322"</f>
        <v>$ 1,322</v>
      </c>
      <c r="F8257">
        <v>148</v>
      </c>
    </row>
    <row r="8258" spans="1:6">
      <c r="A8258" t="s">
        <v>8214</v>
      </c>
      <c r="B8258" t="str">
        <f t="shared" si="330"/>
        <v>0.00017%</v>
      </c>
      <c r="C8258" t="s">
        <v>10</v>
      </c>
      <c r="D8258" t="s">
        <v>10</v>
      </c>
      <c r="E8258" t="str">
        <f>"$ 1,295"</f>
        <v>$ 1,295</v>
      </c>
      <c r="F8258">
        <v>223</v>
      </c>
    </row>
    <row r="8259" spans="1:6">
      <c r="A8259" t="s">
        <v>8215</v>
      </c>
      <c r="B8259" t="str">
        <f t="shared" si="330"/>
        <v>0.00017%</v>
      </c>
      <c r="C8259" t="s">
        <v>10</v>
      </c>
      <c r="D8259" t="s">
        <v>10</v>
      </c>
      <c r="E8259" t="str">
        <f>"$ 1,338"</f>
        <v>$ 1,338</v>
      </c>
      <c r="F8259">
        <v>29</v>
      </c>
    </row>
    <row r="8260" spans="1:6">
      <c r="A8260" t="s">
        <v>8216</v>
      </c>
      <c r="B8260" t="str">
        <f t="shared" si="330"/>
        <v>0.00017%</v>
      </c>
      <c r="C8260" t="s">
        <v>10</v>
      </c>
      <c r="D8260" t="s">
        <v>10</v>
      </c>
      <c r="E8260" t="str">
        <f>"$ 1,324"</f>
        <v>$ 1,324</v>
      </c>
      <c r="F8260">
        <v>418</v>
      </c>
    </row>
    <row r="8261" spans="1:6">
      <c r="A8261" t="s">
        <v>8217</v>
      </c>
      <c r="B8261" t="str">
        <f t="shared" si="330"/>
        <v>0.00017%</v>
      </c>
      <c r="C8261" t="s">
        <v>10</v>
      </c>
      <c r="D8261" t="s">
        <v>10</v>
      </c>
      <c r="E8261" t="str">
        <f>"$ 1,317"</f>
        <v>$ 1,317</v>
      </c>
      <c r="F8261">
        <v>33</v>
      </c>
    </row>
    <row r="8262" spans="1:6">
      <c r="A8262" t="s">
        <v>8218</v>
      </c>
      <c r="B8262" t="str">
        <f t="shared" si="330"/>
        <v>0.00017%</v>
      </c>
      <c r="C8262" t="s">
        <v>10</v>
      </c>
      <c r="D8262" t="s">
        <v>10</v>
      </c>
      <c r="E8262" t="str">
        <f>"$ 1,329"</f>
        <v>$ 1,329</v>
      </c>
      <c r="F8262">
        <v>33</v>
      </c>
    </row>
    <row r="8263" spans="1:6">
      <c r="A8263" t="s">
        <v>8219</v>
      </c>
      <c r="B8263" t="str">
        <f t="shared" si="330"/>
        <v>0.00017%</v>
      </c>
      <c r="C8263" t="s">
        <v>10</v>
      </c>
      <c r="D8263" t="s">
        <v>10</v>
      </c>
      <c r="E8263" t="str">
        <f>"$ 1,333"</f>
        <v>$ 1,333</v>
      </c>
      <c r="F8263">
        <v>66</v>
      </c>
    </row>
    <row r="8264" spans="1:6">
      <c r="A8264" t="s">
        <v>8220</v>
      </c>
      <c r="B8264" t="str">
        <f t="shared" si="330"/>
        <v>0.00017%</v>
      </c>
      <c r="C8264" t="s">
        <v>10</v>
      </c>
      <c r="D8264" t="s">
        <v>10</v>
      </c>
      <c r="E8264" t="str">
        <f>"$ 1,324"</f>
        <v>$ 1,324</v>
      </c>
      <c r="F8264" s="1">
        <v>1238</v>
      </c>
    </row>
    <row r="8265" spans="1:6">
      <c r="A8265" t="s">
        <v>8221</v>
      </c>
      <c r="B8265" t="str">
        <f t="shared" si="330"/>
        <v>0.00017%</v>
      </c>
      <c r="C8265" t="s">
        <v>10</v>
      </c>
      <c r="D8265" t="s">
        <v>10</v>
      </c>
      <c r="E8265" t="str">
        <f>"$ 1,303"</f>
        <v>$ 1,303</v>
      </c>
      <c r="F8265" s="1">
        <v>1931</v>
      </c>
    </row>
    <row r="8266" spans="1:6">
      <c r="A8266" t="s">
        <v>8222</v>
      </c>
      <c r="B8266" t="str">
        <f t="shared" si="330"/>
        <v>0.00017%</v>
      </c>
      <c r="C8266" t="s">
        <v>10</v>
      </c>
      <c r="D8266" t="s">
        <v>10</v>
      </c>
      <c r="E8266" t="str">
        <f>"$ 1,304"</f>
        <v>$ 1,304</v>
      </c>
      <c r="F8266">
        <v>115</v>
      </c>
    </row>
    <row r="8267" spans="1:6">
      <c r="A8267" t="s">
        <v>8223</v>
      </c>
      <c r="B8267" t="str">
        <f t="shared" ref="B8267:B8298" si="331">"0.00017%"</f>
        <v>0.00017%</v>
      </c>
      <c r="C8267" t="s">
        <v>10</v>
      </c>
      <c r="D8267" t="s">
        <v>10</v>
      </c>
      <c r="E8267" t="str">
        <f>"$ 1,296"</f>
        <v>$ 1,296</v>
      </c>
      <c r="F8267">
        <v>24</v>
      </c>
    </row>
    <row r="8268" spans="1:6">
      <c r="A8268" t="s">
        <v>8224</v>
      </c>
      <c r="B8268" t="str">
        <f t="shared" si="331"/>
        <v>0.00017%</v>
      </c>
      <c r="C8268" t="s">
        <v>10</v>
      </c>
      <c r="D8268" t="s">
        <v>10</v>
      </c>
      <c r="E8268" t="str">
        <f>"$ 1,311"</f>
        <v>$ 1,311</v>
      </c>
      <c r="F8268">
        <v>33</v>
      </c>
    </row>
    <row r="8269" spans="1:6">
      <c r="A8269" t="s">
        <v>8225</v>
      </c>
      <c r="B8269" t="str">
        <f t="shared" si="331"/>
        <v>0.00017%</v>
      </c>
      <c r="C8269" t="s">
        <v>10</v>
      </c>
      <c r="D8269" t="s">
        <v>10</v>
      </c>
      <c r="E8269" t="str">
        <f>"$ 1,276"</f>
        <v>$ 1,276</v>
      </c>
      <c r="F8269">
        <v>666</v>
      </c>
    </row>
    <row r="8270" spans="1:6">
      <c r="A8270" t="s">
        <v>8226</v>
      </c>
      <c r="B8270" t="str">
        <f t="shared" si="331"/>
        <v>0.00017%</v>
      </c>
      <c r="C8270" t="s">
        <v>10</v>
      </c>
      <c r="D8270" t="s">
        <v>10</v>
      </c>
      <c r="E8270" t="str">
        <f>"$ 1,275"</f>
        <v>$ 1,275</v>
      </c>
      <c r="F8270">
        <v>75</v>
      </c>
    </row>
    <row r="8271" spans="1:6">
      <c r="A8271" t="s">
        <v>8227</v>
      </c>
      <c r="B8271" t="str">
        <f t="shared" si="331"/>
        <v>0.00017%</v>
      </c>
      <c r="C8271" t="s">
        <v>10</v>
      </c>
      <c r="D8271" t="s">
        <v>10</v>
      </c>
      <c r="E8271" t="str">
        <f>"$ 1,286"</f>
        <v>$ 1,286</v>
      </c>
      <c r="F8271" s="1">
        <v>2218</v>
      </c>
    </row>
    <row r="8272" spans="1:6">
      <c r="A8272" t="s">
        <v>8228</v>
      </c>
      <c r="B8272" t="str">
        <f t="shared" si="331"/>
        <v>0.00017%</v>
      </c>
      <c r="C8272" t="s">
        <v>10</v>
      </c>
      <c r="D8272" t="s">
        <v>10</v>
      </c>
      <c r="E8272" t="str">
        <f>"$ 1,287"</f>
        <v>$ 1,287</v>
      </c>
      <c r="F8272">
        <v>66</v>
      </c>
    </row>
    <row r="8273" spans="1:6">
      <c r="A8273" t="s">
        <v>8229</v>
      </c>
      <c r="B8273" t="str">
        <f t="shared" si="331"/>
        <v>0.00017%</v>
      </c>
      <c r="C8273" t="s">
        <v>10</v>
      </c>
      <c r="D8273" t="s">
        <v>10</v>
      </c>
      <c r="E8273" t="str">
        <f>"$ 1,319"</f>
        <v>$ 1,319</v>
      </c>
      <c r="F8273">
        <v>249</v>
      </c>
    </row>
    <row r="8274" spans="1:6">
      <c r="A8274" t="s">
        <v>8230</v>
      </c>
      <c r="B8274" t="str">
        <f t="shared" si="331"/>
        <v>0.00017%</v>
      </c>
      <c r="C8274" t="s">
        <v>10</v>
      </c>
      <c r="D8274" t="s">
        <v>10</v>
      </c>
      <c r="E8274" t="str">
        <f>"$ 1,289"</f>
        <v>$ 1,289</v>
      </c>
      <c r="F8274">
        <v>49</v>
      </c>
    </row>
    <row r="8275" spans="1:6">
      <c r="A8275" t="s">
        <v>8231</v>
      </c>
      <c r="B8275" t="str">
        <f t="shared" si="331"/>
        <v>0.00017%</v>
      </c>
      <c r="C8275" t="s">
        <v>10</v>
      </c>
      <c r="D8275" t="s">
        <v>10</v>
      </c>
      <c r="E8275" t="str">
        <f>"$ 1,277"</f>
        <v>$ 1,277</v>
      </c>
      <c r="F8275">
        <v>8</v>
      </c>
    </row>
    <row r="8276" spans="1:6">
      <c r="A8276" t="s">
        <v>8232</v>
      </c>
      <c r="B8276" t="str">
        <f t="shared" si="331"/>
        <v>0.00017%</v>
      </c>
      <c r="C8276" t="s">
        <v>10</v>
      </c>
      <c r="D8276" t="s">
        <v>10</v>
      </c>
      <c r="E8276" t="str">
        <f>"$ 1,335"</f>
        <v>$ 1,335</v>
      </c>
      <c r="F8276">
        <v>55</v>
      </c>
    </row>
    <row r="8277" spans="1:6">
      <c r="A8277" t="s">
        <v>8233</v>
      </c>
      <c r="B8277" t="str">
        <f t="shared" si="331"/>
        <v>0.00017%</v>
      </c>
      <c r="C8277" t="s">
        <v>10</v>
      </c>
      <c r="D8277" t="s">
        <v>10</v>
      </c>
      <c r="E8277" t="str">
        <f>"$ 1,276"</f>
        <v>$ 1,276</v>
      </c>
      <c r="F8277">
        <v>24</v>
      </c>
    </row>
    <row r="8278" spans="1:6">
      <c r="A8278" t="s">
        <v>8234</v>
      </c>
      <c r="B8278" t="str">
        <f t="shared" si="331"/>
        <v>0.00017%</v>
      </c>
      <c r="C8278" t="s">
        <v>10</v>
      </c>
      <c r="D8278" t="s">
        <v>10</v>
      </c>
      <c r="E8278" t="str">
        <f>"$ 1,314"</f>
        <v>$ 1,314</v>
      </c>
      <c r="F8278">
        <v>177</v>
      </c>
    </row>
    <row r="8279" spans="1:6">
      <c r="A8279" t="s">
        <v>8235</v>
      </c>
      <c r="B8279" t="str">
        <f t="shared" si="331"/>
        <v>0.00017%</v>
      </c>
      <c r="C8279" t="s">
        <v>10</v>
      </c>
      <c r="D8279" t="s">
        <v>10</v>
      </c>
      <c r="E8279" t="str">
        <f>"$ 1,336"</f>
        <v>$ 1,336</v>
      </c>
      <c r="F8279" s="1">
        <v>1845</v>
      </c>
    </row>
    <row r="8280" spans="1:6">
      <c r="A8280" t="s">
        <v>8236</v>
      </c>
      <c r="B8280" t="str">
        <f t="shared" si="331"/>
        <v>0.00017%</v>
      </c>
      <c r="C8280" t="s">
        <v>10</v>
      </c>
      <c r="D8280" t="s">
        <v>10</v>
      </c>
      <c r="E8280" t="str">
        <f>"$ 1,296"</f>
        <v>$ 1,296</v>
      </c>
      <c r="F8280">
        <v>49</v>
      </c>
    </row>
    <row r="8281" spans="1:6">
      <c r="A8281" t="s">
        <v>8237</v>
      </c>
      <c r="B8281" t="str">
        <f t="shared" si="331"/>
        <v>0.00017%</v>
      </c>
      <c r="C8281" t="s">
        <v>10</v>
      </c>
      <c r="D8281" t="s">
        <v>10</v>
      </c>
      <c r="E8281" t="str">
        <f>"$ 1,311"</f>
        <v>$ 1,311</v>
      </c>
      <c r="F8281">
        <v>61</v>
      </c>
    </row>
    <row r="8282" spans="1:6">
      <c r="A8282" t="s">
        <v>8238</v>
      </c>
      <c r="B8282" t="str">
        <f t="shared" si="331"/>
        <v>0.00017%</v>
      </c>
      <c r="C8282" t="s">
        <v>10</v>
      </c>
      <c r="D8282" t="s">
        <v>10</v>
      </c>
      <c r="E8282" t="str">
        <f>"$ 1,305"</f>
        <v>$ 1,305</v>
      </c>
      <c r="F8282">
        <v>148</v>
      </c>
    </row>
    <row r="8283" spans="1:6">
      <c r="A8283" t="s">
        <v>8239</v>
      </c>
      <c r="B8283" t="str">
        <f t="shared" si="331"/>
        <v>0.00017%</v>
      </c>
      <c r="C8283" t="s">
        <v>10</v>
      </c>
      <c r="D8283" t="s">
        <v>10</v>
      </c>
      <c r="E8283" t="str">
        <f>"$ 1,323"</f>
        <v>$ 1,323</v>
      </c>
      <c r="F8283">
        <v>148</v>
      </c>
    </row>
    <row r="8284" spans="1:6">
      <c r="A8284" t="s">
        <v>8240</v>
      </c>
      <c r="B8284" t="str">
        <f t="shared" si="331"/>
        <v>0.00017%</v>
      </c>
      <c r="C8284" t="s">
        <v>10</v>
      </c>
      <c r="D8284" t="s">
        <v>10</v>
      </c>
      <c r="E8284" t="str">
        <f>"$ 1,276"</f>
        <v>$ 1,276</v>
      </c>
      <c r="F8284">
        <v>620</v>
      </c>
    </row>
    <row r="8285" spans="1:6">
      <c r="A8285" t="s">
        <v>8241</v>
      </c>
      <c r="B8285" t="str">
        <f t="shared" si="331"/>
        <v>0.00017%</v>
      </c>
      <c r="C8285" t="s">
        <v>10</v>
      </c>
      <c r="D8285" t="s">
        <v>10</v>
      </c>
      <c r="E8285" t="str">
        <f>"$ 1,335"</f>
        <v>$ 1,335</v>
      </c>
      <c r="F8285">
        <v>156</v>
      </c>
    </row>
    <row r="8286" spans="1:6">
      <c r="A8286" t="s">
        <v>8242</v>
      </c>
      <c r="B8286" t="str">
        <f t="shared" si="331"/>
        <v>0.00017%</v>
      </c>
      <c r="C8286" t="s">
        <v>10</v>
      </c>
      <c r="D8286" t="s">
        <v>10</v>
      </c>
      <c r="E8286" t="str">
        <f>"$ 1,323"</f>
        <v>$ 1,323</v>
      </c>
      <c r="F8286">
        <v>33</v>
      </c>
    </row>
    <row r="8287" spans="1:6">
      <c r="A8287" t="s">
        <v>8243</v>
      </c>
      <c r="B8287" t="str">
        <f t="shared" si="331"/>
        <v>0.00017%</v>
      </c>
      <c r="C8287" t="s">
        <v>10</v>
      </c>
      <c r="D8287" t="s">
        <v>10</v>
      </c>
      <c r="E8287" t="str">
        <f>"$ 1,333"</f>
        <v>$ 1,333</v>
      </c>
      <c r="F8287">
        <v>211</v>
      </c>
    </row>
    <row r="8288" spans="1:6">
      <c r="A8288" t="s">
        <v>8244</v>
      </c>
      <c r="B8288" t="str">
        <f t="shared" si="331"/>
        <v>0.00017%</v>
      </c>
      <c r="C8288" t="s">
        <v>10</v>
      </c>
      <c r="D8288" t="s">
        <v>10</v>
      </c>
      <c r="E8288" t="str">
        <f>"$ 1,342"</f>
        <v>$ 1,342</v>
      </c>
      <c r="F8288">
        <v>105</v>
      </c>
    </row>
    <row r="8289" spans="1:6">
      <c r="A8289" t="s">
        <v>8245</v>
      </c>
      <c r="B8289" t="str">
        <f t="shared" si="331"/>
        <v>0.00017%</v>
      </c>
      <c r="C8289" t="s">
        <v>10</v>
      </c>
      <c r="D8289" t="s">
        <v>10</v>
      </c>
      <c r="E8289" t="str">
        <f>"$ 1,287"</f>
        <v>$ 1,287</v>
      </c>
      <c r="F8289">
        <v>251</v>
      </c>
    </row>
    <row r="8290" spans="1:6">
      <c r="A8290" t="s">
        <v>8246</v>
      </c>
      <c r="B8290" t="str">
        <f t="shared" si="331"/>
        <v>0.00017%</v>
      </c>
      <c r="C8290" t="s">
        <v>10</v>
      </c>
      <c r="D8290" t="s">
        <v>10</v>
      </c>
      <c r="E8290" t="str">
        <f>"$ 1,324"</f>
        <v>$ 1,324</v>
      </c>
      <c r="F8290">
        <v>908</v>
      </c>
    </row>
    <row r="8291" spans="1:6">
      <c r="A8291" t="s">
        <v>8247</v>
      </c>
      <c r="B8291" t="str">
        <f t="shared" si="331"/>
        <v>0.00017%</v>
      </c>
      <c r="C8291" t="s">
        <v>10</v>
      </c>
      <c r="D8291" t="s">
        <v>10</v>
      </c>
      <c r="E8291" t="str">
        <f>"$ 1,320"</f>
        <v>$ 1,320</v>
      </c>
      <c r="F8291">
        <v>39</v>
      </c>
    </row>
    <row r="8292" spans="1:6">
      <c r="A8292" t="s">
        <v>8248</v>
      </c>
      <c r="B8292" t="str">
        <f t="shared" si="331"/>
        <v>0.00017%</v>
      </c>
      <c r="C8292" t="s">
        <v>10</v>
      </c>
      <c r="D8292" t="s">
        <v>10</v>
      </c>
      <c r="E8292" t="str">
        <f>"$ 1,279"</f>
        <v>$ 1,279</v>
      </c>
      <c r="F8292">
        <v>15</v>
      </c>
    </row>
    <row r="8293" spans="1:6">
      <c r="A8293" t="s">
        <v>8249</v>
      </c>
      <c r="B8293" t="str">
        <f t="shared" si="331"/>
        <v>0.00017%</v>
      </c>
      <c r="C8293" t="s">
        <v>10</v>
      </c>
      <c r="D8293" t="s">
        <v>10</v>
      </c>
      <c r="E8293" t="str">
        <f>"$ 1,312"</f>
        <v>$ 1,312</v>
      </c>
      <c r="F8293">
        <v>196</v>
      </c>
    </row>
    <row r="8294" spans="1:6">
      <c r="A8294" t="s">
        <v>8250</v>
      </c>
      <c r="B8294" t="str">
        <f t="shared" si="331"/>
        <v>0.00017%</v>
      </c>
      <c r="C8294" t="s">
        <v>10</v>
      </c>
      <c r="D8294" t="s">
        <v>10</v>
      </c>
      <c r="E8294" t="str">
        <f>"$ 1,278"</f>
        <v>$ 1,278</v>
      </c>
      <c r="F8294">
        <v>280</v>
      </c>
    </row>
    <row r="8295" spans="1:6">
      <c r="A8295" t="s">
        <v>8251</v>
      </c>
      <c r="B8295" t="str">
        <f t="shared" si="331"/>
        <v>0.00017%</v>
      </c>
      <c r="C8295" t="s">
        <v>10</v>
      </c>
      <c r="D8295" t="s">
        <v>10</v>
      </c>
      <c r="E8295" t="str">
        <f>"$ 1,279"</f>
        <v>$ 1,279</v>
      </c>
      <c r="F8295">
        <v>223</v>
      </c>
    </row>
    <row r="8296" spans="1:6">
      <c r="A8296" t="s">
        <v>8252</v>
      </c>
      <c r="B8296" t="str">
        <f t="shared" si="331"/>
        <v>0.00017%</v>
      </c>
      <c r="C8296" t="s">
        <v>10</v>
      </c>
      <c r="D8296" t="s">
        <v>10</v>
      </c>
      <c r="E8296" t="str">
        <f>"$ 1,291"</f>
        <v>$ 1,291</v>
      </c>
      <c r="F8296">
        <v>152</v>
      </c>
    </row>
    <row r="8297" spans="1:6">
      <c r="A8297" t="s">
        <v>8253</v>
      </c>
      <c r="B8297" t="str">
        <f t="shared" si="331"/>
        <v>0.00017%</v>
      </c>
      <c r="C8297" t="s">
        <v>10</v>
      </c>
      <c r="D8297" t="s">
        <v>10</v>
      </c>
      <c r="E8297" t="str">
        <f>"$ 1,304"</f>
        <v>$ 1,304</v>
      </c>
      <c r="F8297">
        <v>113</v>
      </c>
    </row>
    <row r="8298" spans="1:6">
      <c r="A8298" t="s">
        <v>8254</v>
      </c>
      <c r="B8298" t="str">
        <f t="shared" si="331"/>
        <v>0.00017%</v>
      </c>
      <c r="C8298" t="s">
        <v>10</v>
      </c>
      <c r="D8298" t="s">
        <v>10</v>
      </c>
      <c r="E8298" t="str">
        <f>"$ 1,314"</f>
        <v>$ 1,314</v>
      </c>
      <c r="F8298">
        <v>137</v>
      </c>
    </row>
    <row r="8299" spans="1:6">
      <c r="A8299" t="s">
        <v>8255</v>
      </c>
      <c r="B8299" t="str">
        <f t="shared" ref="B8299:B8330" si="332">"0.00017%"</f>
        <v>0.00017%</v>
      </c>
      <c r="C8299" t="s">
        <v>10</v>
      </c>
      <c r="D8299" t="s">
        <v>10</v>
      </c>
      <c r="E8299" t="str">
        <f>"$ 1,319"</f>
        <v>$ 1,319</v>
      </c>
      <c r="F8299">
        <v>254</v>
      </c>
    </row>
    <row r="8300" spans="1:6">
      <c r="A8300" t="s">
        <v>8256</v>
      </c>
      <c r="B8300" t="str">
        <f t="shared" si="332"/>
        <v>0.00017%</v>
      </c>
      <c r="C8300" t="s">
        <v>10</v>
      </c>
      <c r="D8300" t="s">
        <v>10</v>
      </c>
      <c r="E8300" t="str">
        <f>"$ 1,332"</f>
        <v>$ 1,332</v>
      </c>
      <c r="F8300">
        <v>49</v>
      </c>
    </row>
    <row r="8301" spans="1:6">
      <c r="A8301" t="s">
        <v>8257</v>
      </c>
      <c r="B8301" t="str">
        <f t="shared" si="332"/>
        <v>0.00017%</v>
      </c>
      <c r="C8301" t="s">
        <v>10</v>
      </c>
      <c r="D8301" t="s">
        <v>10</v>
      </c>
      <c r="E8301" t="str">
        <f>"$ 1,342"</f>
        <v>$ 1,342</v>
      </c>
      <c r="F8301">
        <v>66</v>
      </c>
    </row>
    <row r="8302" spans="1:6">
      <c r="A8302" t="s">
        <v>8258</v>
      </c>
      <c r="B8302" t="str">
        <f t="shared" si="332"/>
        <v>0.00017%</v>
      </c>
      <c r="C8302" t="s">
        <v>10</v>
      </c>
      <c r="D8302" t="s">
        <v>10</v>
      </c>
      <c r="E8302" t="str">
        <f>"$ 1,323"</f>
        <v>$ 1,323</v>
      </c>
      <c r="F8302">
        <v>16</v>
      </c>
    </row>
    <row r="8303" spans="1:6">
      <c r="A8303" t="s">
        <v>8039</v>
      </c>
      <c r="B8303" t="str">
        <f t="shared" si="332"/>
        <v>0.00017%</v>
      </c>
      <c r="C8303" t="s">
        <v>10</v>
      </c>
      <c r="D8303" t="s">
        <v>10</v>
      </c>
      <c r="E8303" t="str">
        <f>"$ 1,302"</f>
        <v>$ 1,302</v>
      </c>
      <c r="F8303">
        <v>57</v>
      </c>
    </row>
    <row r="8304" spans="1:6">
      <c r="A8304" t="s">
        <v>8259</v>
      </c>
      <c r="B8304" t="str">
        <f t="shared" si="332"/>
        <v>0.00017%</v>
      </c>
      <c r="C8304" t="s">
        <v>10</v>
      </c>
      <c r="D8304" t="s">
        <v>10</v>
      </c>
      <c r="E8304" t="str">
        <f>"$ 1,284"</f>
        <v>$ 1,284</v>
      </c>
      <c r="F8304">
        <v>294</v>
      </c>
    </row>
    <row r="8305" spans="1:6">
      <c r="A8305" t="s">
        <v>8260</v>
      </c>
      <c r="B8305" t="str">
        <f t="shared" si="332"/>
        <v>0.00017%</v>
      </c>
      <c r="C8305" t="s">
        <v>10</v>
      </c>
      <c r="D8305" t="s">
        <v>10</v>
      </c>
      <c r="E8305" t="str">
        <f>"$ 1,298"</f>
        <v>$ 1,298</v>
      </c>
      <c r="F8305" s="1">
        <v>1650</v>
      </c>
    </row>
    <row r="8306" spans="1:6">
      <c r="A8306" t="s">
        <v>8261</v>
      </c>
      <c r="B8306" t="str">
        <f t="shared" si="332"/>
        <v>0.00017%</v>
      </c>
      <c r="C8306" t="s">
        <v>10</v>
      </c>
      <c r="D8306" t="s">
        <v>10</v>
      </c>
      <c r="E8306" t="str">
        <f>"$ 1,319"</f>
        <v>$ 1,319</v>
      </c>
      <c r="F8306">
        <v>49</v>
      </c>
    </row>
    <row r="8307" spans="1:6">
      <c r="A8307" t="s">
        <v>8262</v>
      </c>
      <c r="B8307" t="str">
        <f t="shared" si="332"/>
        <v>0.00017%</v>
      </c>
      <c r="C8307" t="s">
        <v>10</v>
      </c>
      <c r="D8307" t="s">
        <v>10</v>
      </c>
      <c r="E8307" t="str">
        <f>"$ 1,304"</f>
        <v>$ 1,304</v>
      </c>
      <c r="F8307">
        <v>402</v>
      </c>
    </row>
    <row r="8308" spans="1:6">
      <c r="A8308" t="s">
        <v>8263</v>
      </c>
      <c r="B8308" t="str">
        <f t="shared" si="332"/>
        <v>0.00017%</v>
      </c>
      <c r="C8308" t="s">
        <v>10</v>
      </c>
      <c r="D8308" t="s">
        <v>10</v>
      </c>
      <c r="E8308" t="str">
        <f>"$ 1,305"</f>
        <v>$ 1,305</v>
      </c>
      <c r="F8308" s="1">
        <v>5345</v>
      </c>
    </row>
    <row r="8309" spans="1:6">
      <c r="A8309" t="s">
        <v>8264</v>
      </c>
      <c r="B8309" t="str">
        <f t="shared" si="332"/>
        <v>0.00017%</v>
      </c>
      <c r="C8309" t="s">
        <v>10</v>
      </c>
      <c r="D8309" t="s">
        <v>10</v>
      </c>
      <c r="E8309" t="str">
        <f>"$ 1,324"</f>
        <v>$ 1,324</v>
      </c>
      <c r="F8309">
        <v>82</v>
      </c>
    </row>
    <row r="8310" spans="1:6">
      <c r="A8310" t="s">
        <v>8265</v>
      </c>
      <c r="B8310" t="str">
        <f t="shared" si="332"/>
        <v>0.00017%</v>
      </c>
      <c r="C8310" t="s">
        <v>10</v>
      </c>
      <c r="D8310" t="s">
        <v>10</v>
      </c>
      <c r="E8310" t="str">
        <f>"$ 1,348"</f>
        <v>$ 1,348</v>
      </c>
      <c r="F8310" s="1">
        <v>1637</v>
      </c>
    </row>
    <row r="8311" spans="1:6">
      <c r="A8311" t="s">
        <v>8266</v>
      </c>
      <c r="B8311" t="str">
        <f t="shared" si="332"/>
        <v>0.00017%</v>
      </c>
      <c r="C8311" t="s">
        <v>10</v>
      </c>
      <c r="D8311" t="s">
        <v>10</v>
      </c>
      <c r="E8311" t="str">
        <f>"$ 1,336"</f>
        <v>$ 1,336</v>
      </c>
      <c r="F8311">
        <v>122</v>
      </c>
    </row>
    <row r="8312" spans="1:6">
      <c r="A8312" t="s">
        <v>8267</v>
      </c>
      <c r="B8312" t="str">
        <f t="shared" si="332"/>
        <v>0.00017%</v>
      </c>
      <c r="C8312" t="s">
        <v>10</v>
      </c>
      <c r="D8312" t="s">
        <v>10</v>
      </c>
      <c r="E8312" t="str">
        <f>"$ 1,301"</f>
        <v>$ 1,301</v>
      </c>
      <c r="F8312">
        <v>33</v>
      </c>
    </row>
    <row r="8313" spans="1:6">
      <c r="A8313" t="s">
        <v>8268</v>
      </c>
      <c r="B8313" t="str">
        <f t="shared" si="332"/>
        <v>0.00017%</v>
      </c>
      <c r="C8313" t="s">
        <v>10</v>
      </c>
      <c r="D8313" t="s">
        <v>10</v>
      </c>
      <c r="E8313" t="str">
        <f>"$ 1,319"</f>
        <v>$ 1,319</v>
      </c>
      <c r="F8313">
        <v>84</v>
      </c>
    </row>
    <row r="8314" spans="1:6">
      <c r="A8314" t="s">
        <v>8269</v>
      </c>
      <c r="B8314" t="str">
        <f t="shared" si="332"/>
        <v>0.00017%</v>
      </c>
      <c r="C8314" t="s">
        <v>10</v>
      </c>
      <c r="D8314" t="s">
        <v>10</v>
      </c>
      <c r="E8314" t="str">
        <f>"$ 1,304"</f>
        <v>$ 1,304</v>
      </c>
      <c r="F8314">
        <v>82</v>
      </c>
    </row>
    <row r="8315" spans="1:6">
      <c r="A8315" t="s">
        <v>8270</v>
      </c>
      <c r="B8315" t="str">
        <f t="shared" si="332"/>
        <v>0.00017%</v>
      </c>
      <c r="C8315" t="s">
        <v>10</v>
      </c>
      <c r="D8315" t="s">
        <v>10</v>
      </c>
      <c r="E8315" t="str">
        <f>"$ 1,320"</f>
        <v>$ 1,320</v>
      </c>
      <c r="F8315">
        <v>57</v>
      </c>
    </row>
    <row r="8316" spans="1:6">
      <c r="A8316" t="s">
        <v>8271</v>
      </c>
      <c r="B8316" t="str">
        <f t="shared" si="332"/>
        <v>0.00017%</v>
      </c>
      <c r="C8316" t="s">
        <v>10</v>
      </c>
      <c r="D8316" t="s">
        <v>10</v>
      </c>
      <c r="E8316" t="str">
        <f>"$ 1,306"</f>
        <v>$ 1,306</v>
      </c>
      <c r="F8316">
        <v>181</v>
      </c>
    </row>
    <row r="8317" spans="1:6">
      <c r="A8317" t="s">
        <v>8272</v>
      </c>
      <c r="B8317" t="str">
        <f t="shared" si="332"/>
        <v>0.00017%</v>
      </c>
      <c r="C8317" t="s">
        <v>10</v>
      </c>
      <c r="D8317" t="s">
        <v>10</v>
      </c>
      <c r="E8317" t="str">
        <f>"$ 1,316"</f>
        <v>$ 1,316</v>
      </c>
      <c r="F8317">
        <v>386</v>
      </c>
    </row>
    <row r="8318" spans="1:6">
      <c r="A8318" t="s">
        <v>8273</v>
      </c>
      <c r="B8318" t="str">
        <f t="shared" si="332"/>
        <v>0.00017%</v>
      </c>
      <c r="C8318" t="s">
        <v>10</v>
      </c>
      <c r="D8318" t="s">
        <v>10</v>
      </c>
      <c r="E8318" t="str">
        <f>"$ 1,279"</f>
        <v>$ 1,279</v>
      </c>
      <c r="F8318" s="1">
        <v>1307</v>
      </c>
    </row>
    <row r="8319" spans="1:6">
      <c r="A8319" t="s">
        <v>8274</v>
      </c>
      <c r="B8319" t="str">
        <f t="shared" si="332"/>
        <v>0.00017%</v>
      </c>
      <c r="C8319" t="s">
        <v>10</v>
      </c>
      <c r="D8319" t="s">
        <v>10</v>
      </c>
      <c r="E8319" t="str">
        <f>"$ 1,323"</f>
        <v>$ 1,323</v>
      </c>
      <c r="F8319">
        <v>236</v>
      </c>
    </row>
    <row r="8320" spans="1:6">
      <c r="A8320" t="s">
        <v>8275</v>
      </c>
      <c r="B8320" t="str">
        <f t="shared" si="332"/>
        <v>0.00017%</v>
      </c>
      <c r="C8320" t="s">
        <v>10</v>
      </c>
      <c r="D8320" t="s">
        <v>10</v>
      </c>
      <c r="E8320" t="str">
        <f>"$ 1,312"</f>
        <v>$ 1,312</v>
      </c>
      <c r="F8320">
        <v>82</v>
      </c>
    </row>
    <row r="8321" spans="1:6">
      <c r="A8321" t="s">
        <v>8276</v>
      </c>
      <c r="B8321" t="str">
        <f t="shared" si="332"/>
        <v>0.00017%</v>
      </c>
      <c r="C8321" t="s">
        <v>10</v>
      </c>
      <c r="D8321" t="s">
        <v>10</v>
      </c>
      <c r="E8321" t="str">
        <f>"$ 1,297"</f>
        <v>$ 1,297</v>
      </c>
      <c r="F8321">
        <v>346</v>
      </c>
    </row>
    <row r="8322" spans="1:6">
      <c r="A8322" t="s">
        <v>8277</v>
      </c>
      <c r="B8322" t="str">
        <f t="shared" si="332"/>
        <v>0.00017%</v>
      </c>
      <c r="C8322" t="s">
        <v>10</v>
      </c>
      <c r="D8322" t="s">
        <v>10</v>
      </c>
      <c r="E8322" t="str">
        <f>"$ 1,345"</f>
        <v>$ 1,345</v>
      </c>
      <c r="F8322">
        <v>820</v>
      </c>
    </row>
    <row r="8323" spans="1:6">
      <c r="A8323" t="s">
        <v>8278</v>
      </c>
      <c r="B8323" t="str">
        <f t="shared" si="332"/>
        <v>0.00017%</v>
      </c>
      <c r="C8323" t="s">
        <v>10</v>
      </c>
      <c r="D8323" t="s">
        <v>10</v>
      </c>
      <c r="E8323" t="str">
        <f>"$ 1,308"</f>
        <v>$ 1,308</v>
      </c>
      <c r="F8323">
        <v>359</v>
      </c>
    </row>
    <row r="8324" spans="1:6">
      <c r="A8324" t="s">
        <v>8279</v>
      </c>
      <c r="B8324" t="str">
        <f t="shared" si="332"/>
        <v>0.00017%</v>
      </c>
      <c r="C8324" t="s">
        <v>10</v>
      </c>
      <c r="D8324" t="s">
        <v>10</v>
      </c>
      <c r="E8324" t="str">
        <f>"$ 1,341"</f>
        <v>$ 1,341</v>
      </c>
      <c r="F8324">
        <v>49</v>
      </c>
    </row>
    <row r="8325" spans="1:6">
      <c r="A8325" t="s">
        <v>8280</v>
      </c>
      <c r="B8325" t="str">
        <f t="shared" si="332"/>
        <v>0.00017%</v>
      </c>
      <c r="C8325" t="s">
        <v>10</v>
      </c>
      <c r="D8325" t="s">
        <v>10</v>
      </c>
      <c r="E8325" t="str">
        <f>"$ 1,318"</f>
        <v>$ 1,318</v>
      </c>
      <c r="F8325" s="1">
        <v>2319</v>
      </c>
    </row>
    <row r="8326" spans="1:6">
      <c r="A8326" t="s">
        <v>8281</v>
      </c>
      <c r="B8326" t="str">
        <f t="shared" si="332"/>
        <v>0.00017%</v>
      </c>
      <c r="C8326" t="s">
        <v>10</v>
      </c>
      <c r="D8326" t="s">
        <v>10</v>
      </c>
      <c r="E8326" t="str">
        <f>"$ 1,277"</f>
        <v>$ 1,277</v>
      </c>
      <c r="F8326">
        <v>33</v>
      </c>
    </row>
    <row r="8327" spans="1:6">
      <c r="A8327" t="s">
        <v>8282</v>
      </c>
      <c r="B8327" t="str">
        <f t="shared" si="332"/>
        <v>0.00017%</v>
      </c>
      <c r="C8327" t="s">
        <v>10</v>
      </c>
      <c r="D8327" t="s">
        <v>10</v>
      </c>
      <c r="E8327" t="str">
        <f>"$ 1,332"</f>
        <v>$ 1,332</v>
      </c>
      <c r="F8327">
        <v>175</v>
      </c>
    </row>
    <row r="8328" spans="1:6">
      <c r="A8328" t="s">
        <v>8283</v>
      </c>
      <c r="B8328" t="str">
        <f t="shared" si="332"/>
        <v>0.00017%</v>
      </c>
      <c r="C8328" t="s">
        <v>10</v>
      </c>
      <c r="D8328" t="s">
        <v>10</v>
      </c>
      <c r="E8328" t="str">
        <f>"$ 1,312"</f>
        <v>$ 1,312</v>
      </c>
      <c r="F8328">
        <v>328</v>
      </c>
    </row>
    <row r="8329" spans="1:6">
      <c r="A8329" t="s">
        <v>8284</v>
      </c>
      <c r="B8329" t="str">
        <f t="shared" si="332"/>
        <v>0.00017%</v>
      </c>
      <c r="C8329" t="s">
        <v>10</v>
      </c>
      <c r="D8329" t="s">
        <v>10</v>
      </c>
      <c r="E8329" t="str">
        <f>"$ 1,277"</f>
        <v>$ 1,277</v>
      </c>
      <c r="F8329" s="1">
        <v>57207</v>
      </c>
    </row>
    <row r="8330" spans="1:6">
      <c r="A8330" t="s">
        <v>8285</v>
      </c>
      <c r="B8330" t="str">
        <f t="shared" si="332"/>
        <v>0.00017%</v>
      </c>
      <c r="C8330" t="s">
        <v>10</v>
      </c>
      <c r="D8330" t="s">
        <v>10</v>
      </c>
      <c r="E8330" t="str">
        <f>"$ 1,281"</f>
        <v>$ 1,281</v>
      </c>
      <c r="F8330">
        <v>958</v>
      </c>
    </row>
    <row r="8331" spans="1:6">
      <c r="A8331" t="s">
        <v>8286</v>
      </c>
      <c r="B8331" t="str">
        <f t="shared" ref="B8331:B8365" si="333">"0.00017%"</f>
        <v>0.00017%</v>
      </c>
      <c r="C8331" t="s">
        <v>10</v>
      </c>
      <c r="D8331" t="s">
        <v>10</v>
      </c>
      <c r="E8331" t="str">
        <f>"$ 1,298"</f>
        <v>$ 1,298</v>
      </c>
      <c r="F8331" s="1">
        <v>3326</v>
      </c>
    </row>
    <row r="8332" spans="1:6">
      <c r="A8332" t="s">
        <v>8287</v>
      </c>
      <c r="B8332" t="str">
        <f t="shared" si="333"/>
        <v>0.00017%</v>
      </c>
      <c r="C8332" t="s">
        <v>10</v>
      </c>
      <c r="D8332" t="s">
        <v>10</v>
      </c>
      <c r="E8332" t="str">
        <f>"$ 1,318"</f>
        <v>$ 1,318</v>
      </c>
      <c r="F8332" s="1">
        <v>1733</v>
      </c>
    </row>
    <row r="8333" spans="1:6">
      <c r="A8333" t="s">
        <v>8288</v>
      </c>
      <c r="B8333" t="str">
        <f t="shared" si="333"/>
        <v>0.00017%</v>
      </c>
      <c r="C8333" t="s">
        <v>10</v>
      </c>
      <c r="D8333" t="s">
        <v>10</v>
      </c>
      <c r="E8333" t="str">
        <f>"$ 1,305"</f>
        <v>$ 1,305</v>
      </c>
      <c r="F8333">
        <v>13</v>
      </c>
    </row>
    <row r="8334" spans="1:6">
      <c r="A8334" t="s">
        <v>8289</v>
      </c>
      <c r="B8334" t="str">
        <f t="shared" si="333"/>
        <v>0.00017%</v>
      </c>
      <c r="C8334" t="s">
        <v>10</v>
      </c>
      <c r="D8334" t="s">
        <v>10</v>
      </c>
      <c r="E8334" t="str">
        <f>"$ 1,285"</f>
        <v>$ 1,285</v>
      </c>
      <c r="F8334" s="1">
        <v>1371</v>
      </c>
    </row>
    <row r="8335" spans="1:6">
      <c r="A8335" t="s">
        <v>8290</v>
      </c>
      <c r="B8335" t="str">
        <f t="shared" si="333"/>
        <v>0.00017%</v>
      </c>
      <c r="C8335" t="s">
        <v>10</v>
      </c>
      <c r="D8335" t="s">
        <v>10</v>
      </c>
      <c r="E8335" t="str">
        <f>"$ 1,345"</f>
        <v>$ 1,345</v>
      </c>
      <c r="F8335">
        <v>66</v>
      </c>
    </row>
    <row r="8336" spans="1:6">
      <c r="A8336" t="s">
        <v>8291</v>
      </c>
      <c r="B8336" t="str">
        <f t="shared" si="333"/>
        <v>0.00017%</v>
      </c>
      <c r="C8336" t="s">
        <v>10</v>
      </c>
      <c r="D8336" t="s">
        <v>10</v>
      </c>
      <c r="E8336" t="str">
        <f>"$ 1,283"</f>
        <v>$ 1,283</v>
      </c>
      <c r="F8336">
        <v>30</v>
      </c>
    </row>
    <row r="8337" spans="1:6">
      <c r="A8337" t="s">
        <v>8292</v>
      </c>
      <c r="B8337" t="str">
        <f t="shared" si="333"/>
        <v>0.00017%</v>
      </c>
      <c r="C8337" t="s">
        <v>10</v>
      </c>
      <c r="D8337" t="s">
        <v>10</v>
      </c>
      <c r="E8337" t="str">
        <f>"$ 1,291"</f>
        <v>$ 1,291</v>
      </c>
      <c r="F8337">
        <v>45</v>
      </c>
    </row>
    <row r="8338" spans="1:6">
      <c r="A8338" t="s">
        <v>8293</v>
      </c>
      <c r="B8338" t="str">
        <f t="shared" si="333"/>
        <v>0.00017%</v>
      </c>
      <c r="C8338" t="s">
        <v>10</v>
      </c>
      <c r="D8338" t="s">
        <v>10</v>
      </c>
      <c r="E8338" t="str">
        <f>"$ 1,312"</f>
        <v>$ 1,312</v>
      </c>
      <c r="F8338">
        <v>49</v>
      </c>
    </row>
    <row r="8339" spans="1:6">
      <c r="A8339" t="s">
        <v>8294</v>
      </c>
      <c r="B8339" t="str">
        <f t="shared" si="333"/>
        <v>0.00017%</v>
      </c>
      <c r="C8339" t="s">
        <v>10</v>
      </c>
      <c r="D8339" t="s">
        <v>10</v>
      </c>
      <c r="E8339" t="str">
        <f>"$ 1,326"</f>
        <v>$ 1,326</v>
      </c>
      <c r="F8339">
        <v>99</v>
      </c>
    </row>
    <row r="8340" spans="1:6">
      <c r="A8340" t="s">
        <v>8295</v>
      </c>
      <c r="B8340" t="str">
        <f t="shared" si="333"/>
        <v>0.00017%</v>
      </c>
      <c r="C8340" t="s">
        <v>10</v>
      </c>
      <c r="D8340" t="s">
        <v>10</v>
      </c>
      <c r="E8340" t="str">
        <f>"$ 1,321"</f>
        <v>$ 1,321</v>
      </c>
      <c r="F8340">
        <v>62</v>
      </c>
    </row>
    <row r="8341" spans="1:6">
      <c r="A8341" t="s">
        <v>8296</v>
      </c>
      <c r="B8341" t="str">
        <f t="shared" si="333"/>
        <v>0.00017%</v>
      </c>
      <c r="C8341" t="s">
        <v>10</v>
      </c>
      <c r="D8341" t="s">
        <v>10</v>
      </c>
      <c r="E8341" t="str">
        <f>"$ 1,341"</f>
        <v>$ 1,341</v>
      </c>
      <c r="F8341" s="1">
        <v>7954</v>
      </c>
    </row>
    <row r="8342" spans="1:6">
      <c r="A8342" t="s">
        <v>8297</v>
      </c>
      <c r="B8342" t="str">
        <f t="shared" si="333"/>
        <v>0.00017%</v>
      </c>
      <c r="C8342" t="s">
        <v>10</v>
      </c>
      <c r="D8342" t="s">
        <v>10</v>
      </c>
      <c r="E8342" t="str">
        <f>"$ 1,320"</f>
        <v>$ 1,320</v>
      </c>
      <c r="F8342" s="1">
        <v>1895</v>
      </c>
    </row>
    <row r="8343" spans="1:6">
      <c r="A8343" t="s">
        <v>8298</v>
      </c>
      <c r="B8343" t="str">
        <f t="shared" si="333"/>
        <v>0.00017%</v>
      </c>
      <c r="C8343" t="s">
        <v>10</v>
      </c>
      <c r="D8343" t="s">
        <v>10</v>
      </c>
      <c r="E8343" t="str">
        <f>"$ 1,296"</f>
        <v>$ 1,296</v>
      </c>
      <c r="F8343" s="1">
        <v>2578</v>
      </c>
    </row>
    <row r="8344" spans="1:6">
      <c r="A8344" t="s">
        <v>8299</v>
      </c>
      <c r="B8344" t="str">
        <f t="shared" si="333"/>
        <v>0.00017%</v>
      </c>
      <c r="C8344" t="s">
        <v>10</v>
      </c>
      <c r="D8344" t="s">
        <v>10</v>
      </c>
      <c r="E8344" t="str">
        <f>"$ 1,303"</f>
        <v>$ 1,303</v>
      </c>
      <c r="F8344" s="1">
        <v>7498</v>
      </c>
    </row>
    <row r="8345" spans="1:6">
      <c r="A8345" t="s">
        <v>8300</v>
      </c>
      <c r="B8345" t="str">
        <f t="shared" si="333"/>
        <v>0.00017%</v>
      </c>
      <c r="C8345" t="s">
        <v>10</v>
      </c>
      <c r="D8345" t="s">
        <v>10</v>
      </c>
      <c r="E8345" t="str">
        <f>"$ 1,309"</f>
        <v>$ 1,309</v>
      </c>
      <c r="F8345">
        <v>398</v>
      </c>
    </row>
    <row r="8346" spans="1:6">
      <c r="A8346" t="s">
        <v>8301</v>
      </c>
      <c r="B8346" t="str">
        <f t="shared" si="333"/>
        <v>0.00017%</v>
      </c>
      <c r="C8346" t="s">
        <v>10</v>
      </c>
      <c r="D8346" t="s">
        <v>10</v>
      </c>
      <c r="E8346" t="str">
        <f>"$ 1,323"</f>
        <v>$ 1,323</v>
      </c>
      <c r="F8346">
        <v>37</v>
      </c>
    </row>
    <row r="8347" spans="1:6">
      <c r="A8347" t="s">
        <v>8302</v>
      </c>
      <c r="B8347" t="str">
        <f t="shared" si="333"/>
        <v>0.00017%</v>
      </c>
      <c r="C8347" t="s">
        <v>10</v>
      </c>
      <c r="D8347" t="s">
        <v>10</v>
      </c>
      <c r="E8347" t="str">
        <f>"$ 1,288"</f>
        <v>$ 1,288</v>
      </c>
      <c r="F8347">
        <v>97</v>
      </c>
    </row>
    <row r="8348" spans="1:6">
      <c r="A8348" t="s">
        <v>8303</v>
      </c>
      <c r="B8348" t="str">
        <f t="shared" si="333"/>
        <v>0.00017%</v>
      </c>
      <c r="C8348" t="s">
        <v>10</v>
      </c>
      <c r="D8348" t="s">
        <v>10</v>
      </c>
      <c r="E8348" t="str">
        <f>"$ 1,281"</f>
        <v>$ 1,281</v>
      </c>
      <c r="F8348">
        <v>214</v>
      </c>
    </row>
    <row r="8349" spans="1:6">
      <c r="A8349" t="s">
        <v>8304</v>
      </c>
      <c r="B8349" t="str">
        <f t="shared" si="333"/>
        <v>0.00017%</v>
      </c>
      <c r="C8349" t="s">
        <v>10</v>
      </c>
      <c r="D8349" t="s">
        <v>10</v>
      </c>
      <c r="E8349" t="str">
        <f>"$ 1,285"</f>
        <v>$ 1,285</v>
      </c>
      <c r="F8349" s="1">
        <v>1661</v>
      </c>
    </row>
    <row r="8350" spans="1:6">
      <c r="A8350" t="s">
        <v>8305</v>
      </c>
      <c r="B8350" t="str">
        <f t="shared" si="333"/>
        <v>0.00017%</v>
      </c>
      <c r="C8350" t="s">
        <v>10</v>
      </c>
      <c r="D8350" t="s">
        <v>10</v>
      </c>
      <c r="E8350" t="str">
        <f>"$ 1,325"</f>
        <v>$ 1,325</v>
      </c>
      <c r="F8350" s="1">
        <v>1003</v>
      </c>
    </row>
    <row r="8351" spans="1:6">
      <c r="A8351" t="s">
        <v>8306</v>
      </c>
      <c r="B8351" t="str">
        <f t="shared" si="333"/>
        <v>0.00017%</v>
      </c>
      <c r="C8351" t="s">
        <v>10</v>
      </c>
      <c r="D8351" t="s">
        <v>10</v>
      </c>
      <c r="E8351" t="str">
        <f>"$ 1,305"</f>
        <v>$ 1,305</v>
      </c>
      <c r="F8351" s="1">
        <v>1251</v>
      </c>
    </row>
    <row r="8352" spans="1:6">
      <c r="A8352" t="s">
        <v>8307</v>
      </c>
      <c r="B8352" t="str">
        <f t="shared" si="333"/>
        <v>0.00017%</v>
      </c>
      <c r="C8352" t="s">
        <v>10</v>
      </c>
      <c r="D8352" t="s">
        <v>10</v>
      </c>
      <c r="E8352" t="str">
        <f>"$ 1,286"</f>
        <v>$ 1,286</v>
      </c>
      <c r="F8352">
        <v>132</v>
      </c>
    </row>
    <row r="8353" spans="1:6">
      <c r="A8353" t="s">
        <v>8308</v>
      </c>
      <c r="B8353" t="str">
        <f t="shared" si="333"/>
        <v>0.00017%</v>
      </c>
      <c r="C8353" t="s">
        <v>10</v>
      </c>
      <c r="D8353" t="s">
        <v>10</v>
      </c>
      <c r="E8353" t="str">
        <f>"$ 1,315"</f>
        <v>$ 1,315</v>
      </c>
      <c r="F8353">
        <v>186</v>
      </c>
    </row>
    <row r="8354" spans="1:6">
      <c r="A8354" t="s">
        <v>8309</v>
      </c>
      <c r="B8354" t="str">
        <f t="shared" si="333"/>
        <v>0.00017%</v>
      </c>
      <c r="C8354" t="s">
        <v>10</v>
      </c>
      <c r="D8354" t="s">
        <v>10</v>
      </c>
      <c r="E8354" t="str">
        <f>"$ 1,294"</f>
        <v>$ 1,294</v>
      </c>
      <c r="F8354">
        <v>667</v>
      </c>
    </row>
    <row r="8355" spans="1:6">
      <c r="A8355" t="s">
        <v>8310</v>
      </c>
      <c r="B8355" t="str">
        <f t="shared" si="333"/>
        <v>0.00017%</v>
      </c>
      <c r="C8355" t="s">
        <v>10</v>
      </c>
      <c r="D8355" t="s">
        <v>10</v>
      </c>
      <c r="E8355" t="str">
        <f>"$ 1,345"</f>
        <v>$ 1,345</v>
      </c>
      <c r="F8355">
        <v>165</v>
      </c>
    </row>
    <row r="8356" spans="1:6">
      <c r="A8356" t="s">
        <v>8311</v>
      </c>
      <c r="B8356" t="str">
        <f t="shared" si="333"/>
        <v>0.00017%</v>
      </c>
      <c r="C8356" t="s">
        <v>10</v>
      </c>
      <c r="D8356" t="s">
        <v>10</v>
      </c>
      <c r="E8356" t="str">
        <f>"$ 1,324"</f>
        <v>$ 1,324</v>
      </c>
      <c r="F8356">
        <v>33</v>
      </c>
    </row>
    <row r="8357" spans="1:6">
      <c r="A8357" t="s">
        <v>6339</v>
      </c>
      <c r="B8357" t="str">
        <f t="shared" si="333"/>
        <v>0.00017%</v>
      </c>
      <c r="C8357" t="s">
        <v>10</v>
      </c>
      <c r="D8357" t="s">
        <v>10</v>
      </c>
      <c r="E8357" t="str">
        <f>"$ 1,301"</f>
        <v>$ 1,301</v>
      </c>
      <c r="F8357" s="1">
        <v>1070</v>
      </c>
    </row>
    <row r="8358" spans="1:6">
      <c r="A8358" t="s">
        <v>8312</v>
      </c>
      <c r="B8358" t="str">
        <f t="shared" si="333"/>
        <v>0.00017%</v>
      </c>
      <c r="C8358" t="s">
        <v>10</v>
      </c>
      <c r="D8358" t="s">
        <v>10</v>
      </c>
      <c r="E8358" t="str">
        <f>"$ 1,281"</f>
        <v>$ 1,281</v>
      </c>
      <c r="F8358">
        <v>82</v>
      </c>
    </row>
    <row r="8359" spans="1:6">
      <c r="A8359" t="s">
        <v>8313</v>
      </c>
      <c r="B8359" t="str">
        <f t="shared" si="333"/>
        <v>0.00017%</v>
      </c>
      <c r="C8359" t="s">
        <v>10</v>
      </c>
      <c r="D8359" t="s">
        <v>10</v>
      </c>
      <c r="E8359" t="str">
        <f>"$ 1,330"</f>
        <v>$ 1,330</v>
      </c>
      <c r="F8359">
        <v>56</v>
      </c>
    </row>
    <row r="8360" spans="1:6">
      <c r="A8360" t="s">
        <v>8314</v>
      </c>
      <c r="B8360" t="str">
        <f t="shared" si="333"/>
        <v>0.00017%</v>
      </c>
      <c r="C8360" t="s">
        <v>10</v>
      </c>
      <c r="D8360" t="s">
        <v>10</v>
      </c>
      <c r="E8360" t="str">
        <f>"$ 1,334"</f>
        <v>$ 1,334</v>
      </c>
      <c r="F8360">
        <v>219</v>
      </c>
    </row>
    <row r="8361" spans="1:6">
      <c r="A8361" t="s">
        <v>8315</v>
      </c>
      <c r="B8361" t="str">
        <f t="shared" si="333"/>
        <v>0.00017%</v>
      </c>
      <c r="C8361" t="s">
        <v>10</v>
      </c>
      <c r="D8361" t="s">
        <v>10</v>
      </c>
      <c r="E8361" t="str">
        <f>"$ 1,331"</f>
        <v>$ 1,331</v>
      </c>
      <c r="F8361">
        <v>122</v>
      </c>
    </row>
    <row r="8362" spans="1:6">
      <c r="A8362" t="s">
        <v>8316</v>
      </c>
      <c r="B8362" t="str">
        <f t="shared" si="333"/>
        <v>0.00017%</v>
      </c>
      <c r="C8362" t="s">
        <v>10</v>
      </c>
      <c r="D8362" t="s">
        <v>10</v>
      </c>
      <c r="E8362" t="str">
        <f>"$ 1,331"</f>
        <v>$ 1,331</v>
      </c>
      <c r="F8362">
        <v>22</v>
      </c>
    </row>
    <row r="8363" spans="1:6">
      <c r="A8363" t="s">
        <v>8317</v>
      </c>
      <c r="B8363" t="str">
        <f t="shared" si="333"/>
        <v>0.00017%</v>
      </c>
      <c r="C8363" t="s">
        <v>10</v>
      </c>
      <c r="D8363" t="s">
        <v>10</v>
      </c>
      <c r="E8363" t="str">
        <f>"$ 1,335"</f>
        <v>$ 1,335</v>
      </c>
      <c r="F8363" s="1">
        <v>4236</v>
      </c>
    </row>
    <row r="8364" spans="1:6">
      <c r="A8364" t="s">
        <v>8318</v>
      </c>
      <c r="B8364" t="str">
        <f t="shared" si="333"/>
        <v>0.00017%</v>
      </c>
      <c r="C8364" t="s">
        <v>10</v>
      </c>
      <c r="D8364" t="s">
        <v>10</v>
      </c>
      <c r="E8364" t="str">
        <f>"$ 1,276"</f>
        <v>$ 1,276</v>
      </c>
      <c r="F8364">
        <v>182</v>
      </c>
    </row>
    <row r="8365" spans="1:6">
      <c r="A8365" t="s">
        <v>8319</v>
      </c>
      <c r="B8365" t="str">
        <f t="shared" si="333"/>
        <v>0.00017%</v>
      </c>
      <c r="C8365" t="s">
        <v>10</v>
      </c>
      <c r="D8365" t="s">
        <v>10</v>
      </c>
      <c r="E8365" t="str">
        <f>"$ 1,349"</f>
        <v>$ 1,349</v>
      </c>
      <c r="F8365">
        <v>69</v>
      </c>
    </row>
    <row r="8366" spans="1:6">
      <c r="A8366" t="s">
        <v>8320</v>
      </c>
      <c r="B8366" t="str">
        <f t="shared" ref="B8366:B8397" si="334">"0.00016%"</f>
        <v>0.00016%</v>
      </c>
      <c r="C8366" t="s">
        <v>10</v>
      </c>
      <c r="D8366" t="s">
        <v>10</v>
      </c>
      <c r="E8366" t="str">
        <f>"$ 1,218"</f>
        <v>$ 1,218</v>
      </c>
      <c r="F8366">
        <v>653</v>
      </c>
    </row>
    <row r="8367" spans="1:6">
      <c r="A8367" t="s">
        <v>8321</v>
      </c>
      <c r="B8367" t="str">
        <f t="shared" si="334"/>
        <v>0.00016%</v>
      </c>
      <c r="C8367" t="s">
        <v>10</v>
      </c>
      <c r="D8367" t="s">
        <v>10</v>
      </c>
      <c r="E8367" t="str">
        <f>"$ 1,269"</f>
        <v>$ 1,269</v>
      </c>
      <c r="F8367">
        <v>70</v>
      </c>
    </row>
    <row r="8368" spans="1:6">
      <c r="A8368" t="s">
        <v>8322</v>
      </c>
      <c r="B8368" t="str">
        <f t="shared" si="334"/>
        <v>0.00016%</v>
      </c>
      <c r="C8368" t="s">
        <v>10</v>
      </c>
      <c r="D8368" t="s">
        <v>10</v>
      </c>
      <c r="E8368" t="str">
        <f>"$ 1,266"</f>
        <v>$ 1,266</v>
      </c>
      <c r="F8368">
        <v>895</v>
      </c>
    </row>
    <row r="8369" spans="1:6">
      <c r="A8369" t="s">
        <v>8323</v>
      </c>
      <c r="B8369" t="str">
        <f t="shared" si="334"/>
        <v>0.00016%</v>
      </c>
      <c r="C8369" t="s">
        <v>10</v>
      </c>
      <c r="D8369" t="s">
        <v>10</v>
      </c>
      <c r="E8369" t="str">
        <f>"$ 1,208"</f>
        <v>$ 1,208</v>
      </c>
      <c r="F8369">
        <v>460</v>
      </c>
    </row>
    <row r="8370" spans="1:6">
      <c r="A8370" t="s">
        <v>8324</v>
      </c>
      <c r="B8370" t="str">
        <f t="shared" si="334"/>
        <v>0.00016%</v>
      </c>
      <c r="C8370" t="s">
        <v>10</v>
      </c>
      <c r="D8370" t="s">
        <v>10</v>
      </c>
      <c r="E8370" t="str">
        <f>"$ 1,266"</f>
        <v>$ 1,266</v>
      </c>
      <c r="F8370" s="1">
        <v>1697</v>
      </c>
    </row>
    <row r="8371" spans="1:6">
      <c r="A8371" t="s">
        <v>8325</v>
      </c>
      <c r="B8371" t="str">
        <f t="shared" si="334"/>
        <v>0.00016%</v>
      </c>
      <c r="C8371" t="s">
        <v>10</v>
      </c>
      <c r="D8371" t="s">
        <v>10</v>
      </c>
      <c r="E8371" t="str">
        <f>"$ 1,232"</f>
        <v>$ 1,232</v>
      </c>
      <c r="F8371">
        <v>49</v>
      </c>
    </row>
    <row r="8372" spans="1:6">
      <c r="A8372" t="s">
        <v>8326</v>
      </c>
      <c r="B8372" t="str">
        <f t="shared" si="334"/>
        <v>0.00016%</v>
      </c>
      <c r="C8372" t="s">
        <v>10</v>
      </c>
      <c r="D8372" t="s">
        <v>10</v>
      </c>
      <c r="E8372" t="str">
        <f>"$ 1,225"</f>
        <v>$ 1,225</v>
      </c>
      <c r="F8372">
        <v>33</v>
      </c>
    </row>
    <row r="8373" spans="1:6">
      <c r="A8373" t="s">
        <v>8327</v>
      </c>
      <c r="B8373" t="str">
        <f t="shared" si="334"/>
        <v>0.00016%</v>
      </c>
      <c r="C8373" t="s">
        <v>10</v>
      </c>
      <c r="D8373" t="s">
        <v>10</v>
      </c>
      <c r="E8373" t="str">
        <f>"$ 1,236"</f>
        <v>$ 1,236</v>
      </c>
      <c r="F8373">
        <v>35</v>
      </c>
    </row>
    <row r="8374" spans="1:6">
      <c r="A8374" t="s">
        <v>8328</v>
      </c>
      <c r="B8374" t="str">
        <f t="shared" si="334"/>
        <v>0.00016%</v>
      </c>
      <c r="C8374" t="s">
        <v>10</v>
      </c>
      <c r="D8374" t="s">
        <v>10</v>
      </c>
      <c r="E8374" t="str">
        <f>"$ 1,225"</f>
        <v>$ 1,225</v>
      </c>
      <c r="F8374">
        <v>66</v>
      </c>
    </row>
    <row r="8375" spans="1:6">
      <c r="A8375" t="s">
        <v>8329</v>
      </c>
      <c r="B8375" t="str">
        <f t="shared" si="334"/>
        <v>0.00016%</v>
      </c>
      <c r="C8375" t="s">
        <v>10</v>
      </c>
      <c r="D8375" t="s">
        <v>10</v>
      </c>
      <c r="E8375" t="str">
        <f>"$ 1,215"</f>
        <v>$ 1,215</v>
      </c>
      <c r="F8375">
        <v>63</v>
      </c>
    </row>
    <row r="8376" spans="1:6">
      <c r="A8376" t="s">
        <v>8330</v>
      </c>
      <c r="B8376" t="str">
        <f t="shared" si="334"/>
        <v>0.00016%</v>
      </c>
      <c r="C8376" t="s">
        <v>10</v>
      </c>
      <c r="D8376" t="s">
        <v>10</v>
      </c>
      <c r="E8376" t="str">
        <f>"$ 1,241"</f>
        <v>$ 1,241</v>
      </c>
      <c r="F8376">
        <v>46</v>
      </c>
    </row>
    <row r="8377" spans="1:6">
      <c r="A8377" t="s">
        <v>8331</v>
      </c>
      <c r="B8377" t="str">
        <f t="shared" si="334"/>
        <v>0.00016%</v>
      </c>
      <c r="C8377" t="s">
        <v>10</v>
      </c>
      <c r="D8377" t="s">
        <v>10</v>
      </c>
      <c r="E8377" t="str">
        <f>"$ 1,256"</f>
        <v>$ 1,256</v>
      </c>
      <c r="F8377">
        <v>344</v>
      </c>
    </row>
    <row r="8378" spans="1:6">
      <c r="A8378" t="s">
        <v>8332</v>
      </c>
      <c r="B8378" t="str">
        <f t="shared" si="334"/>
        <v>0.00016%</v>
      </c>
      <c r="C8378" t="s">
        <v>10</v>
      </c>
      <c r="D8378" t="s">
        <v>10</v>
      </c>
      <c r="E8378" t="str">
        <f>"$ 1,257"</f>
        <v>$ 1,257</v>
      </c>
      <c r="F8378">
        <v>7</v>
      </c>
    </row>
    <row r="8379" spans="1:6">
      <c r="A8379" t="s">
        <v>8333</v>
      </c>
      <c r="B8379" t="str">
        <f t="shared" si="334"/>
        <v>0.00016%</v>
      </c>
      <c r="C8379" t="s">
        <v>10</v>
      </c>
      <c r="D8379" t="s">
        <v>10</v>
      </c>
      <c r="E8379" t="str">
        <f>"$ 1,242"</f>
        <v>$ 1,242</v>
      </c>
      <c r="F8379" s="1">
        <v>1744</v>
      </c>
    </row>
    <row r="8380" spans="1:6">
      <c r="A8380" t="s">
        <v>8334</v>
      </c>
      <c r="B8380" t="str">
        <f t="shared" si="334"/>
        <v>0.00016%</v>
      </c>
      <c r="C8380" t="s">
        <v>10</v>
      </c>
      <c r="D8380" t="s">
        <v>10</v>
      </c>
      <c r="E8380" t="str">
        <f>"$ 1,254"</f>
        <v>$ 1,254</v>
      </c>
      <c r="F8380">
        <v>49</v>
      </c>
    </row>
    <row r="8381" spans="1:6">
      <c r="A8381" t="s">
        <v>8335</v>
      </c>
      <c r="B8381" t="str">
        <f t="shared" si="334"/>
        <v>0.00016%</v>
      </c>
      <c r="C8381" t="s">
        <v>10</v>
      </c>
      <c r="D8381" t="s">
        <v>10</v>
      </c>
      <c r="E8381" t="str">
        <f>"$ 1,238"</f>
        <v>$ 1,238</v>
      </c>
      <c r="F8381">
        <v>322</v>
      </c>
    </row>
    <row r="8382" spans="1:6">
      <c r="A8382" t="s">
        <v>8336</v>
      </c>
      <c r="B8382" t="str">
        <f t="shared" si="334"/>
        <v>0.00016%</v>
      </c>
      <c r="C8382" t="s">
        <v>10</v>
      </c>
      <c r="D8382" t="s">
        <v>10</v>
      </c>
      <c r="E8382" t="str">
        <f>"$ 1,238"</f>
        <v>$ 1,238</v>
      </c>
      <c r="F8382">
        <v>700</v>
      </c>
    </row>
    <row r="8383" spans="1:6">
      <c r="A8383" t="s">
        <v>8337</v>
      </c>
      <c r="B8383" t="str">
        <f t="shared" si="334"/>
        <v>0.00016%</v>
      </c>
      <c r="C8383" t="s">
        <v>10</v>
      </c>
      <c r="D8383" t="s">
        <v>10</v>
      </c>
      <c r="E8383" t="str">
        <f>"$ 1,239"</f>
        <v>$ 1,239</v>
      </c>
      <c r="F8383">
        <v>608</v>
      </c>
    </row>
    <row r="8384" spans="1:6">
      <c r="A8384" t="s">
        <v>8338</v>
      </c>
      <c r="B8384" t="str">
        <f t="shared" si="334"/>
        <v>0.00016%</v>
      </c>
      <c r="C8384" t="s">
        <v>10</v>
      </c>
      <c r="D8384" t="s">
        <v>10</v>
      </c>
      <c r="E8384" t="str">
        <f>"$ 1,271"</f>
        <v>$ 1,271</v>
      </c>
      <c r="F8384" s="1">
        <v>1032</v>
      </c>
    </row>
    <row r="8385" spans="1:6">
      <c r="A8385" t="s">
        <v>8339</v>
      </c>
      <c r="B8385" t="str">
        <f t="shared" si="334"/>
        <v>0.00016%</v>
      </c>
      <c r="C8385" t="s">
        <v>10</v>
      </c>
      <c r="D8385" t="s">
        <v>10</v>
      </c>
      <c r="E8385" t="str">
        <f>"$ 1,219"</f>
        <v>$ 1,219</v>
      </c>
      <c r="F8385">
        <v>247</v>
      </c>
    </row>
    <row r="8386" spans="1:6">
      <c r="A8386" t="s">
        <v>8340</v>
      </c>
      <c r="B8386" t="str">
        <f t="shared" si="334"/>
        <v>0.00016%</v>
      </c>
      <c r="C8386" t="s">
        <v>10</v>
      </c>
      <c r="D8386" t="s">
        <v>10</v>
      </c>
      <c r="E8386" t="str">
        <f>"$ 1,227"</f>
        <v>$ 1,227</v>
      </c>
      <c r="F8386">
        <v>33</v>
      </c>
    </row>
    <row r="8387" spans="1:6">
      <c r="A8387" t="s">
        <v>8341</v>
      </c>
      <c r="B8387" t="str">
        <f t="shared" si="334"/>
        <v>0.00016%</v>
      </c>
      <c r="C8387" t="s">
        <v>10</v>
      </c>
      <c r="D8387" t="s">
        <v>10</v>
      </c>
      <c r="E8387" t="str">
        <f>"$ 1,238"</f>
        <v>$ 1,238</v>
      </c>
      <c r="F8387">
        <v>35</v>
      </c>
    </row>
    <row r="8388" spans="1:6">
      <c r="A8388" t="s">
        <v>8342</v>
      </c>
      <c r="B8388" t="str">
        <f t="shared" si="334"/>
        <v>0.00016%</v>
      </c>
      <c r="C8388" t="s">
        <v>10</v>
      </c>
      <c r="D8388" t="s">
        <v>10</v>
      </c>
      <c r="E8388" t="str">
        <f>"$ 1,198"</f>
        <v>$ 1,198</v>
      </c>
      <c r="F8388" s="1">
        <v>1296</v>
      </c>
    </row>
    <row r="8389" spans="1:6">
      <c r="A8389" t="s">
        <v>8343</v>
      </c>
      <c r="B8389" t="str">
        <f t="shared" si="334"/>
        <v>0.00016%</v>
      </c>
      <c r="C8389" t="s">
        <v>10</v>
      </c>
      <c r="D8389" t="s">
        <v>10</v>
      </c>
      <c r="E8389" t="str">
        <f>"$ 1,242"</f>
        <v>$ 1,242</v>
      </c>
      <c r="F8389">
        <v>150</v>
      </c>
    </row>
    <row r="8390" spans="1:6">
      <c r="A8390" t="s">
        <v>8344</v>
      </c>
      <c r="B8390" t="str">
        <f t="shared" si="334"/>
        <v>0.00016%</v>
      </c>
      <c r="C8390" t="s">
        <v>10</v>
      </c>
      <c r="D8390" t="s">
        <v>10</v>
      </c>
      <c r="E8390" t="str">
        <f>"$ 1,258"</f>
        <v>$ 1,258</v>
      </c>
      <c r="F8390" s="1">
        <v>5278</v>
      </c>
    </row>
    <row r="8391" spans="1:6">
      <c r="A8391" t="s">
        <v>8345</v>
      </c>
      <c r="B8391" t="str">
        <f t="shared" si="334"/>
        <v>0.00016%</v>
      </c>
      <c r="C8391" t="s">
        <v>10</v>
      </c>
      <c r="D8391" t="s">
        <v>10</v>
      </c>
      <c r="E8391" t="str">
        <f>"$ 1,238"</f>
        <v>$ 1,238</v>
      </c>
      <c r="F8391" s="1">
        <v>5193</v>
      </c>
    </row>
    <row r="8392" spans="1:6">
      <c r="A8392" t="s">
        <v>8346</v>
      </c>
      <c r="B8392" t="str">
        <f t="shared" si="334"/>
        <v>0.00016%</v>
      </c>
      <c r="C8392" t="s">
        <v>10</v>
      </c>
      <c r="D8392" t="s">
        <v>10</v>
      </c>
      <c r="E8392" t="str">
        <f>"$ 1,204"</f>
        <v>$ 1,204</v>
      </c>
      <c r="F8392">
        <v>40</v>
      </c>
    </row>
    <row r="8393" spans="1:6">
      <c r="A8393" t="s">
        <v>8347</v>
      </c>
      <c r="B8393" t="str">
        <f t="shared" si="334"/>
        <v>0.00016%</v>
      </c>
      <c r="C8393" t="s">
        <v>10</v>
      </c>
      <c r="D8393" t="s">
        <v>10</v>
      </c>
      <c r="E8393" t="str">
        <f>"$ 1,219"</f>
        <v>$ 1,219</v>
      </c>
      <c r="F8393">
        <v>45</v>
      </c>
    </row>
    <row r="8394" spans="1:6">
      <c r="A8394" t="s">
        <v>8348</v>
      </c>
      <c r="B8394" t="str">
        <f t="shared" si="334"/>
        <v>0.00016%</v>
      </c>
      <c r="C8394" t="s">
        <v>10</v>
      </c>
      <c r="D8394" t="s">
        <v>10</v>
      </c>
      <c r="E8394" t="str">
        <f>"$ 1,241"</f>
        <v>$ 1,241</v>
      </c>
      <c r="F8394">
        <v>49</v>
      </c>
    </row>
    <row r="8395" spans="1:6">
      <c r="A8395" t="s">
        <v>8349</v>
      </c>
      <c r="B8395" t="str">
        <f t="shared" si="334"/>
        <v>0.00016%</v>
      </c>
      <c r="C8395" t="s">
        <v>10</v>
      </c>
      <c r="D8395" t="s">
        <v>10</v>
      </c>
      <c r="E8395" t="str">
        <f>"$ 1,255"</f>
        <v>$ 1,255</v>
      </c>
      <c r="F8395">
        <v>33</v>
      </c>
    </row>
    <row r="8396" spans="1:6">
      <c r="A8396" t="s">
        <v>8350</v>
      </c>
      <c r="B8396" t="str">
        <f t="shared" si="334"/>
        <v>0.00016%</v>
      </c>
      <c r="C8396" t="s">
        <v>10</v>
      </c>
      <c r="D8396" t="s">
        <v>10</v>
      </c>
      <c r="E8396" t="str">
        <f>"$ 1,262"</f>
        <v>$ 1,262</v>
      </c>
      <c r="F8396">
        <v>41</v>
      </c>
    </row>
    <row r="8397" spans="1:6">
      <c r="A8397" t="s">
        <v>8351</v>
      </c>
      <c r="B8397" t="str">
        <f t="shared" si="334"/>
        <v>0.00016%</v>
      </c>
      <c r="C8397" t="s">
        <v>10</v>
      </c>
      <c r="D8397" t="s">
        <v>10</v>
      </c>
      <c r="E8397" t="str">
        <f>"$ 1,215"</f>
        <v>$ 1,215</v>
      </c>
      <c r="F8397">
        <v>82</v>
      </c>
    </row>
    <row r="8398" spans="1:6">
      <c r="A8398" t="s">
        <v>6814</v>
      </c>
      <c r="B8398" t="str">
        <f t="shared" ref="B8398:B8429" si="335">"0.00016%"</f>
        <v>0.00016%</v>
      </c>
      <c r="C8398" t="s">
        <v>10</v>
      </c>
      <c r="D8398" t="s">
        <v>10</v>
      </c>
      <c r="E8398" t="str">
        <f>"$ 1,228"</f>
        <v>$ 1,228</v>
      </c>
      <c r="F8398">
        <v>310</v>
      </c>
    </row>
    <row r="8399" spans="1:6">
      <c r="A8399" t="s">
        <v>8352</v>
      </c>
      <c r="B8399" t="str">
        <f t="shared" si="335"/>
        <v>0.00016%</v>
      </c>
      <c r="C8399" t="s">
        <v>10</v>
      </c>
      <c r="D8399" t="s">
        <v>10</v>
      </c>
      <c r="E8399" t="str">
        <f>"$ 1,244"</f>
        <v>$ 1,244</v>
      </c>
      <c r="F8399">
        <v>77</v>
      </c>
    </row>
    <row r="8400" spans="1:6">
      <c r="A8400" t="s">
        <v>8353</v>
      </c>
      <c r="B8400" t="str">
        <f t="shared" si="335"/>
        <v>0.00016%</v>
      </c>
      <c r="C8400" t="s">
        <v>10</v>
      </c>
      <c r="D8400" t="s">
        <v>10</v>
      </c>
      <c r="E8400" t="str">
        <f>"$ 1,250"</f>
        <v>$ 1,250</v>
      </c>
      <c r="F8400" s="1">
        <v>1340</v>
      </c>
    </row>
    <row r="8401" spans="1:6">
      <c r="A8401" t="s">
        <v>8354</v>
      </c>
      <c r="B8401" t="str">
        <f t="shared" si="335"/>
        <v>0.00016%</v>
      </c>
      <c r="C8401" t="s">
        <v>10</v>
      </c>
      <c r="D8401" t="s">
        <v>10</v>
      </c>
      <c r="E8401" t="str">
        <f>"$ 1,219"</f>
        <v>$ 1,219</v>
      </c>
      <c r="F8401">
        <v>33</v>
      </c>
    </row>
    <row r="8402" spans="1:6">
      <c r="A8402" t="s">
        <v>8355</v>
      </c>
      <c r="B8402" t="str">
        <f t="shared" si="335"/>
        <v>0.00016%</v>
      </c>
      <c r="C8402" t="s">
        <v>10</v>
      </c>
      <c r="D8402" t="s">
        <v>10</v>
      </c>
      <c r="E8402" t="str">
        <f>"$ 1,202"</f>
        <v>$ 1,202</v>
      </c>
      <c r="F8402">
        <v>217</v>
      </c>
    </row>
    <row r="8403" spans="1:6">
      <c r="A8403" t="s">
        <v>8356</v>
      </c>
      <c r="B8403" t="str">
        <f t="shared" si="335"/>
        <v>0.00016%</v>
      </c>
      <c r="C8403" t="s">
        <v>10</v>
      </c>
      <c r="D8403" t="s">
        <v>10</v>
      </c>
      <c r="E8403" t="str">
        <f>"$ 1,262"</f>
        <v>$ 1,262</v>
      </c>
      <c r="F8403">
        <v>990</v>
      </c>
    </row>
    <row r="8404" spans="1:6">
      <c r="A8404" t="s">
        <v>8357</v>
      </c>
      <c r="B8404" t="str">
        <f t="shared" si="335"/>
        <v>0.00016%</v>
      </c>
      <c r="C8404" t="s">
        <v>10</v>
      </c>
      <c r="D8404" t="s">
        <v>10</v>
      </c>
      <c r="E8404" t="str">
        <f>"$ 1,242"</f>
        <v>$ 1,242</v>
      </c>
      <c r="F8404">
        <v>304</v>
      </c>
    </row>
    <row r="8405" spans="1:6">
      <c r="A8405" t="s">
        <v>8358</v>
      </c>
      <c r="B8405" t="str">
        <f t="shared" si="335"/>
        <v>0.00016%</v>
      </c>
      <c r="C8405" t="s">
        <v>10</v>
      </c>
      <c r="D8405" t="s">
        <v>10</v>
      </c>
      <c r="E8405" t="str">
        <f>"$ 1,269"</f>
        <v>$ 1,269</v>
      </c>
      <c r="F8405">
        <v>113</v>
      </c>
    </row>
    <row r="8406" spans="1:6">
      <c r="A8406" t="s">
        <v>8359</v>
      </c>
      <c r="B8406" t="str">
        <f t="shared" si="335"/>
        <v>0.00016%</v>
      </c>
      <c r="C8406" t="s">
        <v>10</v>
      </c>
      <c r="D8406" t="s">
        <v>10</v>
      </c>
      <c r="E8406" t="str">
        <f>"$ 1,258"</f>
        <v>$ 1,258</v>
      </c>
      <c r="F8406" s="1">
        <v>2639</v>
      </c>
    </row>
    <row r="8407" spans="1:6">
      <c r="A8407" t="s">
        <v>8360</v>
      </c>
      <c r="B8407" t="str">
        <f t="shared" si="335"/>
        <v>0.00016%</v>
      </c>
      <c r="C8407" t="s">
        <v>10</v>
      </c>
      <c r="D8407" t="s">
        <v>10</v>
      </c>
      <c r="E8407" t="str">
        <f>"$ 1,250"</f>
        <v>$ 1,250</v>
      </c>
      <c r="F8407" s="1">
        <v>1054</v>
      </c>
    </row>
    <row r="8408" spans="1:6">
      <c r="A8408" t="s">
        <v>8361</v>
      </c>
      <c r="B8408" t="str">
        <f t="shared" si="335"/>
        <v>0.00016%</v>
      </c>
      <c r="C8408" t="s">
        <v>10</v>
      </c>
      <c r="D8408" t="s">
        <v>10</v>
      </c>
      <c r="E8408" t="str">
        <f>"$ 1,223"</f>
        <v>$ 1,223</v>
      </c>
      <c r="F8408">
        <v>184</v>
      </c>
    </row>
    <row r="8409" spans="1:6">
      <c r="A8409" t="s">
        <v>8362</v>
      </c>
      <c r="B8409" t="str">
        <f t="shared" si="335"/>
        <v>0.00016%</v>
      </c>
      <c r="C8409" t="s">
        <v>10</v>
      </c>
      <c r="D8409" t="s">
        <v>10</v>
      </c>
      <c r="E8409" t="str">
        <f>"$ 1,223"</f>
        <v>$ 1,223</v>
      </c>
      <c r="F8409">
        <v>28</v>
      </c>
    </row>
    <row r="8410" spans="1:6">
      <c r="A8410" t="s">
        <v>8363</v>
      </c>
      <c r="B8410" t="str">
        <f t="shared" si="335"/>
        <v>0.00016%</v>
      </c>
      <c r="C8410" t="s">
        <v>10</v>
      </c>
      <c r="D8410" t="s">
        <v>10</v>
      </c>
      <c r="E8410" t="str">
        <f>"$ 1,228"</f>
        <v>$ 1,228</v>
      </c>
      <c r="F8410">
        <v>602</v>
      </c>
    </row>
    <row r="8411" spans="1:6">
      <c r="A8411" t="s">
        <v>8364</v>
      </c>
      <c r="B8411" t="str">
        <f t="shared" si="335"/>
        <v>0.00016%</v>
      </c>
      <c r="C8411" t="s">
        <v>10</v>
      </c>
      <c r="D8411" t="s">
        <v>10</v>
      </c>
      <c r="E8411" t="str">
        <f>"$ 1,243"</f>
        <v>$ 1,243</v>
      </c>
      <c r="F8411">
        <v>169</v>
      </c>
    </row>
    <row r="8412" spans="1:6">
      <c r="A8412" t="s">
        <v>4760</v>
      </c>
      <c r="B8412" t="str">
        <f t="shared" si="335"/>
        <v>0.00016%</v>
      </c>
      <c r="C8412" t="s">
        <v>10</v>
      </c>
      <c r="D8412" t="s">
        <v>10</v>
      </c>
      <c r="E8412" t="str">
        <f>"$ 1,252"</f>
        <v>$ 1,252</v>
      </c>
      <c r="F8412">
        <v>53</v>
      </c>
    </row>
    <row r="8413" spans="1:6">
      <c r="A8413" t="s">
        <v>8365</v>
      </c>
      <c r="B8413" t="str">
        <f t="shared" si="335"/>
        <v>0.00016%</v>
      </c>
      <c r="C8413" t="s">
        <v>10</v>
      </c>
      <c r="D8413" t="s">
        <v>10</v>
      </c>
      <c r="E8413" t="str">
        <f>"$ 1,251"</f>
        <v>$ 1,251</v>
      </c>
      <c r="F8413">
        <v>238</v>
      </c>
    </row>
    <row r="8414" spans="1:6">
      <c r="A8414" t="s">
        <v>8366</v>
      </c>
      <c r="B8414" t="str">
        <f t="shared" si="335"/>
        <v>0.00016%</v>
      </c>
      <c r="C8414" t="s">
        <v>10</v>
      </c>
      <c r="D8414" t="s">
        <v>10</v>
      </c>
      <c r="E8414" t="str">
        <f>"$ 1,260"</f>
        <v>$ 1,260</v>
      </c>
      <c r="F8414">
        <v>147</v>
      </c>
    </row>
    <row r="8415" spans="1:6">
      <c r="A8415" t="s">
        <v>8367</v>
      </c>
      <c r="B8415" t="str">
        <f t="shared" si="335"/>
        <v>0.00016%</v>
      </c>
      <c r="C8415" t="s">
        <v>10</v>
      </c>
      <c r="D8415" t="s">
        <v>10</v>
      </c>
      <c r="E8415" t="str">
        <f>"$ 1,221"</f>
        <v>$ 1,221</v>
      </c>
      <c r="F8415">
        <v>430</v>
      </c>
    </row>
    <row r="8416" spans="1:6">
      <c r="A8416" t="s">
        <v>8368</v>
      </c>
      <c r="B8416" t="str">
        <f t="shared" si="335"/>
        <v>0.00016%</v>
      </c>
      <c r="C8416" t="s">
        <v>10</v>
      </c>
      <c r="D8416" t="s">
        <v>10</v>
      </c>
      <c r="E8416" t="str">
        <f>"$ 1,212"</f>
        <v>$ 1,212</v>
      </c>
      <c r="F8416">
        <v>173</v>
      </c>
    </row>
    <row r="8417" spans="1:6">
      <c r="A8417" t="s">
        <v>8369</v>
      </c>
      <c r="B8417" t="str">
        <f t="shared" si="335"/>
        <v>0.00016%</v>
      </c>
      <c r="C8417" t="s">
        <v>10</v>
      </c>
      <c r="D8417" t="s">
        <v>10</v>
      </c>
      <c r="E8417" t="str">
        <f>"$ 1,214"</f>
        <v>$ 1,214</v>
      </c>
      <c r="F8417">
        <v>40</v>
      </c>
    </row>
    <row r="8418" spans="1:6">
      <c r="A8418" t="s">
        <v>8370</v>
      </c>
      <c r="B8418" t="str">
        <f t="shared" si="335"/>
        <v>0.00016%</v>
      </c>
      <c r="C8418" t="s">
        <v>10</v>
      </c>
      <c r="D8418" t="s">
        <v>10</v>
      </c>
      <c r="E8418" t="str">
        <f>"$ 1,266"</f>
        <v>$ 1,266</v>
      </c>
      <c r="F8418">
        <v>564</v>
      </c>
    </row>
    <row r="8419" spans="1:6">
      <c r="A8419" t="s">
        <v>8371</v>
      </c>
      <c r="B8419" t="str">
        <f t="shared" si="335"/>
        <v>0.00016%</v>
      </c>
      <c r="C8419" t="s">
        <v>10</v>
      </c>
      <c r="D8419" t="s">
        <v>10</v>
      </c>
      <c r="E8419" t="str">
        <f>"$ 1,268"</f>
        <v>$ 1,268</v>
      </c>
      <c r="F8419">
        <v>66</v>
      </c>
    </row>
    <row r="8420" spans="1:6">
      <c r="A8420" t="s">
        <v>8372</v>
      </c>
      <c r="B8420" t="str">
        <f t="shared" si="335"/>
        <v>0.00016%</v>
      </c>
      <c r="C8420" t="s">
        <v>10</v>
      </c>
      <c r="D8420" t="s">
        <v>10</v>
      </c>
      <c r="E8420" t="str">
        <f>"$ 1,227"</f>
        <v>$ 1,227</v>
      </c>
      <c r="F8420">
        <v>6</v>
      </c>
    </row>
    <row r="8421" spans="1:6">
      <c r="A8421" t="s">
        <v>8373</v>
      </c>
      <c r="B8421" t="str">
        <f t="shared" si="335"/>
        <v>0.00016%</v>
      </c>
      <c r="C8421" t="s">
        <v>10</v>
      </c>
      <c r="D8421" t="s">
        <v>10</v>
      </c>
      <c r="E8421" t="str">
        <f>"$ 1,235"</f>
        <v>$ 1,235</v>
      </c>
      <c r="F8421">
        <v>895</v>
      </c>
    </row>
    <row r="8422" spans="1:6">
      <c r="A8422" t="s">
        <v>8374</v>
      </c>
      <c r="B8422" t="str">
        <f t="shared" si="335"/>
        <v>0.00016%</v>
      </c>
      <c r="C8422" t="s">
        <v>10</v>
      </c>
      <c r="D8422" t="s">
        <v>10</v>
      </c>
      <c r="E8422" t="str">
        <f>"$ 1,249"</f>
        <v>$ 1,249</v>
      </c>
      <c r="F8422">
        <v>282</v>
      </c>
    </row>
    <row r="8423" spans="1:6">
      <c r="A8423" t="s">
        <v>8375</v>
      </c>
      <c r="B8423" t="str">
        <f t="shared" si="335"/>
        <v>0.00016%</v>
      </c>
      <c r="C8423" t="s">
        <v>10</v>
      </c>
      <c r="D8423" t="s">
        <v>10</v>
      </c>
      <c r="E8423" t="str">
        <f>"$ 1,222"</f>
        <v>$ 1,222</v>
      </c>
      <c r="F8423" s="1">
        <v>1050</v>
      </c>
    </row>
    <row r="8424" spans="1:6">
      <c r="A8424" t="s">
        <v>8376</v>
      </c>
      <c r="B8424" t="str">
        <f t="shared" si="335"/>
        <v>0.00016%</v>
      </c>
      <c r="C8424" t="s">
        <v>10</v>
      </c>
      <c r="D8424" t="s">
        <v>10</v>
      </c>
      <c r="E8424" t="str">
        <f>"$ 1,213"</f>
        <v>$ 1,213</v>
      </c>
      <c r="F8424">
        <v>315</v>
      </c>
    </row>
    <row r="8425" spans="1:6">
      <c r="A8425" t="s">
        <v>8377</v>
      </c>
      <c r="B8425" t="str">
        <f t="shared" si="335"/>
        <v>0.00016%</v>
      </c>
      <c r="C8425" t="s">
        <v>10</v>
      </c>
      <c r="D8425" t="s">
        <v>10</v>
      </c>
      <c r="E8425" t="str">
        <f>"$ 1,209"</f>
        <v>$ 1,209</v>
      </c>
      <c r="F8425">
        <v>115</v>
      </c>
    </row>
    <row r="8426" spans="1:6">
      <c r="A8426" t="s">
        <v>8378</v>
      </c>
      <c r="B8426" t="str">
        <f t="shared" si="335"/>
        <v>0.00016%</v>
      </c>
      <c r="C8426" t="s">
        <v>10</v>
      </c>
      <c r="D8426" t="s">
        <v>10</v>
      </c>
      <c r="E8426" t="str">
        <f>"$ 1,235"</f>
        <v>$ 1,235</v>
      </c>
      <c r="F8426" s="1">
        <v>2309</v>
      </c>
    </row>
    <row r="8427" spans="1:6">
      <c r="A8427" t="s">
        <v>8379</v>
      </c>
      <c r="B8427" t="str">
        <f t="shared" si="335"/>
        <v>0.00016%</v>
      </c>
      <c r="C8427" t="s">
        <v>10</v>
      </c>
      <c r="D8427" t="s">
        <v>10</v>
      </c>
      <c r="E8427" t="str">
        <f>"$ 1,240"</f>
        <v>$ 1,240</v>
      </c>
      <c r="F8427">
        <v>571</v>
      </c>
    </row>
    <row r="8428" spans="1:6">
      <c r="A8428" t="s">
        <v>8380</v>
      </c>
      <c r="B8428" t="str">
        <f t="shared" si="335"/>
        <v>0.00016%</v>
      </c>
      <c r="C8428" t="s">
        <v>10</v>
      </c>
      <c r="D8428" t="s">
        <v>10</v>
      </c>
      <c r="E8428" t="str">
        <f>"$ 1,236"</f>
        <v>$ 1,236</v>
      </c>
      <c r="F8428">
        <v>441</v>
      </c>
    </row>
    <row r="8429" spans="1:6">
      <c r="A8429" t="s">
        <v>8381</v>
      </c>
      <c r="B8429" t="str">
        <f t="shared" si="335"/>
        <v>0.00016%</v>
      </c>
      <c r="C8429" t="s">
        <v>10</v>
      </c>
      <c r="D8429" t="s">
        <v>10</v>
      </c>
      <c r="E8429" t="str">
        <f>"$ 1,239"</f>
        <v>$ 1,239</v>
      </c>
      <c r="F8429">
        <v>55</v>
      </c>
    </row>
    <row r="8430" spans="1:6">
      <c r="A8430" t="s">
        <v>8382</v>
      </c>
      <c r="B8430" t="str">
        <f t="shared" ref="B8430:B8461" si="336">"0.00016%"</f>
        <v>0.00016%</v>
      </c>
      <c r="C8430" t="s">
        <v>10</v>
      </c>
      <c r="D8430" t="s">
        <v>10</v>
      </c>
      <c r="E8430" t="str">
        <f>"$ 1,273"</f>
        <v>$ 1,273</v>
      </c>
      <c r="F8430">
        <v>99</v>
      </c>
    </row>
    <row r="8431" spans="1:6">
      <c r="A8431" t="s">
        <v>8383</v>
      </c>
      <c r="B8431" t="str">
        <f t="shared" si="336"/>
        <v>0.00016%</v>
      </c>
      <c r="C8431" t="s">
        <v>10</v>
      </c>
      <c r="D8431" t="s">
        <v>10</v>
      </c>
      <c r="E8431" t="str">
        <f>"$ 1,229"</f>
        <v>$ 1,229</v>
      </c>
      <c r="F8431">
        <v>370</v>
      </c>
    </row>
    <row r="8432" spans="1:6">
      <c r="A8432" t="s">
        <v>8384</v>
      </c>
      <c r="B8432" t="str">
        <f t="shared" si="336"/>
        <v>0.00016%</v>
      </c>
      <c r="C8432" t="s">
        <v>10</v>
      </c>
      <c r="D8432" t="s">
        <v>10</v>
      </c>
      <c r="E8432" t="str">
        <f>"$ 1,268"</f>
        <v>$ 1,268</v>
      </c>
      <c r="F8432">
        <v>32</v>
      </c>
    </row>
    <row r="8433" spans="1:6">
      <c r="A8433" t="s">
        <v>8385</v>
      </c>
      <c r="B8433" t="str">
        <f t="shared" si="336"/>
        <v>0.00016%</v>
      </c>
      <c r="C8433" t="s">
        <v>10</v>
      </c>
      <c r="D8433" t="s">
        <v>10</v>
      </c>
      <c r="E8433" t="str">
        <f>"$ 1,232"</f>
        <v>$ 1,232</v>
      </c>
      <c r="F8433">
        <v>144</v>
      </c>
    </row>
    <row r="8434" spans="1:6">
      <c r="A8434" t="s">
        <v>8386</v>
      </c>
      <c r="B8434" t="str">
        <f t="shared" si="336"/>
        <v>0.00016%</v>
      </c>
      <c r="C8434" t="s">
        <v>10</v>
      </c>
      <c r="D8434" t="s">
        <v>10</v>
      </c>
      <c r="E8434" t="str">
        <f>"$ 1,220"</f>
        <v>$ 1,220</v>
      </c>
      <c r="F8434">
        <v>735</v>
      </c>
    </row>
    <row r="8435" spans="1:6">
      <c r="A8435" t="s">
        <v>8387</v>
      </c>
      <c r="B8435" t="str">
        <f t="shared" si="336"/>
        <v>0.00016%</v>
      </c>
      <c r="C8435" t="s">
        <v>10</v>
      </c>
      <c r="D8435" t="s">
        <v>10</v>
      </c>
      <c r="E8435" t="str">
        <f>"$ 1,198"</f>
        <v>$ 1,198</v>
      </c>
      <c r="F8435" s="1">
        <v>1001</v>
      </c>
    </row>
    <row r="8436" spans="1:6">
      <c r="A8436" t="s">
        <v>8388</v>
      </c>
      <c r="B8436" t="str">
        <f t="shared" si="336"/>
        <v>0.00016%</v>
      </c>
      <c r="C8436" t="s">
        <v>10</v>
      </c>
      <c r="D8436" t="s">
        <v>10</v>
      </c>
      <c r="E8436" t="str">
        <f>"$ 1,226"</f>
        <v>$ 1,226</v>
      </c>
      <c r="F8436">
        <v>48</v>
      </c>
    </row>
    <row r="8437" spans="1:6">
      <c r="A8437" t="s">
        <v>8389</v>
      </c>
      <c r="B8437" t="str">
        <f t="shared" si="336"/>
        <v>0.00016%</v>
      </c>
      <c r="C8437" t="s">
        <v>10</v>
      </c>
      <c r="D8437" t="s">
        <v>10</v>
      </c>
      <c r="E8437" t="str">
        <f>"$ 1,233"</f>
        <v>$ 1,233</v>
      </c>
      <c r="F8437">
        <v>207</v>
      </c>
    </row>
    <row r="8438" spans="1:6">
      <c r="A8438" t="s">
        <v>8390</v>
      </c>
      <c r="B8438" t="str">
        <f t="shared" si="336"/>
        <v>0.00016%</v>
      </c>
      <c r="C8438" t="s">
        <v>10</v>
      </c>
      <c r="D8438" t="s">
        <v>10</v>
      </c>
      <c r="E8438" t="str">
        <f>"$ 1,244"</f>
        <v>$ 1,244</v>
      </c>
      <c r="F8438">
        <v>248</v>
      </c>
    </row>
    <row r="8439" spans="1:6">
      <c r="A8439" t="s">
        <v>8391</v>
      </c>
      <c r="B8439" t="str">
        <f t="shared" si="336"/>
        <v>0.00016%</v>
      </c>
      <c r="C8439" t="s">
        <v>10</v>
      </c>
      <c r="D8439" t="s">
        <v>10</v>
      </c>
      <c r="E8439" t="str">
        <f>"$ 1,234"</f>
        <v>$ 1,234</v>
      </c>
      <c r="F8439">
        <v>167</v>
      </c>
    </row>
    <row r="8440" spans="1:6">
      <c r="A8440" t="s">
        <v>8392</v>
      </c>
      <c r="B8440" t="str">
        <f t="shared" si="336"/>
        <v>0.00016%</v>
      </c>
      <c r="C8440" t="s">
        <v>10</v>
      </c>
      <c r="D8440" t="s">
        <v>10</v>
      </c>
      <c r="E8440" t="str">
        <f>"$ 1,269"</f>
        <v>$ 1,269</v>
      </c>
      <c r="F8440">
        <v>403</v>
      </c>
    </row>
    <row r="8441" spans="1:6">
      <c r="A8441" t="s">
        <v>8393</v>
      </c>
      <c r="B8441" t="str">
        <f t="shared" si="336"/>
        <v>0.00016%</v>
      </c>
      <c r="C8441" t="s">
        <v>10</v>
      </c>
      <c r="D8441" t="s">
        <v>10</v>
      </c>
      <c r="E8441" t="str">
        <f>"$ 1,272"</f>
        <v>$ 1,272</v>
      </c>
      <c r="F8441">
        <v>77</v>
      </c>
    </row>
    <row r="8442" spans="1:6">
      <c r="A8442" t="s">
        <v>8394</v>
      </c>
      <c r="B8442" t="str">
        <f t="shared" si="336"/>
        <v>0.00016%</v>
      </c>
      <c r="C8442" t="s">
        <v>10</v>
      </c>
      <c r="D8442" t="s">
        <v>10</v>
      </c>
      <c r="E8442" t="str">
        <f>"$ 1,257"</f>
        <v>$ 1,257</v>
      </c>
      <c r="F8442">
        <v>658</v>
      </c>
    </row>
    <row r="8443" spans="1:6">
      <c r="A8443" t="s">
        <v>8395</v>
      </c>
      <c r="B8443" t="str">
        <f t="shared" si="336"/>
        <v>0.00016%</v>
      </c>
      <c r="C8443" t="s">
        <v>10</v>
      </c>
      <c r="D8443" t="s">
        <v>10</v>
      </c>
      <c r="E8443" t="str">
        <f>"$ 1,274"</f>
        <v>$ 1,274</v>
      </c>
      <c r="F8443" s="1">
        <v>14819</v>
      </c>
    </row>
    <row r="8444" spans="1:6">
      <c r="A8444" t="s">
        <v>8396</v>
      </c>
      <c r="B8444" t="str">
        <f t="shared" si="336"/>
        <v>0.00016%</v>
      </c>
      <c r="C8444" t="s">
        <v>10</v>
      </c>
      <c r="D8444" t="s">
        <v>10</v>
      </c>
      <c r="E8444" t="str">
        <f>"$ 1,208"</f>
        <v>$ 1,208</v>
      </c>
      <c r="F8444">
        <v>411</v>
      </c>
    </row>
    <row r="8445" spans="1:6">
      <c r="A8445" t="s">
        <v>8397</v>
      </c>
      <c r="B8445" t="str">
        <f t="shared" si="336"/>
        <v>0.00016%</v>
      </c>
      <c r="C8445" t="s">
        <v>10</v>
      </c>
      <c r="D8445" t="s">
        <v>10</v>
      </c>
      <c r="E8445" t="str">
        <f>"$ 1,209"</f>
        <v>$ 1,209</v>
      </c>
      <c r="F8445" s="1">
        <v>3838</v>
      </c>
    </row>
    <row r="8446" spans="1:6">
      <c r="A8446" t="s">
        <v>8398</v>
      </c>
      <c r="B8446" t="str">
        <f t="shared" si="336"/>
        <v>0.00016%</v>
      </c>
      <c r="C8446" t="s">
        <v>10</v>
      </c>
      <c r="D8446" t="s">
        <v>10</v>
      </c>
      <c r="E8446" t="str">
        <f>"$ 1,222"</f>
        <v>$ 1,222</v>
      </c>
      <c r="F8446" s="1">
        <v>3299</v>
      </c>
    </row>
    <row r="8447" spans="1:6">
      <c r="A8447" t="s">
        <v>8399</v>
      </c>
      <c r="B8447" t="str">
        <f t="shared" si="336"/>
        <v>0.00016%</v>
      </c>
      <c r="C8447" t="s">
        <v>10</v>
      </c>
      <c r="D8447" t="s">
        <v>10</v>
      </c>
      <c r="E8447" t="str">
        <f>"$ 1,253"</f>
        <v>$ 1,253</v>
      </c>
      <c r="F8447">
        <v>167</v>
      </c>
    </row>
    <row r="8448" spans="1:6">
      <c r="A8448" t="s">
        <v>8400</v>
      </c>
      <c r="B8448" t="str">
        <f t="shared" si="336"/>
        <v>0.00016%</v>
      </c>
      <c r="C8448" t="s">
        <v>10</v>
      </c>
      <c r="D8448" t="s">
        <v>10</v>
      </c>
      <c r="E8448" t="str">
        <f>"$ 1,239"</f>
        <v>$ 1,239</v>
      </c>
      <c r="F8448">
        <v>588</v>
      </c>
    </row>
    <row r="8449" spans="1:6">
      <c r="A8449" t="s">
        <v>8401</v>
      </c>
      <c r="B8449" t="str">
        <f t="shared" si="336"/>
        <v>0.00016%</v>
      </c>
      <c r="C8449" t="s">
        <v>10</v>
      </c>
      <c r="D8449" t="s">
        <v>10</v>
      </c>
      <c r="E8449" t="str">
        <f>"$ 1,219"</f>
        <v>$ 1,219</v>
      </c>
      <c r="F8449">
        <v>148</v>
      </c>
    </row>
    <row r="8450" spans="1:6">
      <c r="A8450" t="s">
        <v>8402</v>
      </c>
      <c r="B8450" t="str">
        <f t="shared" si="336"/>
        <v>0.00016%</v>
      </c>
      <c r="C8450" t="s">
        <v>10</v>
      </c>
      <c r="D8450" t="s">
        <v>10</v>
      </c>
      <c r="E8450" t="str">
        <f>"$ 1,244"</f>
        <v>$ 1,244</v>
      </c>
      <c r="F8450">
        <v>111</v>
      </c>
    </row>
    <row r="8451" spans="1:6">
      <c r="A8451" t="s">
        <v>8403</v>
      </c>
      <c r="B8451" t="str">
        <f t="shared" si="336"/>
        <v>0.00016%</v>
      </c>
      <c r="C8451" t="s">
        <v>10</v>
      </c>
      <c r="D8451" t="s">
        <v>10</v>
      </c>
      <c r="E8451" t="str">
        <f>"$ 1,238"</f>
        <v>$ 1,238</v>
      </c>
      <c r="F8451">
        <v>66</v>
      </c>
    </row>
    <row r="8452" spans="1:6">
      <c r="A8452" t="s">
        <v>8404</v>
      </c>
      <c r="B8452" t="str">
        <f t="shared" si="336"/>
        <v>0.00016%</v>
      </c>
      <c r="C8452" t="s">
        <v>10</v>
      </c>
      <c r="D8452" t="s">
        <v>10</v>
      </c>
      <c r="E8452" t="str">
        <f>"$ 1,244"</f>
        <v>$ 1,244</v>
      </c>
      <c r="F8452">
        <v>328</v>
      </c>
    </row>
    <row r="8453" spans="1:6">
      <c r="A8453" t="s">
        <v>4902</v>
      </c>
      <c r="B8453" t="str">
        <f t="shared" si="336"/>
        <v>0.00016%</v>
      </c>
      <c r="C8453" t="s">
        <v>10</v>
      </c>
      <c r="D8453" t="s">
        <v>10</v>
      </c>
      <c r="E8453" t="str">
        <f>"$ 1,225"</f>
        <v>$ 1,225</v>
      </c>
      <c r="F8453">
        <v>79</v>
      </c>
    </row>
    <row r="8454" spans="1:6">
      <c r="A8454" t="s">
        <v>7165</v>
      </c>
      <c r="B8454" t="str">
        <f t="shared" si="336"/>
        <v>0.00016%</v>
      </c>
      <c r="C8454" t="s">
        <v>10</v>
      </c>
      <c r="D8454" t="s">
        <v>10</v>
      </c>
      <c r="E8454" t="str">
        <f>"$ 1,272"</f>
        <v>$ 1,272</v>
      </c>
      <c r="F8454">
        <v>947</v>
      </c>
    </row>
    <row r="8455" spans="1:6">
      <c r="A8455" t="s">
        <v>8405</v>
      </c>
      <c r="B8455" t="str">
        <f t="shared" si="336"/>
        <v>0.00016%</v>
      </c>
      <c r="C8455" t="s">
        <v>10</v>
      </c>
      <c r="D8455" t="s">
        <v>10</v>
      </c>
      <c r="E8455" t="str">
        <f>"$ 1,199"</f>
        <v>$ 1,199</v>
      </c>
      <c r="F8455" s="1">
        <v>2223</v>
      </c>
    </row>
    <row r="8456" spans="1:6">
      <c r="A8456" t="s">
        <v>8406</v>
      </c>
      <c r="B8456" t="str">
        <f t="shared" si="336"/>
        <v>0.00016%</v>
      </c>
      <c r="C8456" t="s">
        <v>10</v>
      </c>
      <c r="D8456" t="s">
        <v>10</v>
      </c>
      <c r="E8456" t="str">
        <f>"$ 1,245"</f>
        <v>$ 1,245</v>
      </c>
      <c r="F8456" s="1">
        <v>1037</v>
      </c>
    </row>
    <row r="8457" spans="1:6">
      <c r="A8457" t="s">
        <v>8407</v>
      </c>
      <c r="B8457" t="str">
        <f t="shared" si="336"/>
        <v>0.00016%</v>
      </c>
      <c r="C8457" t="s">
        <v>10</v>
      </c>
      <c r="D8457" t="s">
        <v>10</v>
      </c>
      <c r="E8457" t="str">
        <f>"$ 1,241"</f>
        <v>$ 1,241</v>
      </c>
      <c r="F8457">
        <v>704</v>
      </c>
    </row>
    <row r="8458" spans="1:6">
      <c r="A8458" t="s">
        <v>8407</v>
      </c>
      <c r="B8458" t="str">
        <f t="shared" si="336"/>
        <v>0.00016%</v>
      </c>
      <c r="C8458" t="s">
        <v>10</v>
      </c>
      <c r="D8458" t="s">
        <v>10</v>
      </c>
      <c r="E8458" t="str">
        <f>"$ 1,236"</f>
        <v>$ 1,236</v>
      </c>
      <c r="F8458">
        <v>701</v>
      </c>
    </row>
    <row r="8459" spans="1:6">
      <c r="A8459" t="s">
        <v>8408</v>
      </c>
      <c r="B8459" t="str">
        <f t="shared" si="336"/>
        <v>0.00016%</v>
      </c>
      <c r="C8459" t="s">
        <v>10</v>
      </c>
      <c r="D8459" t="s">
        <v>10</v>
      </c>
      <c r="E8459" t="str">
        <f>"$ 1,237"</f>
        <v>$ 1,237</v>
      </c>
      <c r="F8459" s="1">
        <v>1823</v>
      </c>
    </row>
    <row r="8460" spans="1:6">
      <c r="A8460" t="s">
        <v>8409</v>
      </c>
      <c r="B8460" t="str">
        <f t="shared" si="336"/>
        <v>0.00016%</v>
      </c>
      <c r="C8460" t="s">
        <v>10</v>
      </c>
      <c r="D8460" t="s">
        <v>10</v>
      </c>
      <c r="E8460" t="str">
        <f>"$ 1,258"</f>
        <v>$ 1,258</v>
      </c>
      <c r="F8460" s="1">
        <v>1389</v>
      </c>
    </row>
    <row r="8461" spans="1:6">
      <c r="A8461" t="s">
        <v>8410</v>
      </c>
      <c r="B8461" t="str">
        <f t="shared" si="336"/>
        <v>0.00016%</v>
      </c>
      <c r="C8461" t="s">
        <v>10</v>
      </c>
      <c r="D8461" t="s">
        <v>10</v>
      </c>
      <c r="E8461" t="str">
        <f>"$ 1,216"</f>
        <v>$ 1,216</v>
      </c>
      <c r="F8461" s="1">
        <v>3976</v>
      </c>
    </row>
    <row r="8462" spans="1:6">
      <c r="A8462" t="s">
        <v>8411</v>
      </c>
      <c r="B8462" t="str">
        <f t="shared" ref="B8462:B8479" si="337">"0.00016%"</f>
        <v>0.00016%</v>
      </c>
      <c r="C8462" t="s">
        <v>10</v>
      </c>
      <c r="D8462" t="s">
        <v>10</v>
      </c>
      <c r="E8462" t="str">
        <f>"$ 1,201"</f>
        <v>$ 1,201</v>
      </c>
      <c r="F8462" s="1">
        <v>3202</v>
      </c>
    </row>
    <row r="8463" spans="1:6">
      <c r="A8463" t="s">
        <v>8412</v>
      </c>
      <c r="B8463" t="str">
        <f t="shared" si="337"/>
        <v>0.00016%</v>
      </c>
      <c r="C8463" t="s">
        <v>10</v>
      </c>
      <c r="D8463" t="s">
        <v>10</v>
      </c>
      <c r="E8463" t="str">
        <f>"$ 1,258"</f>
        <v>$ 1,258</v>
      </c>
      <c r="F8463">
        <v>37</v>
      </c>
    </row>
    <row r="8464" spans="1:6">
      <c r="A8464" t="s">
        <v>8413</v>
      </c>
      <c r="B8464" t="str">
        <f t="shared" si="337"/>
        <v>0.00016%</v>
      </c>
      <c r="C8464" t="s">
        <v>10</v>
      </c>
      <c r="D8464" t="s">
        <v>10</v>
      </c>
      <c r="E8464" t="str">
        <f>"$ 1,262"</f>
        <v>$ 1,262</v>
      </c>
      <c r="F8464">
        <v>51</v>
      </c>
    </row>
    <row r="8465" spans="1:6">
      <c r="A8465" t="s">
        <v>8414</v>
      </c>
      <c r="B8465" t="str">
        <f t="shared" si="337"/>
        <v>0.00016%</v>
      </c>
      <c r="C8465" t="s">
        <v>10</v>
      </c>
      <c r="D8465" t="s">
        <v>10</v>
      </c>
      <c r="E8465" t="str">
        <f>"$ 1,265"</f>
        <v>$ 1,265</v>
      </c>
      <c r="F8465">
        <v>854</v>
      </c>
    </row>
    <row r="8466" spans="1:6">
      <c r="A8466" t="s">
        <v>8415</v>
      </c>
      <c r="B8466" t="str">
        <f t="shared" si="337"/>
        <v>0.00016%</v>
      </c>
      <c r="C8466" t="s">
        <v>10</v>
      </c>
      <c r="D8466" t="s">
        <v>10</v>
      </c>
      <c r="E8466" t="str">
        <f>"$ 1,252"</f>
        <v>$ 1,252</v>
      </c>
      <c r="F8466">
        <v>58</v>
      </c>
    </row>
    <row r="8467" spans="1:6">
      <c r="A8467" t="s">
        <v>8416</v>
      </c>
      <c r="B8467" t="str">
        <f t="shared" si="337"/>
        <v>0.00016%</v>
      </c>
      <c r="C8467" t="s">
        <v>10</v>
      </c>
      <c r="D8467" t="s">
        <v>10</v>
      </c>
      <c r="E8467" t="str">
        <f>"$ 1,219"</f>
        <v>$ 1,219</v>
      </c>
      <c r="F8467">
        <v>384</v>
      </c>
    </row>
    <row r="8468" spans="1:6">
      <c r="A8468" t="s">
        <v>8417</v>
      </c>
      <c r="B8468" t="str">
        <f t="shared" si="337"/>
        <v>0.00016%</v>
      </c>
      <c r="C8468" t="s">
        <v>10</v>
      </c>
      <c r="D8468" t="s">
        <v>10</v>
      </c>
      <c r="E8468" t="str">
        <f>"$ 1,237"</f>
        <v>$ 1,237</v>
      </c>
      <c r="F8468">
        <v>297</v>
      </c>
    </row>
    <row r="8469" spans="1:6">
      <c r="A8469" t="s">
        <v>8418</v>
      </c>
      <c r="B8469" t="str">
        <f t="shared" si="337"/>
        <v>0.00016%</v>
      </c>
      <c r="C8469" t="s">
        <v>10</v>
      </c>
      <c r="D8469" t="s">
        <v>10</v>
      </c>
      <c r="E8469" t="str">
        <f>"$ 1,274"</f>
        <v>$ 1,274</v>
      </c>
      <c r="F8469">
        <v>424</v>
      </c>
    </row>
    <row r="8470" spans="1:6">
      <c r="A8470" t="s">
        <v>8419</v>
      </c>
      <c r="B8470" t="str">
        <f t="shared" si="337"/>
        <v>0.00016%</v>
      </c>
      <c r="C8470" t="s">
        <v>10</v>
      </c>
      <c r="D8470" t="s">
        <v>10</v>
      </c>
      <c r="E8470" t="str">
        <f>"$ 1,240"</f>
        <v>$ 1,240</v>
      </c>
      <c r="F8470">
        <v>280</v>
      </c>
    </row>
    <row r="8471" spans="1:6">
      <c r="A8471" t="s">
        <v>8420</v>
      </c>
      <c r="B8471" t="str">
        <f t="shared" si="337"/>
        <v>0.00016%</v>
      </c>
      <c r="C8471" t="s">
        <v>10</v>
      </c>
      <c r="D8471" t="s">
        <v>10</v>
      </c>
      <c r="E8471" t="str">
        <f>"$ 1,244"</f>
        <v>$ 1,244</v>
      </c>
      <c r="F8471">
        <v>75</v>
      </c>
    </row>
    <row r="8472" spans="1:6">
      <c r="A8472" t="s">
        <v>8421</v>
      </c>
      <c r="B8472" t="str">
        <f t="shared" si="337"/>
        <v>0.00016%</v>
      </c>
      <c r="C8472" t="s">
        <v>10</v>
      </c>
      <c r="D8472" t="s">
        <v>10</v>
      </c>
      <c r="E8472" t="str">
        <f>"$ 1,257"</f>
        <v>$ 1,257</v>
      </c>
      <c r="F8472">
        <v>191</v>
      </c>
    </row>
    <row r="8473" spans="1:6">
      <c r="A8473" t="s">
        <v>8422</v>
      </c>
      <c r="B8473" t="str">
        <f t="shared" si="337"/>
        <v>0.00016%</v>
      </c>
      <c r="C8473" t="s">
        <v>10</v>
      </c>
      <c r="D8473" t="s">
        <v>10</v>
      </c>
      <c r="E8473" t="str">
        <f>"$ 1,204"</f>
        <v>$ 1,204</v>
      </c>
      <c r="F8473" s="1">
        <v>2900</v>
      </c>
    </row>
    <row r="8474" spans="1:6">
      <c r="A8474" t="s">
        <v>8423</v>
      </c>
      <c r="B8474" t="str">
        <f t="shared" si="337"/>
        <v>0.00016%</v>
      </c>
      <c r="C8474" t="s">
        <v>10</v>
      </c>
      <c r="D8474" t="s">
        <v>10</v>
      </c>
      <c r="E8474" t="str">
        <f>"$ 1,225"</f>
        <v>$ 1,225</v>
      </c>
      <c r="F8474">
        <v>44</v>
      </c>
    </row>
    <row r="8475" spans="1:6">
      <c r="A8475" t="s">
        <v>8424</v>
      </c>
      <c r="B8475" t="str">
        <f t="shared" si="337"/>
        <v>0.00016%</v>
      </c>
      <c r="C8475" t="s">
        <v>10</v>
      </c>
      <c r="D8475" t="s">
        <v>10</v>
      </c>
      <c r="E8475" t="str">
        <f>"$ 1,221"</f>
        <v>$ 1,221</v>
      </c>
      <c r="F8475">
        <v>672</v>
      </c>
    </row>
    <row r="8476" spans="1:6">
      <c r="A8476" t="s">
        <v>8425</v>
      </c>
      <c r="B8476" t="str">
        <f t="shared" si="337"/>
        <v>0.00016%</v>
      </c>
      <c r="C8476" t="s">
        <v>10</v>
      </c>
      <c r="D8476" t="s">
        <v>10</v>
      </c>
      <c r="E8476" t="str">
        <f>"$ 1,264"</f>
        <v>$ 1,264</v>
      </c>
      <c r="F8476" s="1">
        <v>1158</v>
      </c>
    </row>
    <row r="8477" spans="1:6">
      <c r="A8477" t="s">
        <v>8426</v>
      </c>
      <c r="B8477" t="str">
        <f t="shared" si="337"/>
        <v>0.00016%</v>
      </c>
      <c r="C8477" t="s">
        <v>10</v>
      </c>
      <c r="D8477" t="s">
        <v>10</v>
      </c>
      <c r="E8477" t="str">
        <f>"$ 1,234"</f>
        <v>$ 1,234</v>
      </c>
      <c r="F8477" s="1">
        <v>1486</v>
      </c>
    </row>
    <row r="8478" spans="1:6">
      <c r="A8478" t="s">
        <v>8427</v>
      </c>
      <c r="B8478" t="str">
        <f t="shared" si="337"/>
        <v>0.00016%</v>
      </c>
      <c r="C8478" t="s">
        <v>10</v>
      </c>
      <c r="D8478" t="s">
        <v>10</v>
      </c>
      <c r="E8478" t="str">
        <f>"$ 1,254"</f>
        <v>$ 1,254</v>
      </c>
      <c r="F8478" s="1">
        <v>4559</v>
      </c>
    </row>
    <row r="8479" spans="1:6">
      <c r="A8479" t="s">
        <v>8428</v>
      </c>
      <c r="B8479" t="str">
        <f t="shared" si="337"/>
        <v>0.00016%</v>
      </c>
      <c r="C8479" t="s">
        <v>10</v>
      </c>
      <c r="D8479" t="s">
        <v>10</v>
      </c>
      <c r="E8479" t="str">
        <f>"$ 1,274"</f>
        <v>$ 1,274</v>
      </c>
      <c r="F8479">
        <v>208</v>
      </c>
    </row>
    <row r="8480" spans="1:6">
      <c r="A8480" t="s">
        <v>8429</v>
      </c>
      <c r="B8480" t="str">
        <f t="shared" ref="B8480:B8511" si="338">"0.00015%"</f>
        <v>0.00015%</v>
      </c>
      <c r="C8480" t="s">
        <v>10</v>
      </c>
      <c r="D8480" t="s">
        <v>10</v>
      </c>
      <c r="E8480" t="str">
        <f>"$ 1,148"</f>
        <v>$ 1,148</v>
      </c>
      <c r="F8480">
        <v>47</v>
      </c>
    </row>
    <row r="8481" spans="1:6">
      <c r="A8481" t="s">
        <v>8430</v>
      </c>
      <c r="B8481" t="str">
        <f t="shared" si="338"/>
        <v>0.00015%</v>
      </c>
      <c r="C8481" t="s">
        <v>10</v>
      </c>
      <c r="D8481" t="s">
        <v>10</v>
      </c>
      <c r="E8481" t="str">
        <f>"$ 1,177"</f>
        <v>$ 1,177</v>
      </c>
      <c r="F8481" s="1">
        <v>2712</v>
      </c>
    </row>
    <row r="8482" spans="1:6">
      <c r="A8482" t="s">
        <v>8431</v>
      </c>
      <c r="B8482" t="str">
        <f t="shared" si="338"/>
        <v>0.00015%</v>
      </c>
      <c r="C8482" t="s">
        <v>10</v>
      </c>
      <c r="D8482" t="s">
        <v>10</v>
      </c>
      <c r="E8482" t="str">
        <f>"$ 1,151"</f>
        <v>$ 1,151</v>
      </c>
      <c r="F8482">
        <v>494</v>
      </c>
    </row>
    <row r="8483" spans="1:6">
      <c r="A8483" t="s">
        <v>8432</v>
      </c>
      <c r="B8483" t="str">
        <f t="shared" si="338"/>
        <v>0.00015%</v>
      </c>
      <c r="C8483" t="s">
        <v>10</v>
      </c>
      <c r="D8483" t="s">
        <v>10</v>
      </c>
      <c r="E8483" t="str">
        <f>"$ 1,132"</f>
        <v>$ 1,132</v>
      </c>
      <c r="F8483">
        <v>66</v>
      </c>
    </row>
    <row r="8484" spans="1:6">
      <c r="A8484" t="s">
        <v>8433</v>
      </c>
      <c r="B8484" t="str">
        <f t="shared" si="338"/>
        <v>0.00015%</v>
      </c>
      <c r="C8484" t="s">
        <v>10</v>
      </c>
      <c r="D8484" t="s">
        <v>10</v>
      </c>
      <c r="E8484" t="str">
        <f>"$ 1,125"</f>
        <v>$ 1,125</v>
      </c>
      <c r="F8484">
        <v>37</v>
      </c>
    </row>
    <row r="8485" spans="1:6">
      <c r="A8485" t="s">
        <v>8434</v>
      </c>
      <c r="B8485" t="str">
        <f t="shared" si="338"/>
        <v>0.00015%</v>
      </c>
      <c r="C8485" t="s">
        <v>10</v>
      </c>
      <c r="D8485" t="s">
        <v>10</v>
      </c>
      <c r="E8485" t="str">
        <f>"$ 1,177"</f>
        <v>$ 1,177</v>
      </c>
      <c r="F8485">
        <v>49</v>
      </c>
    </row>
    <row r="8486" spans="1:6">
      <c r="A8486" t="s">
        <v>8435</v>
      </c>
      <c r="B8486" t="str">
        <f t="shared" si="338"/>
        <v>0.00015%</v>
      </c>
      <c r="C8486" t="s">
        <v>10</v>
      </c>
      <c r="D8486" t="s">
        <v>10</v>
      </c>
      <c r="E8486" t="str">
        <f>"$ 1,185"</f>
        <v>$ 1,185</v>
      </c>
      <c r="F8486">
        <v>153</v>
      </c>
    </row>
    <row r="8487" spans="1:6">
      <c r="A8487" t="s">
        <v>8436</v>
      </c>
      <c r="B8487" t="str">
        <f t="shared" si="338"/>
        <v>0.00015%</v>
      </c>
      <c r="C8487" t="s">
        <v>10</v>
      </c>
      <c r="D8487" t="s">
        <v>10</v>
      </c>
      <c r="E8487" t="str">
        <f>"$ 1,194"</f>
        <v>$ 1,194</v>
      </c>
      <c r="F8487">
        <v>66</v>
      </c>
    </row>
    <row r="8488" spans="1:6">
      <c r="A8488" t="s">
        <v>8437</v>
      </c>
      <c r="B8488" t="str">
        <f t="shared" si="338"/>
        <v>0.00015%</v>
      </c>
      <c r="C8488" t="s">
        <v>10</v>
      </c>
      <c r="D8488" t="s">
        <v>10</v>
      </c>
      <c r="E8488" t="str">
        <f>"$ 1,148"</f>
        <v>$ 1,148</v>
      </c>
      <c r="F8488" s="1">
        <v>2971</v>
      </c>
    </row>
    <row r="8489" spans="1:6">
      <c r="A8489" t="s">
        <v>5816</v>
      </c>
      <c r="B8489" t="str">
        <f t="shared" si="338"/>
        <v>0.00015%</v>
      </c>
      <c r="C8489" t="s">
        <v>10</v>
      </c>
      <c r="D8489" t="s">
        <v>10</v>
      </c>
      <c r="E8489" t="str">
        <f>"$ 1,130"</f>
        <v>$ 1,130</v>
      </c>
      <c r="F8489">
        <v>792</v>
      </c>
    </row>
    <row r="8490" spans="1:6">
      <c r="A8490" t="s">
        <v>8438</v>
      </c>
      <c r="B8490" t="str">
        <f t="shared" si="338"/>
        <v>0.00015%</v>
      </c>
      <c r="C8490" t="s">
        <v>10</v>
      </c>
      <c r="D8490" t="s">
        <v>10</v>
      </c>
      <c r="E8490" t="str">
        <f>"$ 1,145"</f>
        <v>$ 1,145</v>
      </c>
      <c r="F8490" s="1">
        <v>20947</v>
      </c>
    </row>
    <row r="8491" spans="1:6">
      <c r="A8491" t="s">
        <v>8439</v>
      </c>
      <c r="B8491" t="str">
        <f t="shared" si="338"/>
        <v>0.00015%</v>
      </c>
      <c r="C8491" t="s">
        <v>10</v>
      </c>
      <c r="D8491" t="s">
        <v>10</v>
      </c>
      <c r="E8491" t="str">
        <f>"$ 1,156"</f>
        <v>$ 1,156</v>
      </c>
      <c r="F8491">
        <v>412</v>
      </c>
    </row>
    <row r="8492" spans="1:6">
      <c r="A8492" t="s">
        <v>8440</v>
      </c>
      <c r="B8492" t="str">
        <f t="shared" si="338"/>
        <v>0.00015%</v>
      </c>
      <c r="C8492" t="s">
        <v>10</v>
      </c>
      <c r="D8492" t="s">
        <v>10</v>
      </c>
      <c r="E8492" t="str">
        <f>"$ 1,166"</f>
        <v>$ 1,166</v>
      </c>
      <c r="F8492">
        <v>16</v>
      </c>
    </row>
    <row r="8493" spans="1:6">
      <c r="A8493" t="s">
        <v>8441</v>
      </c>
      <c r="B8493" t="str">
        <f t="shared" si="338"/>
        <v>0.00015%</v>
      </c>
      <c r="C8493" t="s">
        <v>10</v>
      </c>
      <c r="D8493" t="s">
        <v>10</v>
      </c>
      <c r="E8493" t="str">
        <f>"$ 1,129"</f>
        <v>$ 1,129</v>
      </c>
      <c r="F8493">
        <v>289</v>
      </c>
    </row>
    <row r="8494" spans="1:6">
      <c r="A8494" t="s">
        <v>8442</v>
      </c>
      <c r="B8494" t="str">
        <f t="shared" si="338"/>
        <v>0.00015%</v>
      </c>
      <c r="C8494" t="s">
        <v>10</v>
      </c>
      <c r="D8494" t="s">
        <v>10</v>
      </c>
      <c r="E8494" t="str">
        <f>"$ 1,170"</f>
        <v>$ 1,170</v>
      </c>
      <c r="F8494">
        <v>11</v>
      </c>
    </row>
    <row r="8495" spans="1:6">
      <c r="A8495" t="s">
        <v>8443</v>
      </c>
      <c r="B8495" t="str">
        <f t="shared" si="338"/>
        <v>0.00015%</v>
      </c>
      <c r="C8495" t="s">
        <v>10</v>
      </c>
      <c r="D8495" t="s">
        <v>10</v>
      </c>
      <c r="E8495" t="str">
        <f>"$ 1,162"</f>
        <v>$ 1,162</v>
      </c>
      <c r="F8495">
        <v>363</v>
      </c>
    </row>
    <row r="8496" spans="1:6">
      <c r="A8496" t="s">
        <v>8444</v>
      </c>
      <c r="B8496" t="str">
        <f t="shared" si="338"/>
        <v>0.00015%</v>
      </c>
      <c r="C8496" t="s">
        <v>10</v>
      </c>
      <c r="D8496" t="s">
        <v>10</v>
      </c>
      <c r="E8496" t="str">
        <f>"$ 1,121"</f>
        <v>$ 1,121</v>
      </c>
      <c r="F8496">
        <v>907</v>
      </c>
    </row>
    <row r="8497" spans="1:6">
      <c r="A8497" t="s">
        <v>8445</v>
      </c>
      <c r="B8497" t="str">
        <f t="shared" si="338"/>
        <v>0.00015%</v>
      </c>
      <c r="C8497" t="s">
        <v>10</v>
      </c>
      <c r="D8497" t="s">
        <v>10</v>
      </c>
      <c r="E8497" t="str">
        <f>"$ 1,139"</f>
        <v>$ 1,139</v>
      </c>
      <c r="F8497">
        <v>99</v>
      </c>
    </row>
    <row r="8498" spans="1:6">
      <c r="A8498" t="s">
        <v>8446</v>
      </c>
      <c r="B8498" t="str">
        <f t="shared" si="338"/>
        <v>0.00015%</v>
      </c>
      <c r="C8498" t="s">
        <v>10</v>
      </c>
      <c r="D8498" t="s">
        <v>10</v>
      </c>
      <c r="E8498" t="str">
        <f>"$ 1,137"</f>
        <v>$ 1,137</v>
      </c>
      <c r="F8498">
        <v>49</v>
      </c>
    </row>
    <row r="8499" spans="1:6">
      <c r="A8499" t="s">
        <v>8447</v>
      </c>
      <c r="B8499" t="str">
        <f t="shared" si="338"/>
        <v>0.00015%</v>
      </c>
      <c r="C8499" t="s">
        <v>10</v>
      </c>
      <c r="D8499" t="s">
        <v>10</v>
      </c>
      <c r="E8499" t="str">
        <f>"$ 1,143"</f>
        <v>$ 1,143</v>
      </c>
      <c r="F8499">
        <v>49</v>
      </c>
    </row>
    <row r="8500" spans="1:6">
      <c r="A8500" t="s">
        <v>8448</v>
      </c>
      <c r="B8500" t="str">
        <f t="shared" si="338"/>
        <v>0.00015%</v>
      </c>
      <c r="C8500" t="s">
        <v>10</v>
      </c>
      <c r="D8500" t="s">
        <v>10</v>
      </c>
      <c r="E8500" t="str">
        <f>"$ 1,148"</f>
        <v>$ 1,148</v>
      </c>
      <c r="F8500">
        <v>321</v>
      </c>
    </row>
    <row r="8501" spans="1:6">
      <c r="A8501" t="s">
        <v>8449</v>
      </c>
      <c r="B8501" t="str">
        <f t="shared" si="338"/>
        <v>0.00015%</v>
      </c>
      <c r="C8501" t="s">
        <v>10</v>
      </c>
      <c r="D8501" t="s">
        <v>10</v>
      </c>
      <c r="E8501" t="str">
        <f>"$ 1,166"</f>
        <v>$ 1,166</v>
      </c>
      <c r="F8501">
        <v>82</v>
      </c>
    </row>
    <row r="8502" spans="1:6">
      <c r="A8502" t="s">
        <v>8450</v>
      </c>
      <c r="B8502" t="str">
        <f t="shared" si="338"/>
        <v>0.00015%</v>
      </c>
      <c r="C8502" t="s">
        <v>10</v>
      </c>
      <c r="D8502" t="s">
        <v>10</v>
      </c>
      <c r="E8502" t="str">
        <f>"$ 1,182"</f>
        <v>$ 1,182</v>
      </c>
      <c r="F8502">
        <v>45</v>
      </c>
    </row>
    <row r="8503" spans="1:6">
      <c r="A8503" t="s">
        <v>8451</v>
      </c>
      <c r="B8503" t="str">
        <f t="shared" si="338"/>
        <v>0.00015%</v>
      </c>
      <c r="C8503" t="s">
        <v>10</v>
      </c>
      <c r="D8503" t="s">
        <v>10</v>
      </c>
      <c r="E8503" t="str">
        <f>"$ 1,153"</f>
        <v>$ 1,153</v>
      </c>
      <c r="F8503">
        <v>416</v>
      </c>
    </row>
    <row r="8504" spans="1:6">
      <c r="A8504" t="s">
        <v>8452</v>
      </c>
      <c r="B8504" t="str">
        <f t="shared" si="338"/>
        <v>0.00015%</v>
      </c>
      <c r="C8504" t="s">
        <v>10</v>
      </c>
      <c r="D8504" t="s">
        <v>10</v>
      </c>
      <c r="E8504" t="str">
        <f>"$ 1,156"</f>
        <v>$ 1,156</v>
      </c>
      <c r="F8504">
        <v>403</v>
      </c>
    </row>
    <row r="8505" spans="1:6">
      <c r="A8505" t="s">
        <v>8453</v>
      </c>
      <c r="B8505" t="str">
        <f t="shared" si="338"/>
        <v>0.00015%</v>
      </c>
      <c r="C8505" t="s">
        <v>10</v>
      </c>
      <c r="D8505" t="s">
        <v>10</v>
      </c>
      <c r="E8505" t="str">
        <f>"$ 1,132"</f>
        <v>$ 1,132</v>
      </c>
      <c r="F8505">
        <v>137</v>
      </c>
    </row>
    <row r="8506" spans="1:6">
      <c r="A8506" t="s">
        <v>8454</v>
      </c>
      <c r="B8506" t="str">
        <f t="shared" si="338"/>
        <v>0.00015%</v>
      </c>
      <c r="C8506" t="s">
        <v>10</v>
      </c>
      <c r="D8506" t="s">
        <v>10</v>
      </c>
      <c r="E8506" t="str">
        <f>"$ 1,164"</f>
        <v>$ 1,164</v>
      </c>
      <c r="F8506" s="1">
        <v>1554</v>
      </c>
    </row>
    <row r="8507" spans="1:6">
      <c r="A8507" t="s">
        <v>8455</v>
      </c>
      <c r="B8507" t="str">
        <f t="shared" si="338"/>
        <v>0.00015%</v>
      </c>
      <c r="C8507" t="s">
        <v>10</v>
      </c>
      <c r="D8507" t="s">
        <v>10</v>
      </c>
      <c r="E8507" t="str">
        <f>"$ 1,156"</f>
        <v>$ 1,156</v>
      </c>
      <c r="F8507">
        <v>670</v>
      </c>
    </row>
    <row r="8508" spans="1:6">
      <c r="A8508" t="s">
        <v>8456</v>
      </c>
      <c r="B8508" t="str">
        <f t="shared" si="338"/>
        <v>0.00015%</v>
      </c>
      <c r="C8508" t="s">
        <v>10</v>
      </c>
      <c r="D8508" t="s">
        <v>10</v>
      </c>
      <c r="E8508" t="str">
        <f>"$ 1,169"</f>
        <v>$ 1,169</v>
      </c>
      <c r="F8508">
        <v>76</v>
      </c>
    </row>
    <row r="8509" spans="1:6">
      <c r="A8509" t="s">
        <v>8457</v>
      </c>
      <c r="B8509" t="str">
        <f t="shared" si="338"/>
        <v>0.00015%</v>
      </c>
      <c r="C8509" t="s">
        <v>10</v>
      </c>
      <c r="D8509" t="s">
        <v>10</v>
      </c>
      <c r="E8509" t="str">
        <f>"$ 1,177"</f>
        <v>$ 1,177</v>
      </c>
      <c r="F8509">
        <v>423</v>
      </c>
    </row>
    <row r="8510" spans="1:6">
      <c r="A8510" t="s">
        <v>8458</v>
      </c>
      <c r="B8510" t="str">
        <f t="shared" si="338"/>
        <v>0.00015%</v>
      </c>
      <c r="C8510" t="s">
        <v>10</v>
      </c>
      <c r="D8510" t="s">
        <v>10</v>
      </c>
      <c r="E8510" t="str">
        <f>"$ 1,182"</f>
        <v>$ 1,182</v>
      </c>
      <c r="F8510" s="1">
        <v>2495</v>
      </c>
    </row>
    <row r="8511" spans="1:6">
      <c r="A8511" t="s">
        <v>8459</v>
      </c>
      <c r="B8511" t="str">
        <f t="shared" si="338"/>
        <v>0.00015%</v>
      </c>
      <c r="C8511" t="s">
        <v>10</v>
      </c>
      <c r="D8511" t="s">
        <v>10</v>
      </c>
      <c r="E8511" t="str">
        <f>"$ 1,184"</f>
        <v>$ 1,184</v>
      </c>
      <c r="F8511" s="1">
        <v>1884</v>
      </c>
    </row>
    <row r="8512" spans="1:6">
      <c r="A8512" t="s">
        <v>8460</v>
      </c>
      <c r="B8512" t="str">
        <f t="shared" ref="B8512:B8543" si="339">"0.00015%"</f>
        <v>0.00015%</v>
      </c>
      <c r="C8512" t="s">
        <v>10</v>
      </c>
      <c r="D8512" t="s">
        <v>10</v>
      </c>
      <c r="E8512" t="str">
        <f>"$ 1,186"</f>
        <v>$ 1,186</v>
      </c>
      <c r="F8512">
        <v>82</v>
      </c>
    </row>
    <row r="8513" spans="1:6">
      <c r="A8513" t="s">
        <v>8461</v>
      </c>
      <c r="B8513" t="str">
        <f t="shared" si="339"/>
        <v>0.00015%</v>
      </c>
      <c r="C8513" t="s">
        <v>10</v>
      </c>
      <c r="D8513" t="s">
        <v>10</v>
      </c>
      <c r="E8513" t="str">
        <f>"$ 1,195"</f>
        <v>$ 1,195</v>
      </c>
      <c r="F8513" s="1">
        <v>5278</v>
      </c>
    </row>
    <row r="8514" spans="1:6">
      <c r="A8514" t="s">
        <v>8462</v>
      </c>
      <c r="B8514" t="str">
        <f t="shared" si="339"/>
        <v>0.00015%</v>
      </c>
      <c r="C8514" t="s">
        <v>10</v>
      </c>
      <c r="D8514" t="s">
        <v>10</v>
      </c>
      <c r="E8514" t="str">
        <f>"$ 1,174"</f>
        <v>$ 1,174</v>
      </c>
      <c r="F8514">
        <v>49</v>
      </c>
    </row>
    <row r="8515" spans="1:6">
      <c r="A8515" t="s">
        <v>8463</v>
      </c>
      <c r="B8515" t="str">
        <f t="shared" si="339"/>
        <v>0.00015%</v>
      </c>
      <c r="C8515" t="s">
        <v>10</v>
      </c>
      <c r="D8515" t="s">
        <v>10</v>
      </c>
      <c r="E8515" t="str">
        <f>"$ 1,140"</f>
        <v>$ 1,140</v>
      </c>
      <c r="F8515">
        <v>637</v>
      </c>
    </row>
    <row r="8516" spans="1:6">
      <c r="A8516" t="s">
        <v>8464</v>
      </c>
      <c r="B8516" t="str">
        <f t="shared" si="339"/>
        <v>0.00015%</v>
      </c>
      <c r="C8516" t="s">
        <v>10</v>
      </c>
      <c r="D8516" t="s">
        <v>10</v>
      </c>
      <c r="E8516" t="str">
        <f>"$ 1,122"</f>
        <v>$ 1,122</v>
      </c>
      <c r="F8516">
        <v>175</v>
      </c>
    </row>
    <row r="8517" spans="1:6">
      <c r="A8517" t="s">
        <v>8465</v>
      </c>
      <c r="B8517" t="str">
        <f t="shared" si="339"/>
        <v>0.00015%</v>
      </c>
      <c r="C8517" t="s">
        <v>10</v>
      </c>
      <c r="D8517" t="s">
        <v>10</v>
      </c>
      <c r="E8517" t="str">
        <f>"$ 1,162"</f>
        <v>$ 1,162</v>
      </c>
      <c r="F8517">
        <v>838</v>
      </c>
    </row>
    <row r="8518" spans="1:6">
      <c r="A8518" t="s">
        <v>8466</v>
      </c>
      <c r="B8518" t="str">
        <f t="shared" si="339"/>
        <v>0.00015%</v>
      </c>
      <c r="C8518" t="s">
        <v>10</v>
      </c>
      <c r="D8518" t="s">
        <v>10</v>
      </c>
      <c r="E8518" t="str">
        <f>"$ 1,167"</f>
        <v>$ 1,167</v>
      </c>
      <c r="F8518" s="1">
        <v>1032</v>
      </c>
    </row>
    <row r="8519" spans="1:6">
      <c r="A8519" t="s">
        <v>8467</v>
      </c>
      <c r="B8519" t="str">
        <f t="shared" si="339"/>
        <v>0.00015%</v>
      </c>
      <c r="C8519" t="s">
        <v>10</v>
      </c>
      <c r="D8519" t="s">
        <v>10</v>
      </c>
      <c r="E8519" t="str">
        <f>"$ 1,147"</f>
        <v>$ 1,147</v>
      </c>
      <c r="F8519" s="1">
        <v>1665</v>
      </c>
    </row>
    <row r="8520" spans="1:6">
      <c r="A8520" t="s">
        <v>8468</v>
      </c>
      <c r="B8520" t="str">
        <f t="shared" si="339"/>
        <v>0.00015%</v>
      </c>
      <c r="C8520" t="s">
        <v>10</v>
      </c>
      <c r="D8520" t="s">
        <v>10</v>
      </c>
      <c r="E8520" t="str">
        <f>"$ 1,148"</f>
        <v>$ 1,148</v>
      </c>
      <c r="F8520">
        <v>467</v>
      </c>
    </row>
    <row r="8521" spans="1:6">
      <c r="A8521" t="s">
        <v>8469</v>
      </c>
      <c r="B8521" t="str">
        <f t="shared" si="339"/>
        <v>0.00015%</v>
      </c>
      <c r="C8521" t="s">
        <v>10</v>
      </c>
      <c r="D8521" t="s">
        <v>10</v>
      </c>
      <c r="E8521" t="str">
        <f>"$ 1,191"</f>
        <v>$ 1,191</v>
      </c>
      <c r="F8521" s="1">
        <v>1021</v>
      </c>
    </row>
    <row r="8522" spans="1:6">
      <c r="A8522" t="s">
        <v>8470</v>
      </c>
      <c r="B8522" t="str">
        <f t="shared" si="339"/>
        <v>0.00015%</v>
      </c>
      <c r="C8522" t="s">
        <v>10</v>
      </c>
      <c r="D8522" t="s">
        <v>10</v>
      </c>
      <c r="E8522" t="str">
        <f>"$ 1,130"</f>
        <v>$ 1,130</v>
      </c>
      <c r="F8522" s="1">
        <v>1167</v>
      </c>
    </row>
    <row r="8523" spans="1:6">
      <c r="A8523" t="s">
        <v>8471</v>
      </c>
      <c r="B8523" t="str">
        <f t="shared" si="339"/>
        <v>0.00015%</v>
      </c>
      <c r="C8523" t="s">
        <v>10</v>
      </c>
      <c r="D8523" t="s">
        <v>10</v>
      </c>
      <c r="E8523" t="str">
        <f>"$ 1,146"</f>
        <v>$ 1,146</v>
      </c>
      <c r="F8523">
        <v>42</v>
      </c>
    </row>
    <row r="8524" spans="1:6">
      <c r="A8524" t="s">
        <v>8472</v>
      </c>
      <c r="B8524" t="str">
        <f t="shared" si="339"/>
        <v>0.00015%</v>
      </c>
      <c r="C8524" t="s">
        <v>10</v>
      </c>
      <c r="D8524" t="s">
        <v>10</v>
      </c>
      <c r="E8524" t="str">
        <f>"$ 1,122"</f>
        <v>$ 1,122</v>
      </c>
      <c r="F8524" s="1">
        <v>1146</v>
      </c>
    </row>
    <row r="8525" spans="1:6">
      <c r="A8525" t="s">
        <v>8473</v>
      </c>
      <c r="B8525" t="str">
        <f t="shared" si="339"/>
        <v>0.00015%</v>
      </c>
      <c r="C8525" t="s">
        <v>10</v>
      </c>
      <c r="D8525" t="s">
        <v>10</v>
      </c>
      <c r="E8525" t="str">
        <f>"$ 1,146"</f>
        <v>$ 1,146</v>
      </c>
      <c r="F8525">
        <v>60</v>
      </c>
    </row>
    <row r="8526" spans="1:6">
      <c r="A8526" t="s">
        <v>8474</v>
      </c>
      <c r="B8526" t="str">
        <f t="shared" si="339"/>
        <v>0.00015%</v>
      </c>
      <c r="C8526" t="s">
        <v>10</v>
      </c>
      <c r="D8526" t="s">
        <v>10</v>
      </c>
      <c r="E8526" t="str">
        <f>"$ 1,179"</f>
        <v>$ 1,179</v>
      </c>
      <c r="F8526">
        <v>131</v>
      </c>
    </row>
    <row r="8527" spans="1:6">
      <c r="A8527" t="s">
        <v>8475</v>
      </c>
      <c r="B8527" t="str">
        <f t="shared" si="339"/>
        <v>0.00015%</v>
      </c>
      <c r="C8527" t="s">
        <v>10</v>
      </c>
      <c r="D8527" t="s">
        <v>10</v>
      </c>
      <c r="E8527" t="str">
        <f>"$ 1,144"</f>
        <v>$ 1,144</v>
      </c>
      <c r="F8527">
        <v>544</v>
      </c>
    </row>
    <row r="8528" spans="1:6">
      <c r="A8528" t="s">
        <v>8476</v>
      </c>
      <c r="B8528" t="str">
        <f t="shared" si="339"/>
        <v>0.00015%</v>
      </c>
      <c r="C8528" t="s">
        <v>10</v>
      </c>
      <c r="D8528" t="s">
        <v>10</v>
      </c>
      <c r="E8528" t="str">
        <f>"$ 1,135"</f>
        <v>$ 1,135</v>
      </c>
      <c r="F8528">
        <v>122</v>
      </c>
    </row>
    <row r="8529" spans="1:6">
      <c r="A8529" t="s">
        <v>8477</v>
      </c>
      <c r="B8529" t="str">
        <f t="shared" si="339"/>
        <v>0.00015%</v>
      </c>
      <c r="C8529" t="s">
        <v>10</v>
      </c>
      <c r="D8529" t="s">
        <v>10</v>
      </c>
      <c r="E8529" t="str">
        <f>"$ 1,158"</f>
        <v>$ 1,158</v>
      </c>
      <c r="F8529">
        <v>800</v>
      </c>
    </row>
    <row r="8530" spans="1:6">
      <c r="A8530" t="s">
        <v>8478</v>
      </c>
      <c r="B8530" t="str">
        <f t="shared" si="339"/>
        <v>0.00015%</v>
      </c>
      <c r="C8530" t="s">
        <v>10</v>
      </c>
      <c r="D8530" t="s">
        <v>10</v>
      </c>
      <c r="E8530" t="str">
        <f>"$ 1,175"</f>
        <v>$ 1,175</v>
      </c>
      <c r="F8530">
        <v>716</v>
      </c>
    </row>
    <row r="8531" spans="1:6">
      <c r="A8531" t="s">
        <v>7539</v>
      </c>
      <c r="B8531" t="str">
        <f t="shared" si="339"/>
        <v>0.00015%</v>
      </c>
      <c r="C8531" t="s">
        <v>10</v>
      </c>
      <c r="D8531" t="s">
        <v>10</v>
      </c>
      <c r="E8531" t="str">
        <f>"$ 1,131"</f>
        <v>$ 1,131</v>
      </c>
      <c r="F8531">
        <v>100</v>
      </c>
    </row>
    <row r="8532" spans="1:6">
      <c r="A8532" t="s">
        <v>8479</v>
      </c>
      <c r="B8532" t="str">
        <f t="shared" si="339"/>
        <v>0.00015%</v>
      </c>
      <c r="C8532" t="s">
        <v>10</v>
      </c>
      <c r="D8532" t="s">
        <v>10</v>
      </c>
      <c r="E8532" t="str">
        <f>"$ 1,125"</f>
        <v>$ 1,125</v>
      </c>
      <c r="F8532">
        <v>109</v>
      </c>
    </row>
    <row r="8533" spans="1:6">
      <c r="A8533" t="s">
        <v>8480</v>
      </c>
      <c r="B8533" t="str">
        <f t="shared" si="339"/>
        <v>0.00015%</v>
      </c>
      <c r="C8533" t="s">
        <v>10</v>
      </c>
      <c r="D8533" t="s">
        <v>10</v>
      </c>
      <c r="E8533" t="str">
        <f>"$ 1,141"</f>
        <v>$ 1,141</v>
      </c>
      <c r="F8533">
        <v>139</v>
      </c>
    </row>
    <row r="8534" spans="1:6">
      <c r="A8534" t="s">
        <v>8481</v>
      </c>
      <c r="B8534" t="str">
        <f t="shared" si="339"/>
        <v>0.00015%</v>
      </c>
      <c r="C8534" t="s">
        <v>10</v>
      </c>
      <c r="D8534" t="s">
        <v>10</v>
      </c>
      <c r="E8534" t="str">
        <f>"$ 1,141"</f>
        <v>$ 1,141</v>
      </c>
      <c r="F8534">
        <v>132</v>
      </c>
    </row>
    <row r="8535" spans="1:6">
      <c r="A8535" t="s">
        <v>8482</v>
      </c>
      <c r="B8535" t="str">
        <f t="shared" si="339"/>
        <v>0.00015%</v>
      </c>
      <c r="C8535" t="s">
        <v>10</v>
      </c>
      <c r="D8535" t="s">
        <v>10</v>
      </c>
      <c r="E8535" t="str">
        <f>"$ 1,157"</f>
        <v>$ 1,157</v>
      </c>
      <c r="F8535">
        <v>366</v>
      </c>
    </row>
    <row r="8536" spans="1:6">
      <c r="A8536" t="s">
        <v>8483</v>
      </c>
      <c r="B8536" t="str">
        <f t="shared" si="339"/>
        <v>0.00015%</v>
      </c>
      <c r="C8536" t="s">
        <v>10</v>
      </c>
      <c r="D8536" t="s">
        <v>10</v>
      </c>
      <c r="E8536" t="str">
        <f>"$ 1,168"</f>
        <v>$ 1,168</v>
      </c>
      <c r="F8536" s="1">
        <v>3387</v>
      </c>
    </row>
    <row r="8537" spans="1:6">
      <c r="A8537" t="s">
        <v>8484</v>
      </c>
      <c r="B8537" t="str">
        <f t="shared" si="339"/>
        <v>0.00015%</v>
      </c>
      <c r="C8537" t="s">
        <v>10</v>
      </c>
      <c r="D8537" t="s">
        <v>10</v>
      </c>
      <c r="E8537" t="str">
        <f>"$ 1,193"</f>
        <v>$ 1,193</v>
      </c>
      <c r="F8537">
        <v>32</v>
      </c>
    </row>
    <row r="8538" spans="1:6">
      <c r="A8538" t="s">
        <v>8485</v>
      </c>
      <c r="B8538" t="str">
        <f t="shared" si="339"/>
        <v>0.00015%</v>
      </c>
      <c r="C8538" t="s">
        <v>10</v>
      </c>
      <c r="D8538" t="s">
        <v>10</v>
      </c>
      <c r="E8538" t="str">
        <f>"$ 1,166"</f>
        <v>$ 1,166</v>
      </c>
      <c r="F8538">
        <v>2</v>
      </c>
    </row>
    <row r="8539" spans="1:6">
      <c r="A8539" t="s">
        <v>8486</v>
      </c>
      <c r="B8539" t="str">
        <f t="shared" si="339"/>
        <v>0.00015%</v>
      </c>
      <c r="C8539" t="s">
        <v>10</v>
      </c>
      <c r="D8539" t="s">
        <v>10</v>
      </c>
      <c r="E8539" t="str">
        <f>"$ 1,173"</f>
        <v>$ 1,173</v>
      </c>
      <c r="F8539">
        <v>4</v>
      </c>
    </row>
    <row r="8540" spans="1:6">
      <c r="A8540" t="s">
        <v>8487</v>
      </c>
      <c r="B8540" t="str">
        <f t="shared" si="339"/>
        <v>0.00015%</v>
      </c>
      <c r="C8540" t="s">
        <v>10</v>
      </c>
      <c r="D8540" t="s">
        <v>10</v>
      </c>
      <c r="E8540" t="str">
        <f>"$ 1,177"</f>
        <v>$ 1,177</v>
      </c>
      <c r="F8540">
        <v>465</v>
      </c>
    </row>
    <row r="8541" spans="1:6">
      <c r="A8541" t="s">
        <v>8488</v>
      </c>
      <c r="B8541" t="str">
        <f t="shared" si="339"/>
        <v>0.00015%</v>
      </c>
      <c r="C8541" t="s">
        <v>10</v>
      </c>
      <c r="D8541" t="s">
        <v>10</v>
      </c>
      <c r="E8541" t="str">
        <f>"$ 1,137"</f>
        <v>$ 1,137</v>
      </c>
      <c r="F8541">
        <v>58</v>
      </c>
    </row>
    <row r="8542" spans="1:6">
      <c r="A8542" t="s">
        <v>8489</v>
      </c>
      <c r="B8542" t="str">
        <f t="shared" si="339"/>
        <v>0.00015%</v>
      </c>
      <c r="C8542" t="s">
        <v>10</v>
      </c>
      <c r="D8542" t="s">
        <v>10</v>
      </c>
      <c r="E8542" t="str">
        <f>"$ 1,135"</f>
        <v>$ 1,135</v>
      </c>
      <c r="F8542" s="1">
        <v>2969</v>
      </c>
    </row>
    <row r="8543" spans="1:6">
      <c r="A8543" t="s">
        <v>8490</v>
      </c>
      <c r="B8543" t="str">
        <f t="shared" si="339"/>
        <v>0.00015%</v>
      </c>
      <c r="C8543" t="s">
        <v>10</v>
      </c>
      <c r="D8543" t="s">
        <v>10</v>
      </c>
      <c r="E8543" t="str">
        <f>"$ 1,137"</f>
        <v>$ 1,137</v>
      </c>
      <c r="F8543" s="1">
        <v>2099</v>
      </c>
    </row>
    <row r="8544" spans="1:6">
      <c r="A8544" t="s">
        <v>8491</v>
      </c>
      <c r="B8544" t="str">
        <f t="shared" ref="B8544:B8575" si="340">"0.00015%"</f>
        <v>0.00015%</v>
      </c>
      <c r="C8544" t="s">
        <v>10</v>
      </c>
      <c r="D8544" t="s">
        <v>10</v>
      </c>
      <c r="E8544" t="str">
        <f>"$ 1,126"</f>
        <v>$ 1,126</v>
      </c>
      <c r="F8544" s="1">
        <v>3817</v>
      </c>
    </row>
    <row r="8545" spans="1:6">
      <c r="A8545" t="s">
        <v>8492</v>
      </c>
      <c r="B8545" t="str">
        <f t="shared" si="340"/>
        <v>0.00015%</v>
      </c>
      <c r="C8545" t="s">
        <v>10</v>
      </c>
      <c r="D8545" t="s">
        <v>10</v>
      </c>
      <c r="E8545" t="str">
        <f>"$ 1,140"</f>
        <v>$ 1,140</v>
      </c>
      <c r="F8545">
        <v>829</v>
      </c>
    </row>
    <row r="8546" spans="1:6">
      <c r="A8546" t="s">
        <v>8493</v>
      </c>
      <c r="B8546" t="str">
        <f t="shared" si="340"/>
        <v>0.00015%</v>
      </c>
      <c r="C8546" t="s">
        <v>10</v>
      </c>
      <c r="D8546" t="s">
        <v>10</v>
      </c>
      <c r="E8546" t="str">
        <f>"$ 1,143"</f>
        <v>$ 1,143</v>
      </c>
      <c r="F8546" s="1">
        <v>1313</v>
      </c>
    </row>
    <row r="8547" spans="1:6">
      <c r="A8547" t="s">
        <v>8494</v>
      </c>
      <c r="B8547" t="str">
        <f t="shared" si="340"/>
        <v>0.00015%</v>
      </c>
      <c r="C8547" t="s">
        <v>10</v>
      </c>
      <c r="D8547" t="s">
        <v>10</v>
      </c>
      <c r="E8547" t="str">
        <f>"$ 1,157"</f>
        <v>$ 1,157</v>
      </c>
      <c r="F8547">
        <v>104</v>
      </c>
    </row>
    <row r="8548" spans="1:6">
      <c r="A8548" t="s">
        <v>8495</v>
      </c>
      <c r="B8548" t="str">
        <f t="shared" si="340"/>
        <v>0.00015%</v>
      </c>
      <c r="C8548" t="s">
        <v>10</v>
      </c>
      <c r="D8548" t="s">
        <v>10</v>
      </c>
      <c r="E8548" t="str">
        <f>"$ 1,171"</f>
        <v>$ 1,171</v>
      </c>
      <c r="F8548" s="1">
        <v>9897</v>
      </c>
    </row>
    <row r="8549" spans="1:6">
      <c r="A8549" t="s">
        <v>8496</v>
      </c>
      <c r="B8549" t="str">
        <f t="shared" si="340"/>
        <v>0.00015%</v>
      </c>
      <c r="C8549" t="s">
        <v>10</v>
      </c>
      <c r="D8549" t="s">
        <v>10</v>
      </c>
      <c r="E8549" t="str">
        <f>"$ 1,127"</f>
        <v>$ 1,127</v>
      </c>
      <c r="F8549">
        <v>66</v>
      </c>
    </row>
    <row r="8550" spans="1:6">
      <c r="A8550" t="s">
        <v>8497</v>
      </c>
      <c r="B8550" t="str">
        <f t="shared" si="340"/>
        <v>0.00015%</v>
      </c>
      <c r="C8550" t="s">
        <v>10</v>
      </c>
      <c r="D8550" t="s">
        <v>10</v>
      </c>
      <c r="E8550" t="str">
        <f>"$ 1,126"</f>
        <v>$ 1,126</v>
      </c>
      <c r="F8550">
        <v>37</v>
      </c>
    </row>
    <row r="8551" spans="1:6">
      <c r="A8551" t="s">
        <v>8498</v>
      </c>
      <c r="B8551" t="str">
        <f t="shared" si="340"/>
        <v>0.00015%</v>
      </c>
      <c r="C8551" t="s">
        <v>10</v>
      </c>
      <c r="D8551" t="s">
        <v>10</v>
      </c>
      <c r="E8551" t="str">
        <f>"$ 1,130"</f>
        <v>$ 1,130</v>
      </c>
      <c r="F8551">
        <v>95</v>
      </c>
    </row>
    <row r="8552" spans="1:6">
      <c r="A8552" t="s">
        <v>8499</v>
      </c>
      <c r="B8552" t="str">
        <f t="shared" si="340"/>
        <v>0.00015%</v>
      </c>
      <c r="C8552" t="s">
        <v>10</v>
      </c>
      <c r="D8552" t="s">
        <v>10</v>
      </c>
      <c r="E8552" t="str">
        <f>"$ 1,146"</f>
        <v>$ 1,146</v>
      </c>
      <c r="F8552">
        <v>199</v>
      </c>
    </row>
    <row r="8553" spans="1:6">
      <c r="A8553" t="s">
        <v>8500</v>
      </c>
      <c r="B8553" t="str">
        <f t="shared" si="340"/>
        <v>0.00015%</v>
      </c>
      <c r="C8553" t="s">
        <v>10</v>
      </c>
      <c r="D8553" t="s">
        <v>10</v>
      </c>
      <c r="E8553" t="str">
        <f>"$ 1,132"</f>
        <v>$ 1,132</v>
      </c>
      <c r="F8553">
        <v>244</v>
      </c>
    </row>
    <row r="8554" spans="1:6">
      <c r="A8554" t="s">
        <v>8501</v>
      </c>
      <c r="B8554" t="str">
        <f t="shared" si="340"/>
        <v>0.00015%</v>
      </c>
      <c r="C8554" t="s">
        <v>10</v>
      </c>
      <c r="D8554" t="s">
        <v>10</v>
      </c>
      <c r="E8554" t="str">
        <f>"$ 1,182"</f>
        <v>$ 1,182</v>
      </c>
      <c r="F8554">
        <v>69</v>
      </c>
    </row>
    <row r="8555" spans="1:6">
      <c r="A8555" t="s">
        <v>8502</v>
      </c>
      <c r="B8555" t="str">
        <f t="shared" si="340"/>
        <v>0.00015%</v>
      </c>
      <c r="C8555" t="s">
        <v>10</v>
      </c>
      <c r="D8555" t="s">
        <v>10</v>
      </c>
      <c r="E8555" t="str">
        <f>"$ 1,156"</f>
        <v>$ 1,156</v>
      </c>
      <c r="F8555">
        <v>201</v>
      </c>
    </row>
    <row r="8556" spans="1:6">
      <c r="A8556" t="s">
        <v>8503</v>
      </c>
      <c r="B8556" t="str">
        <f t="shared" si="340"/>
        <v>0.00015%</v>
      </c>
      <c r="C8556" t="s">
        <v>10</v>
      </c>
      <c r="D8556" t="s">
        <v>10</v>
      </c>
      <c r="E8556" t="str">
        <f>"$ 1,190"</f>
        <v>$ 1,190</v>
      </c>
      <c r="F8556">
        <v>604</v>
      </c>
    </row>
    <row r="8557" spans="1:6">
      <c r="A8557" t="s">
        <v>8504</v>
      </c>
      <c r="B8557" t="str">
        <f t="shared" si="340"/>
        <v>0.00015%</v>
      </c>
      <c r="C8557" t="s">
        <v>10</v>
      </c>
      <c r="D8557" t="s">
        <v>10</v>
      </c>
      <c r="E8557" t="str">
        <f>"$ 1,156"</f>
        <v>$ 1,156</v>
      </c>
      <c r="F8557">
        <v>82</v>
      </c>
    </row>
    <row r="8558" spans="1:6">
      <c r="A8558" t="s">
        <v>8505</v>
      </c>
      <c r="B8558" t="str">
        <f t="shared" si="340"/>
        <v>0.00015%</v>
      </c>
      <c r="C8558" t="s">
        <v>10</v>
      </c>
      <c r="D8558" t="s">
        <v>10</v>
      </c>
      <c r="E8558" t="str">
        <f>"$ 1,134"</f>
        <v>$ 1,134</v>
      </c>
      <c r="F8558">
        <v>142</v>
      </c>
    </row>
    <row r="8559" spans="1:6">
      <c r="A8559" t="s">
        <v>8506</v>
      </c>
      <c r="B8559" t="str">
        <f t="shared" si="340"/>
        <v>0.00015%</v>
      </c>
      <c r="C8559" t="s">
        <v>10</v>
      </c>
      <c r="D8559" t="s">
        <v>10</v>
      </c>
      <c r="E8559" t="str">
        <f>"$ 1,120"</f>
        <v>$ 1,120</v>
      </c>
      <c r="F8559">
        <v>286</v>
      </c>
    </row>
    <row r="8560" spans="1:6">
      <c r="A8560" t="s">
        <v>8507</v>
      </c>
      <c r="B8560" t="str">
        <f t="shared" si="340"/>
        <v>0.00015%</v>
      </c>
      <c r="C8560" t="s">
        <v>10</v>
      </c>
      <c r="D8560" t="s">
        <v>10</v>
      </c>
      <c r="E8560" t="str">
        <f>"$ 1,152"</f>
        <v>$ 1,152</v>
      </c>
      <c r="F8560">
        <v>84</v>
      </c>
    </row>
    <row r="8561" spans="1:6">
      <c r="A8561" t="s">
        <v>8508</v>
      </c>
      <c r="B8561" t="str">
        <f t="shared" si="340"/>
        <v>0.00015%</v>
      </c>
      <c r="C8561" t="s">
        <v>10</v>
      </c>
      <c r="D8561" t="s">
        <v>10</v>
      </c>
      <c r="E8561" t="str">
        <f>"$ 1,149"</f>
        <v>$ 1,149</v>
      </c>
      <c r="F8561">
        <v>17</v>
      </c>
    </row>
    <row r="8562" spans="1:6">
      <c r="A8562" t="s">
        <v>8509</v>
      </c>
      <c r="B8562" t="str">
        <f t="shared" si="340"/>
        <v>0.00015%</v>
      </c>
      <c r="C8562" t="s">
        <v>10</v>
      </c>
      <c r="D8562" t="s">
        <v>10</v>
      </c>
      <c r="E8562" t="str">
        <f>"$ 1,174"</f>
        <v>$ 1,174</v>
      </c>
      <c r="F8562">
        <v>49</v>
      </c>
    </row>
    <row r="8563" spans="1:6">
      <c r="A8563" t="s">
        <v>8510</v>
      </c>
      <c r="B8563" t="str">
        <f t="shared" si="340"/>
        <v>0.00015%</v>
      </c>
      <c r="C8563" t="s">
        <v>10</v>
      </c>
      <c r="D8563" t="s">
        <v>10</v>
      </c>
      <c r="E8563" t="str">
        <f>"$ 1,178"</f>
        <v>$ 1,178</v>
      </c>
      <c r="F8563">
        <v>140</v>
      </c>
    </row>
    <row r="8564" spans="1:6">
      <c r="A8564" t="s">
        <v>8511</v>
      </c>
      <c r="B8564" t="str">
        <f t="shared" si="340"/>
        <v>0.00015%</v>
      </c>
      <c r="C8564" t="s">
        <v>10</v>
      </c>
      <c r="D8564" t="s">
        <v>10</v>
      </c>
      <c r="E8564" t="str">
        <f>"$ 1,197"</f>
        <v>$ 1,197</v>
      </c>
      <c r="F8564">
        <v>402</v>
      </c>
    </row>
    <row r="8565" spans="1:6">
      <c r="A8565" t="s">
        <v>8512</v>
      </c>
      <c r="B8565" t="str">
        <f t="shared" si="340"/>
        <v>0.00015%</v>
      </c>
      <c r="C8565" t="s">
        <v>10</v>
      </c>
      <c r="D8565" t="s">
        <v>10</v>
      </c>
      <c r="E8565" t="str">
        <f>"$ 1,188"</f>
        <v>$ 1,188</v>
      </c>
      <c r="F8565">
        <v>84</v>
      </c>
    </row>
    <row r="8566" spans="1:6">
      <c r="A8566" t="s">
        <v>8513</v>
      </c>
      <c r="B8566" t="str">
        <f t="shared" si="340"/>
        <v>0.00015%</v>
      </c>
      <c r="C8566" t="s">
        <v>10</v>
      </c>
      <c r="D8566" t="s">
        <v>10</v>
      </c>
      <c r="E8566" t="str">
        <f>"$ 1,165"</f>
        <v>$ 1,165</v>
      </c>
      <c r="F8566">
        <v>82</v>
      </c>
    </row>
    <row r="8567" spans="1:6">
      <c r="A8567" t="s">
        <v>8514</v>
      </c>
      <c r="B8567" t="str">
        <f t="shared" si="340"/>
        <v>0.00015%</v>
      </c>
      <c r="C8567" t="s">
        <v>10</v>
      </c>
      <c r="D8567" t="s">
        <v>10</v>
      </c>
      <c r="E8567" t="str">
        <f>"$ 1,189"</f>
        <v>$ 1,189</v>
      </c>
      <c r="F8567" s="1">
        <v>9137</v>
      </c>
    </row>
    <row r="8568" spans="1:6">
      <c r="A8568" t="s">
        <v>8515</v>
      </c>
      <c r="B8568" t="str">
        <f t="shared" si="340"/>
        <v>0.00015%</v>
      </c>
      <c r="C8568" t="s">
        <v>10</v>
      </c>
      <c r="D8568" t="s">
        <v>10</v>
      </c>
      <c r="E8568" t="str">
        <f>"$ 1,170"</f>
        <v>$ 1,170</v>
      </c>
      <c r="F8568">
        <v>27</v>
      </c>
    </row>
    <row r="8569" spans="1:6">
      <c r="A8569" t="s">
        <v>8516</v>
      </c>
      <c r="B8569" t="str">
        <f t="shared" si="340"/>
        <v>0.00015%</v>
      </c>
      <c r="C8569" t="s">
        <v>10</v>
      </c>
      <c r="D8569" t="s">
        <v>10</v>
      </c>
      <c r="E8569" t="str">
        <f>"$ 1,146"</f>
        <v>$ 1,146</v>
      </c>
      <c r="F8569">
        <v>33</v>
      </c>
    </row>
    <row r="8570" spans="1:6">
      <c r="A8570" t="s">
        <v>8517</v>
      </c>
      <c r="B8570" t="str">
        <f t="shared" si="340"/>
        <v>0.00015%</v>
      </c>
      <c r="C8570" t="s">
        <v>10</v>
      </c>
      <c r="D8570" t="s">
        <v>10</v>
      </c>
      <c r="E8570" t="str">
        <f>"$ 1,184"</f>
        <v>$ 1,184</v>
      </c>
      <c r="F8570">
        <v>36</v>
      </c>
    </row>
    <row r="8571" spans="1:6">
      <c r="A8571" t="s">
        <v>8518</v>
      </c>
      <c r="B8571" t="str">
        <f t="shared" si="340"/>
        <v>0.00015%</v>
      </c>
      <c r="C8571" t="s">
        <v>10</v>
      </c>
      <c r="D8571" t="s">
        <v>10</v>
      </c>
      <c r="E8571" t="str">
        <f>"$ 1,184"</f>
        <v>$ 1,184</v>
      </c>
      <c r="F8571">
        <v>185</v>
      </c>
    </row>
    <row r="8572" spans="1:6">
      <c r="A8572" t="s">
        <v>8519</v>
      </c>
      <c r="B8572" t="str">
        <f t="shared" si="340"/>
        <v>0.00015%</v>
      </c>
      <c r="C8572" t="s">
        <v>10</v>
      </c>
      <c r="D8572" t="s">
        <v>10</v>
      </c>
      <c r="E8572" t="str">
        <f>"$ 1,152"</f>
        <v>$ 1,152</v>
      </c>
      <c r="F8572">
        <v>447</v>
      </c>
    </row>
    <row r="8573" spans="1:6">
      <c r="A8573" t="s">
        <v>8520</v>
      </c>
      <c r="B8573" t="str">
        <f t="shared" si="340"/>
        <v>0.00015%</v>
      </c>
      <c r="C8573" t="s">
        <v>10</v>
      </c>
      <c r="D8573" t="s">
        <v>10</v>
      </c>
      <c r="E8573" t="str">
        <f>"$ 1,174"</f>
        <v>$ 1,174</v>
      </c>
      <c r="F8573">
        <v>169</v>
      </c>
    </row>
    <row r="8574" spans="1:6">
      <c r="A8574" t="s">
        <v>8521</v>
      </c>
      <c r="B8574" t="str">
        <f t="shared" si="340"/>
        <v>0.00015%</v>
      </c>
      <c r="C8574" t="s">
        <v>10</v>
      </c>
      <c r="D8574" t="s">
        <v>10</v>
      </c>
      <c r="E8574" t="str">
        <f>"$ 1,185"</f>
        <v>$ 1,185</v>
      </c>
      <c r="F8574" s="1">
        <v>5443</v>
      </c>
    </row>
    <row r="8575" spans="1:6">
      <c r="A8575" t="s">
        <v>8522</v>
      </c>
      <c r="B8575" t="str">
        <f t="shared" si="340"/>
        <v>0.00015%</v>
      </c>
      <c r="C8575" t="s">
        <v>10</v>
      </c>
      <c r="D8575" t="s">
        <v>10</v>
      </c>
      <c r="E8575" t="str">
        <f>"$ 1,182"</f>
        <v>$ 1,182</v>
      </c>
      <c r="F8575">
        <v>387</v>
      </c>
    </row>
    <row r="8576" spans="1:6">
      <c r="A8576" t="s">
        <v>8523</v>
      </c>
      <c r="B8576" t="str">
        <f t="shared" ref="B8576:B8607" si="341">"0.00015%"</f>
        <v>0.00015%</v>
      </c>
      <c r="C8576" t="s">
        <v>10</v>
      </c>
      <c r="D8576" t="s">
        <v>10</v>
      </c>
      <c r="E8576" t="str">
        <f>"$ 1,183"</f>
        <v>$ 1,183</v>
      </c>
      <c r="F8576">
        <v>49</v>
      </c>
    </row>
    <row r="8577" spans="1:6">
      <c r="A8577" t="s">
        <v>8524</v>
      </c>
      <c r="B8577" t="str">
        <f t="shared" si="341"/>
        <v>0.00015%</v>
      </c>
      <c r="C8577" t="s">
        <v>10</v>
      </c>
      <c r="D8577" t="s">
        <v>10</v>
      </c>
      <c r="E8577" t="str">
        <f>"$ 1,147"</f>
        <v>$ 1,147</v>
      </c>
      <c r="F8577">
        <v>909</v>
      </c>
    </row>
    <row r="8578" spans="1:6">
      <c r="A8578" t="s">
        <v>8525</v>
      </c>
      <c r="B8578" t="str">
        <f t="shared" si="341"/>
        <v>0.00015%</v>
      </c>
      <c r="C8578" t="s">
        <v>10</v>
      </c>
      <c r="D8578" t="s">
        <v>10</v>
      </c>
      <c r="E8578" t="str">
        <f>"$ 1,185"</f>
        <v>$ 1,185</v>
      </c>
      <c r="F8578">
        <v>124</v>
      </c>
    </row>
    <row r="8579" spans="1:6">
      <c r="A8579" t="s">
        <v>8526</v>
      </c>
      <c r="B8579" t="str">
        <f t="shared" si="341"/>
        <v>0.00015%</v>
      </c>
      <c r="C8579" t="s">
        <v>10</v>
      </c>
      <c r="D8579" t="s">
        <v>10</v>
      </c>
      <c r="E8579" t="str">
        <f>"$ 1,153"</f>
        <v>$ 1,153</v>
      </c>
      <c r="F8579">
        <v>12</v>
      </c>
    </row>
    <row r="8580" spans="1:6">
      <c r="A8580" t="s">
        <v>8527</v>
      </c>
      <c r="B8580" t="str">
        <f t="shared" si="341"/>
        <v>0.00015%</v>
      </c>
      <c r="C8580" t="s">
        <v>10</v>
      </c>
      <c r="D8580" t="s">
        <v>10</v>
      </c>
      <c r="E8580" t="str">
        <f>"$ 1,172"</f>
        <v>$ 1,172</v>
      </c>
      <c r="F8580">
        <v>616</v>
      </c>
    </row>
    <row r="8581" spans="1:6">
      <c r="A8581" t="s">
        <v>8528</v>
      </c>
      <c r="B8581" t="str">
        <f t="shared" si="341"/>
        <v>0.00015%</v>
      </c>
      <c r="C8581" t="s">
        <v>10</v>
      </c>
      <c r="D8581" t="s">
        <v>10</v>
      </c>
      <c r="E8581" t="str">
        <f>"$ 1,172"</f>
        <v>$ 1,172</v>
      </c>
      <c r="F8581">
        <v>64</v>
      </c>
    </row>
    <row r="8582" spans="1:6">
      <c r="A8582" t="s">
        <v>8529</v>
      </c>
      <c r="B8582" t="str">
        <f t="shared" si="341"/>
        <v>0.00015%</v>
      </c>
      <c r="C8582" t="s">
        <v>10</v>
      </c>
      <c r="D8582" t="s">
        <v>10</v>
      </c>
      <c r="E8582" t="str">
        <f>"$ 1,135"</f>
        <v>$ 1,135</v>
      </c>
      <c r="F8582" s="1">
        <v>22434</v>
      </c>
    </row>
    <row r="8583" spans="1:6">
      <c r="A8583" t="s">
        <v>8530</v>
      </c>
      <c r="B8583" t="str">
        <f t="shared" si="341"/>
        <v>0.00015%</v>
      </c>
      <c r="C8583" t="s">
        <v>10</v>
      </c>
      <c r="D8583" t="s">
        <v>10</v>
      </c>
      <c r="E8583" t="str">
        <f>"$ 1,175"</f>
        <v>$ 1,175</v>
      </c>
      <c r="F8583">
        <v>93</v>
      </c>
    </row>
    <row r="8584" spans="1:6">
      <c r="A8584" t="s">
        <v>8531</v>
      </c>
      <c r="B8584" t="str">
        <f t="shared" si="341"/>
        <v>0.00015%</v>
      </c>
      <c r="C8584" t="s">
        <v>10</v>
      </c>
      <c r="D8584" t="s">
        <v>10</v>
      </c>
      <c r="E8584" t="str">
        <f>"$ 1,188"</f>
        <v>$ 1,188</v>
      </c>
      <c r="F8584">
        <v>102</v>
      </c>
    </row>
    <row r="8585" spans="1:6">
      <c r="A8585" t="s">
        <v>8532</v>
      </c>
      <c r="B8585" t="str">
        <f t="shared" si="341"/>
        <v>0.00015%</v>
      </c>
      <c r="C8585" t="s">
        <v>10</v>
      </c>
      <c r="D8585" t="s">
        <v>10</v>
      </c>
      <c r="E8585" t="str">
        <f>"$ 1,191"</f>
        <v>$ 1,191</v>
      </c>
      <c r="F8585" s="1">
        <v>2194</v>
      </c>
    </row>
    <row r="8586" spans="1:6">
      <c r="A8586" t="s">
        <v>8533</v>
      </c>
      <c r="B8586" t="str">
        <f t="shared" si="341"/>
        <v>0.00015%</v>
      </c>
      <c r="C8586" t="s">
        <v>10</v>
      </c>
      <c r="D8586" t="s">
        <v>10</v>
      </c>
      <c r="E8586" t="str">
        <f>"$ 1,156"</f>
        <v>$ 1,156</v>
      </c>
      <c r="F8586" s="1">
        <v>6435</v>
      </c>
    </row>
    <row r="8587" spans="1:6">
      <c r="A8587" t="s">
        <v>8534</v>
      </c>
      <c r="B8587" t="str">
        <f t="shared" si="341"/>
        <v>0.00015%</v>
      </c>
      <c r="C8587" t="s">
        <v>10</v>
      </c>
      <c r="D8587" t="s">
        <v>10</v>
      </c>
      <c r="E8587" t="str">
        <f>"$ 1,159"</f>
        <v>$ 1,159</v>
      </c>
      <c r="F8587">
        <v>110</v>
      </c>
    </row>
    <row r="8588" spans="1:6">
      <c r="A8588" t="s">
        <v>8535</v>
      </c>
      <c r="B8588" t="str">
        <f t="shared" si="341"/>
        <v>0.00015%</v>
      </c>
      <c r="C8588" t="s">
        <v>10</v>
      </c>
      <c r="D8588" t="s">
        <v>10</v>
      </c>
      <c r="E8588" t="str">
        <f>"$ 1,133"</f>
        <v>$ 1,133</v>
      </c>
      <c r="F8588">
        <v>51</v>
      </c>
    </row>
    <row r="8589" spans="1:6">
      <c r="A8589" t="s">
        <v>8536</v>
      </c>
      <c r="B8589" t="str">
        <f t="shared" si="341"/>
        <v>0.00015%</v>
      </c>
      <c r="C8589" t="s">
        <v>10</v>
      </c>
      <c r="D8589" t="s">
        <v>10</v>
      </c>
      <c r="E8589" t="str">
        <f>"$ 1,124"</f>
        <v>$ 1,124</v>
      </c>
      <c r="F8589">
        <v>105</v>
      </c>
    </row>
    <row r="8590" spans="1:6">
      <c r="A8590" t="s">
        <v>8537</v>
      </c>
      <c r="B8590" t="str">
        <f t="shared" si="341"/>
        <v>0.00015%</v>
      </c>
      <c r="C8590" t="s">
        <v>10</v>
      </c>
      <c r="D8590" t="s">
        <v>10</v>
      </c>
      <c r="E8590" t="str">
        <f>"$ 1,136"</f>
        <v>$ 1,136</v>
      </c>
      <c r="F8590">
        <v>51</v>
      </c>
    </row>
    <row r="8591" spans="1:6">
      <c r="A8591" t="s">
        <v>8538</v>
      </c>
      <c r="B8591" t="str">
        <f t="shared" si="341"/>
        <v>0.00015%</v>
      </c>
      <c r="C8591" t="s">
        <v>10</v>
      </c>
      <c r="D8591" t="s">
        <v>10</v>
      </c>
      <c r="E8591" t="str">
        <f>"$ 1,144"</f>
        <v>$ 1,144</v>
      </c>
      <c r="F8591">
        <v>54</v>
      </c>
    </row>
    <row r="8592" spans="1:6">
      <c r="A8592" t="s">
        <v>8539</v>
      </c>
      <c r="B8592" t="str">
        <f t="shared" si="341"/>
        <v>0.00015%</v>
      </c>
      <c r="C8592" t="s">
        <v>10</v>
      </c>
      <c r="D8592" t="s">
        <v>10</v>
      </c>
      <c r="E8592" t="str">
        <f>"$ 1,146"</f>
        <v>$ 1,146</v>
      </c>
      <c r="F8592">
        <v>52</v>
      </c>
    </row>
    <row r="8593" spans="1:6">
      <c r="A8593" t="s">
        <v>8540</v>
      </c>
      <c r="B8593" t="str">
        <f t="shared" si="341"/>
        <v>0.00015%</v>
      </c>
      <c r="C8593" t="s">
        <v>10</v>
      </c>
      <c r="D8593" t="s">
        <v>10</v>
      </c>
      <c r="E8593" t="str">
        <f>"$ 1,170"</f>
        <v>$ 1,170</v>
      </c>
      <c r="F8593">
        <v>29</v>
      </c>
    </row>
    <row r="8594" spans="1:6">
      <c r="A8594" t="s">
        <v>8541</v>
      </c>
      <c r="B8594" t="str">
        <f t="shared" si="341"/>
        <v>0.00015%</v>
      </c>
      <c r="C8594" t="s">
        <v>10</v>
      </c>
      <c r="D8594" t="s">
        <v>10</v>
      </c>
      <c r="E8594" t="str">
        <f>"$ 1,188"</f>
        <v>$ 1,188</v>
      </c>
      <c r="F8594" s="1">
        <v>1016</v>
      </c>
    </row>
    <row r="8595" spans="1:6">
      <c r="A8595" t="s">
        <v>8542</v>
      </c>
      <c r="B8595" t="str">
        <f t="shared" si="341"/>
        <v>0.00015%</v>
      </c>
      <c r="C8595" t="s">
        <v>10</v>
      </c>
      <c r="D8595" t="s">
        <v>10</v>
      </c>
      <c r="E8595" t="str">
        <f>"$ 1,184"</f>
        <v>$ 1,184</v>
      </c>
      <c r="F8595">
        <v>18</v>
      </c>
    </row>
    <row r="8596" spans="1:6">
      <c r="A8596" t="s">
        <v>8543</v>
      </c>
      <c r="B8596" t="str">
        <f t="shared" si="341"/>
        <v>0.00015%</v>
      </c>
      <c r="C8596" t="s">
        <v>10</v>
      </c>
      <c r="D8596" t="s">
        <v>10</v>
      </c>
      <c r="E8596" t="str">
        <f>"$ 1,191"</f>
        <v>$ 1,191</v>
      </c>
      <c r="F8596">
        <v>77</v>
      </c>
    </row>
    <row r="8597" spans="1:6">
      <c r="A8597" t="s">
        <v>8544</v>
      </c>
      <c r="B8597" t="str">
        <f t="shared" si="341"/>
        <v>0.00015%</v>
      </c>
      <c r="C8597" t="s">
        <v>10</v>
      </c>
      <c r="D8597" t="s">
        <v>10</v>
      </c>
      <c r="E8597" t="str">
        <f>"$ 1,174"</f>
        <v>$ 1,174</v>
      </c>
      <c r="F8597" s="1">
        <v>1499</v>
      </c>
    </row>
    <row r="8598" spans="1:6">
      <c r="A8598" t="s">
        <v>8545</v>
      </c>
      <c r="B8598" t="str">
        <f t="shared" si="341"/>
        <v>0.00015%</v>
      </c>
      <c r="C8598" t="s">
        <v>10</v>
      </c>
      <c r="D8598" t="s">
        <v>10</v>
      </c>
      <c r="E8598" t="str">
        <f>"$ 1,120"</f>
        <v>$ 1,120</v>
      </c>
      <c r="F8598" s="1">
        <v>4347</v>
      </c>
    </row>
    <row r="8599" spans="1:6">
      <c r="A8599" t="s">
        <v>8546</v>
      </c>
      <c r="B8599" t="str">
        <f t="shared" si="341"/>
        <v>0.00015%</v>
      </c>
      <c r="C8599" t="s">
        <v>10</v>
      </c>
      <c r="D8599" t="s">
        <v>10</v>
      </c>
      <c r="E8599" t="str">
        <f>"$ 1,131"</f>
        <v>$ 1,131</v>
      </c>
      <c r="F8599">
        <v>280</v>
      </c>
    </row>
    <row r="8600" spans="1:6">
      <c r="A8600" t="s">
        <v>8547</v>
      </c>
      <c r="B8600" t="str">
        <f t="shared" si="341"/>
        <v>0.00015%</v>
      </c>
      <c r="C8600" t="s">
        <v>10</v>
      </c>
      <c r="D8600" t="s">
        <v>10</v>
      </c>
      <c r="E8600" t="str">
        <f>"$ 1,126"</f>
        <v>$ 1,126</v>
      </c>
      <c r="F8600" s="1">
        <v>1903</v>
      </c>
    </row>
    <row r="8601" spans="1:6">
      <c r="A8601" t="s">
        <v>8548</v>
      </c>
      <c r="B8601" t="str">
        <f t="shared" si="341"/>
        <v>0.00015%</v>
      </c>
      <c r="C8601" t="s">
        <v>10</v>
      </c>
      <c r="D8601" t="s">
        <v>10</v>
      </c>
      <c r="E8601" t="str">
        <f>"$ 1,127"</f>
        <v>$ 1,127</v>
      </c>
      <c r="F8601" s="1">
        <v>2001</v>
      </c>
    </row>
    <row r="8602" spans="1:6">
      <c r="A8602" t="s">
        <v>8549</v>
      </c>
      <c r="B8602" t="str">
        <f t="shared" si="341"/>
        <v>0.00015%</v>
      </c>
      <c r="C8602" t="s">
        <v>10</v>
      </c>
      <c r="D8602" t="s">
        <v>10</v>
      </c>
      <c r="E8602" t="str">
        <f>"$ 1,161"</f>
        <v>$ 1,161</v>
      </c>
      <c r="F8602">
        <v>215</v>
      </c>
    </row>
    <row r="8603" spans="1:6">
      <c r="A8603" t="s">
        <v>8550</v>
      </c>
      <c r="B8603" t="str">
        <f t="shared" si="341"/>
        <v>0.00015%</v>
      </c>
      <c r="C8603" t="s">
        <v>10</v>
      </c>
      <c r="D8603" t="s">
        <v>10</v>
      </c>
      <c r="E8603" t="str">
        <f>"$ 1,196"</f>
        <v>$ 1,196</v>
      </c>
      <c r="F8603" s="1">
        <v>1697</v>
      </c>
    </row>
    <row r="8604" spans="1:6">
      <c r="A8604" t="s">
        <v>8551</v>
      </c>
      <c r="B8604" t="str">
        <f t="shared" si="341"/>
        <v>0.00015%</v>
      </c>
      <c r="C8604" t="s">
        <v>10</v>
      </c>
      <c r="D8604" t="s">
        <v>10</v>
      </c>
      <c r="E8604" t="str">
        <f>"$ 1,137"</f>
        <v>$ 1,137</v>
      </c>
      <c r="F8604">
        <v>58</v>
      </c>
    </row>
    <row r="8605" spans="1:6">
      <c r="A8605" t="s">
        <v>8552</v>
      </c>
      <c r="B8605" t="str">
        <f t="shared" si="341"/>
        <v>0.00015%</v>
      </c>
      <c r="C8605" t="s">
        <v>10</v>
      </c>
      <c r="D8605" t="s">
        <v>10</v>
      </c>
      <c r="E8605" t="str">
        <f>"$ 1,148"</f>
        <v>$ 1,148</v>
      </c>
      <c r="F8605" s="1">
        <v>1270</v>
      </c>
    </row>
    <row r="8606" spans="1:6">
      <c r="A8606" t="s">
        <v>8553</v>
      </c>
      <c r="B8606" t="str">
        <f t="shared" si="341"/>
        <v>0.00015%</v>
      </c>
      <c r="C8606" t="s">
        <v>10</v>
      </c>
      <c r="D8606" t="s">
        <v>10</v>
      </c>
      <c r="E8606" t="str">
        <f>"$ 1,148"</f>
        <v>$ 1,148</v>
      </c>
      <c r="F8606">
        <v>300</v>
      </c>
    </row>
    <row r="8607" spans="1:6">
      <c r="A8607" t="s">
        <v>8554</v>
      </c>
      <c r="B8607" t="str">
        <f t="shared" si="341"/>
        <v>0.00015%</v>
      </c>
      <c r="C8607" t="s">
        <v>10</v>
      </c>
      <c r="D8607" t="s">
        <v>10</v>
      </c>
      <c r="E8607" t="str">
        <f>"$ 1,136"</f>
        <v>$ 1,136</v>
      </c>
      <c r="F8607">
        <v>411</v>
      </c>
    </row>
    <row r="8608" spans="1:6">
      <c r="A8608" t="s">
        <v>8555</v>
      </c>
      <c r="B8608" t="str">
        <f t="shared" ref="B8608:B8626" si="342">"0.00015%"</f>
        <v>0.00015%</v>
      </c>
      <c r="C8608" t="s">
        <v>10</v>
      </c>
      <c r="D8608" t="s">
        <v>10</v>
      </c>
      <c r="E8608" t="str">
        <f>"$ 1,144"</f>
        <v>$ 1,144</v>
      </c>
      <c r="F8608">
        <v>584</v>
      </c>
    </row>
    <row r="8609" spans="1:6">
      <c r="A8609" t="s">
        <v>8556</v>
      </c>
      <c r="B8609" t="str">
        <f t="shared" si="342"/>
        <v>0.00015%</v>
      </c>
      <c r="C8609" t="s">
        <v>10</v>
      </c>
      <c r="D8609" t="s">
        <v>10</v>
      </c>
      <c r="E8609" t="str">
        <f>"$ 1,169"</f>
        <v>$ 1,169</v>
      </c>
      <c r="F8609">
        <v>644</v>
      </c>
    </row>
    <row r="8610" spans="1:6">
      <c r="A8610" t="s">
        <v>8557</v>
      </c>
      <c r="B8610" t="str">
        <f t="shared" si="342"/>
        <v>0.00015%</v>
      </c>
      <c r="C8610" t="s">
        <v>10</v>
      </c>
      <c r="D8610" t="s">
        <v>10</v>
      </c>
      <c r="E8610" t="str">
        <f>"$ 1,124"</f>
        <v>$ 1,124</v>
      </c>
      <c r="F8610">
        <v>497</v>
      </c>
    </row>
    <row r="8611" spans="1:6">
      <c r="A8611" t="s">
        <v>7000</v>
      </c>
      <c r="B8611" t="str">
        <f t="shared" si="342"/>
        <v>0.00015%</v>
      </c>
      <c r="C8611" t="s">
        <v>10</v>
      </c>
      <c r="D8611" t="s">
        <v>10</v>
      </c>
      <c r="E8611" t="str">
        <f>"$ 1,133"</f>
        <v>$ 1,133</v>
      </c>
      <c r="F8611">
        <v>176</v>
      </c>
    </row>
    <row r="8612" spans="1:6">
      <c r="A8612" t="s">
        <v>8558</v>
      </c>
      <c r="B8612" t="str">
        <f t="shared" si="342"/>
        <v>0.00015%</v>
      </c>
      <c r="C8612" t="s">
        <v>10</v>
      </c>
      <c r="D8612" t="s">
        <v>10</v>
      </c>
      <c r="E8612" t="str">
        <f>"$ 1,160"</f>
        <v>$ 1,160</v>
      </c>
      <c r="F8612">
        <v>740</v>
      </c>
    </row>
    <row r="8613" spans="1:6">
      <c r="A8613" t="s">
        <v>8559</v>
      </c>
      <c r="B8613" t="str">
        <f t="shared" si="342"/>
        <v>0.00015%</v>
      </c>
      <c r="C8613" t="s">
        <v>10</v>
      </c>
      <c r="D8613" t="s">
        <v>10</v>
      </c>
      <c r="E8613" t="str">
        <f>"$ 1,167"</f>
        <v>$ 1,167</v>
      </c>
      <c r="F8613">
        <v>553</v>
      </c>
    </row>
    <row r="8614" spans="1:6">
      <c r="A8614" t="s">
        <v>8560</v>
      </c>
      <c r="B8614" t="str">
        <f t="shared" si="342"/>
        <v>0.00015%</v>
      </c>
      <c r="C8614" t="s">
        <v>10</v>
      </c>
      <c r="D8614" t="s">
        <v>10</v>
      </c>
      <c r="E8614" t="str">
        <f>"$ 1,124"</f>
        <v>$ 1,124</v>
      </c>
      <c r="F8614">
        <v>21</v>
      </c>
    </row>
    <row r="8615" spans="1:6">
      <c r="A8615" t="s">
        <v>8561</v>
      </c>
      <c r="B8615" t="str">
        <f t="shared" si="342"/>
        <v>0.00015%</v>
      </c>
      <c r="C8615" t="s">
        <v>10</v>
      </c>
      <c r="D8615" t="s">
        <v>10</v>
      </c>
      <c r="E8615" t="str">
        <f>"$ 1,166"</f>
        <v>$ 1,166</v>
      </c>
      <c r="F8615" s="1">
        <v>2969</v>
      </c>
    </row>
    <row r="8616" spans="1:6">
      <c r="A8616" t="s">
        <v>8562</v>
      </c>
      <c r="B8616" t="str">
        <f t="shared" si="342"/>
        <v>0.00015%</v>
      </c>
      <c r="C8616" t="s">
        <v>10</v>
      </c>
      <c r="D8616" t="s">
        <v>10</v>
      </c>
      <c r="E8616" t="str">
        <f>"$ 1,196"</f>
        <v>$ 1,196</v>
      </c>
      <c r="F8616" s="1">
        <v>1650</v>
      </c>
    </row>
    <row r="8617" spans="1:6">
      <c r="A8617" t="s">
        <v>8563</v>
      </c>
      <c r="B8617" t="str">
        <f t="shared" si="342"/>
        <v>0.00015%</v>
      </c>
      <c r="C8617" t="s">
        <v>10</v>
      </c>
      <c r="D8617" t="s">
        <v>10</v>
      </c>
      <c r="E8617" t="str">
        <f>"$ 1,197"</f>
        <v>$ 1,197</v>
      </c>
      <c r="F8617">
        <v>115</v>
      </c>
    </row>
    <row r="8618" spans="1:6">
      <c r="A8618" t="s">
        <v>8564</v>
      </c>
      <c r="B8618" t="str">
        <f t="shared" si="342"/>
        <v>0.00015%</v>
      </c>
      <c r="C8618" t="s">
        <v>10</v>
      </c>
      <c r="D8618" t="s">
        <v>10</v>
      </c>
      <c r="E8618" t="str">
        <f>"$ 1,171"</f>
        <v>$ 1,171</v>
      </c>
      <c r="F8618">
        <v>124</v>
      </c>
    </row>
    <row r="8619" spans="1:6">
      <c r="A8619" t="s">
        <v>8565</v>
      </c>
      <c r="B8619" t="str">
        <f t="shared" si="342"/>
        <v>0.00015%</v>
      </c>
      <c r="C8619" t="s">
        <v>10</v>
      </c>
      <c r="D8619" t="s">
        <v>10</v>
      </c>
      <c r="E8619" t="str">
        <f>"$ 1,135"</f>
        <v>$ 1,135</v>
      </c>
      <c r="F8619">
        <v>517</v>
      </c>
    </row>
    <row r="8620" spans="1:6">
      <c r="A8620" t="s">
        <v>8566</v>
      </c>
      <c r="B8620" t="str">
        <f t="shared" si="342"/>
        <v>0.00015%</v>
      </c>
      <c r="C8620" t="s">
        <v>10</v>
      </c>
      <c r="D8620" t="s">
        <v>10</v>
      </c>
      <c r="E8620" t="str">
        <f>"$ 1,138"</f>
        <v>$ 1,138</v>
      </c>
      <c r="F8620">
        <v>49</v>
      </c>
    </row>
    <row r="8621" spans="1:6">
      <c r="A8621" t="s">
        <v>8567</v>
      </c>
      <c r="B8621" t="str">
        <f t="shared" si="342"/>
        <v>0.00015%</v>
      </c>
      <c r="C8621" t="s">
        <v>10</v>
      </c>
      <c r="D8621" t="s">
        <v>10</v>
      </c>
      <c r="E8621" t="str">
        <f>"$ 1,183"</f>
        <v>$ 1,183</v>
      </c>
      <c r="F8621">
        <v>333</v>
      </c>
    </row>
    <row r="8622" spans="1:6">
      <c r="A8622" t="s">
        <v>8568</v>
      </c>
      <c r="B8622" t="str">
        <f t="shared" si="342"/>
        <v>0.00015%</v>
      </c>
      <c r="C8622" t="s">
        <v>10</v>
      </c>
      <c r="D8622" t="s">
        <v>10</v>
      </c>
      <c r="E8622" t="str">
        <f>"$ 1,186"</f>
        <v>$ 1,186</v>
      </c>
      <c r="F8622">
        <v>66</v>
      </c>
    </row>
    <row r="8623" spans="1:6">
      <c r="A8623" t="s">
        <v>8569</v>
      </c>
      <c r="B8623" t="str">
        <f t="shared" si="342"/>
        <v>0.00015%</v>
      </c>
      <c r="C8623" t="s">
        <v>10</v>
      </c>
      <c r="D8623" t="s">
        <v>10</v>
      </c>
      <c r="E8623" t="str">
        <f>"$ 1,192"</f>
        <v>$ 1,192</v>
      </c>
      <c r="F8623">
        <v>891</v>
      </c>
    </row>
    <row r="8624" spans="1:6">
      <c r="A8624" t="s">
        <v>8570</v>
      </c>
      <c r="B8624" t="str">
        <f t="shared" si="342"/>
        <v>0.00015%</v>
      </c>
      <c r="C8624" t="s">
        <v>10</v>
      </c>
      <c r="D8624" t="s">
        <v>10</v>
      </c>
      <c r="E8624" t="str">
        <f>"$ 1,127"</f>
        <v>$ 1,127</v>
      </c>
      <c r="F8624">
        <v>53</v>
      </c>
    </row>
    <row r="8625" spans="1:6">
      <c r="A8625" t="s">
        <v>8571</v>
      </c>
      <c r="B8625" t="str">
        <f t="shared" si="342"/>
        <v>0.00015%</v>
      </c>
      <c r="C8625" t="s">
        <v>10</v>
      </c>
      <c r="D8625" t="s">
        <v>10</v>
      </c>
      <c r="E8625" t="str">
        <f>"$ 1,170"</f>
        <v>$ 1,170</v>
      </c>
      <c r="F8625" s="1">
        <v>1351</v>
      </c>
    </row>
    <row r="8626" spans="1:6">
      <c r="A8626" t="s">
        <v>8572</v>
      </c>
      <c r="B8626" t="str">
        <f t="shared" si="342"/>
        <v>0.00015%</v>
      </c>
      <c r="C8626" t="s">
        <v>10</v>
      </c>
      <c r="D8626" t="s">
        <v>10</v>
      </c>
      <c r="E8626" t="str">
        <f>"$ 1,151"</f>
        <v>$ 1,151</v>
      </c>
      <c r="F8626">
        <v>96</v>
      </c>
    </row>
    <row r="8627" spans="1:6">
      <c r="A8627" t="s">
        <v>8573</v>
      </c>
      <c r="B8627" t="str">
        <f t="shared" ref="B8627:B8658" si="343">"0.00014%"</f>
        <v>0.00014%</v>
      </c>
      <c r="C8627" t="s">
        <v>10</v>
      </c>
      <c r="D8627" t="s">
        <v>10</v>
      </c>
      <c r="E8627" t="str">
        <f>"$ 1,047"</f>
        <v>$ 1,047</v>
      </c>
      <c r="F8627">
        <v>792</v>
      </c>
    </row>
    <row r="8628" spans="1:6">
      <c r="A8628" t="s">
        <v>8574</v>
      </c>
      <c r="B8628" t="str">
        <f t="shared" si="343"/>
        <v>0.00014%</v>
      </c>
      <c r="C8628" t="s">
        <v>10</v>
      </c>
      <c r="D8628" t="s">
        <v>10</v>
      </c>
      <c r="E8628" t="str">
        <f>"$ 1,053"</f>
        <v>$ 1,053</v>
      </c>
      <c r="F8628">
        <v>117</v>
      </c>
    </row>
    <row r="8629" spans="1:6">
      <c r="A8629" t="s">
        <v>8575</v>
      </c>
      <c r="B8629" t="str">
        <f t="shared" si="343"/>
        <v>0.00014%</v>
      </c>
      <c r="C8629" t="s">
        <v>10</v>
      </c>
      <c r="D8629" t="s">
        <v>10</v>
      </c>
      <c r="E8629" t="str">
        <f>"$ 1,116"</f>
        <v>$ 1,116</v>
      </c>
      <c r="F8629">
        <v>61</v>
      </c>
    </row>
    <row r="8630" spans="1:6">
      <c r="A8630" t="s">
        <v>8576</v>
      </c>
      <c r="B8630" t="str">
        <f t="shared" si="343"/>
        <v>0.00014%</v>
      </c>
      <c r="C8630" t="s">
        <v>10</v>
      </c>
      <c r="D8630" t="s">
        <v>10</v>
      </c>
      <c r="E8630" t="str">
        <f>"$ 1,054"</f>
        <v>$ 1,054</v>
      </c>
      <c r="F8630">
        <v>927</v>
      </c>
    </row>
    <row r="8631" spans="1:6">
      <c r="A8631" t="s">
        <v>8577</v>
      </c>
      <c r="B8631" t="str">
        <f t="shared" si="343"/>
        <v>0.00014%</v>
      </c>
      <c r="C8631" t="s">
        <v>10</v>
      </c>
      <c r="D8631" t="s">
        <v>10</v>
      </c>
      <c r="E8631" t="str">
        <f>"$ 1,068"</f>
        <v>$ 1,068</v>
      </c>
      <c r="F8631">
        <v>282</v>
      </c>
    </row>
    <row r="8632" spans="1:6">
      <c r="A8632" t="s">
        <v>8578</v>
      </c>
      <c r="B8632" t="str">
        <f t="shared" si="343"/>
        <v>0.00014%</v>
      </c>
      <c r="C8632" t="s">
        <v>10</v>
      </c>
      <c r="D8632" t="s">
        <v>10</v>
      </c>
      <c r="E8632" t="str">
        <f>"$ 1,100"</f>
        <v>$ 1,100</v>
      </c>
      <c r="F8632">
        <v>530</v>
      </c>
    </row>
    <row r="8633" spans="1:6">
      <c r="A8633" t="s">
        <v>8579</v>
      </c>
      <c r="B8633" t="str">
        <f t="shared" si="343"/>
        <v>0.00014%</v>
      </c>
      <c r="C8633" t="s">
        <v>10</v>
      </c>
      <c r="D8633" t="s">
        <v>10</v>
      </c>
      <c r="E8633" t="str">
        <f>"$ 1,079"</f>
        <v>$ 1,079</v>
      </c>
      <c r="F8633">
        <v>783</v>
      </c>
    </row>
    <row r="8634" spans="1:6">
      <c r="A8634" t="s">
        <v>8580</v>
      </c>
      <c r="B8634" t="str">
        <f t="shared" si="343"/>
        <v>0.00014%</v>
      </c>
      <c r="C8634" t="s">
        <v>10</v>
      </c>
      <c r="D8634" t="s">
        <v>10</v>
      </c>
      <c r="E8634" t="str">
        <f>"$ 1,049"</f>
        <v>$ 1,049</v>
      </c>
      <c r="F8634" s="1">
        <v>1657</v>
      </c>
    </row>
    <row r="8635" spans="1:6">
      <c r="A8635" t="s">
        <v>8581</v>
      </c>
      <c r="B8635" t="str">
        <f t="shared" si="343"/>
        <v>0.00014%</v>
      </c>
      <c r="C8635" t="s">
        <v>10</v>
      </c>
      <c r="D8635" t="s">
        <v>10</v>
      </c>
      <c r="E8635" t="str">
        <f>"$ 1,088"</f>
        <v>$ 1,088</v>
      </c>
      <c r="F8635">
        <v>18</v>
      </c>
    </row>
    <row r="8636" spans="1:6">
      <c r="A8636" t="s">
        <v>8582</v>
      </c>
      <c r="B8636" t="str">
        <f t="shared" si="343"/>
        <v>0.00014%</v>
      </c>
      <c r="C8636" t="s">
        <v>10</v>
      </c>
      <c r="D8636" t="s">
        <v>10</v>
      </c>
      <c r="E8636" t="str">
        <f>"$ 1,091"</f>
        <v>$ 1,091</v>
      </c>
      <c r="F8636">
        <v>139</v>
      </c>
    </row>
    <row r="8637" spans="1:6">
      <c r="A8637" t="s">
        <v>8583</v>
      </c>
      <c r="B8637" t="str">
        <f t="shared" si="343"/>
        <v>0.00014%</v>
      </c>
      <c r="C8637" t="s">
        <v>10</v>
      </c>
      <c r="D8637" t="s">
        <v>10</v>
      </c>
      <c r="E8637" t="str">
        <f>"$ 1,095"</f>
        <v>$ 1,095</v>
      </c>
      <c r="F8637">
        <v>803</v>
      </c>
    </row>
    <row r="8638" spans="1:6">
      <c r="A8638" t="s">
        <v>8584</v>
      </c>
      <c r="B8638" t="str">
        <f t="shared" si="343"/>
        <v>0.00014%</v>
      </c>
      <c r="C8638" t="s">
        <v>10</v>
      </c>
      <c r="D8638" t="s">
        <v>10</v>
      </c>
      <c r="E8638" t="str">
        <f>"$ 1,090"</f>
        <v>$ 1,090</v>
      </c>
      <c r="F8638">
        <v>355</v>
      </c>
    </row>
    <row r="8639" spans="1:6">
      <c r="A8639" t="s">
        <v>8585</v>
      </c>
      <c r="B8639" t="str">
        <f t="shared" si="343"/>
        <v>0.00014%</v>
      </c>
      <c r="C8639" t="s">
        <v>10</v>
      </c>
      <c r="D8639" t="s">
        <v>10</v>
      </c>
      <c r="E8639" t="str">
        <f>"$ 1,044"</f>
        <v>$ 1,044</v>
      </c>
      <c r="F8639">
        <v>82</v>
      </c>
    </row>
    <row r="8640" spans="1:6">
      <c r="A8640" t="s">
        <v>8586</v>
      </c>
      <c r="B8640" t="str">
        <f t="shared" si="343"/>
        <v>0.00014%</v>
      </c>
      <c r="C8640" t="s">
        <v>10</v>
      </c>
      <c r="D8640" t="s">
        <v>10</v>
      </c>
      <c r="E8640" t="str">
        <f>"$ 1,072"</f>
        <v>$ 1,072</v>
      </c>
      <c r="F8640">
        <v>49</v>
      </c>
    </row>
    <row r="8641" spans="1:6">
      <c r="A8641" t="s">
        <v>8587</v>
      </c>
      <c r="B8641" t="str">
        <f t="shared" si="343"/>
        <v>0.00014%</v>
      </c>
      <c r="C8641" t="s">
        <v>10</v>
      </c>
      <c r="D8641" t="s">
        <v>10</v>
      </c>
      <c r="E8641" t="str">
        <f>"$ 1,090"</f>
        <v>$ 1,090</v>
      </c>
      <c r="F8641">
        <v>444</v>
      </c>
    </row>
    <row r="8642" spans="1:6">
      <c r="A8642" t="s">
        <v>8588</v>
      </c>
      <c r="B8642" t="str">
        <f t="shared" si="343"/>
        <v>0.00014%</v>
      </c>
      <c r="C8642" t="s">
        <v>10</v>
      </c>
      <c r="D8642" t="s">
        <v>10</v>
      </c>
      <c r="E8642" t="str">
        <f>"$ 1,098"</f>
        <v>$ 1,098</v>
      </c>
      <c r="F8642" s="1">
        <v>1070</v>
      </c>
    </row>
    <row r="8643" spans="1:6">
      <c r="A8643" t="s">
        <v>8589</v>
      </c>
      <c r="B8643" t="str">
        <f t="shared" si="343"/>
        <v>0.00014%</v>
      </c>
      <c r="C8643" t="s">
        <v>10</v>
      </c>
      <c r="D8643" t="s">
        <v>10</v>
      </c>
      <c r="E8643" t="str">
        <f>"$ 1,091"</f>
        <v>$ 1,091</v>
      </c>
      <c r="F8643" s="1">
        <v>1079</v>
      </c>
    </row>
    <row r="8644" spans="1:6">
      <c r="A8644" t="s">
        <v>8590</v>
      </c>
      <c r="B8644" t="str">
        <f t="shared" si="343"/>
        <v>0.00014%</v>
      </c>
      <c r="C8644" t="s">
        <v>10</v>
      </c>
      <c r="D8644" t="s">
        <v>10</v>
      </c>
      <c r="E8644" t="str">
        <f>"$ 1,087"</f>
        <v>$ 1,087</v>
      </c>
      <c r="F8644" s="1">
        <v>3055</v>
      </c>
    </row>
    <row r="8645" spans="1:6">
      <c r="A8645" t="s">
        <v>8591</v>
      </c>
      <c r="B8645" t="str">
        <f t="shared" si="343"/>
        <v>0.00014%</v>
      </c>
      <c r="C8645" t="s">
        <v>10</v>
      </c>
      <c r="D8645" t="s">
        <v>10</v>
      </c>
      <c r="E8645" t="str">
        <f>"$ 1,082"</f>
        <v>$ 1,082</v>
      </c>
      <c r="F8645" s="1">
        <v>84126</v>
      </c>
    </row>
    <row r="8646" spans="1:6">
      <c r="A8646" t="s">
        <v>8592</v>
      </c>
      <c r="B8646" t="str">
        <f t="shared" si="343"/>
        <v>0.00014%</v>
      </c>
      <c r="C8646" t="s">
        <v>10</v>
      </c>
      <c r="D8646" t="s">
        <v>10</v>
      </c>
      <c r="E8646" t="str">
        <f>"$ 1,086"</f>
        <v>$ 1,086</v>
      </c>
      <c r="F8646" s="1">
        <v>1435</v>
      </c>
    </row>
    <row r="8647" spans="1:6">
      <c r="A8647" t="s">
        <v>8593</v>
      </c>
      <c r="B8647" t="str">
        <f t="shared" si="343"/>
        <v>0.00014%</v>
      </c>
      <c r="C8647" t="s">
        <v>10</v>
      </c>
      <c r="D8647" t="s">
        <v>10</v>
      </c>
      <c r="E8647" t="str">
        <f>"$ 1,069"</f>
        <v>$ 1,069</v>
      </c>
      <c r="F8647">
        <v>132</v>
      </c>
    </row>
    <row r="8648" spans="1:6">
      <c r="A8648" t="s">
        <v>8594</v>
      </c>
      <c r="B8648" t="str">
        <f t="shared" si="343"/>
        <v>0.00014%</v>
      </c>
      <c r="C8648" t="s">
        <v>10</v>
      </c>
      <c r="D8648" t="s">
        <v>10</v>
      </c>
      <c r="E8648" t="str">
        <f>"$ 1,108"</f>
        <v>$ 1,108</v>
      </c>
      <c r="F8648" s="1">
        <v>1595</v>
      </c>
    </row>
    <row r="8649" spans="1:6">
      <c r="A8649" t="s">
        <v>8595</v>
      </c>
      <c r="B8649" t="str">
        <f t="shared" si="343"/>
        <v>0.00014%</v>
      </c>
      <c r="C8649" t="s">
        <v>10</v>
      </c>
      <c r="D8649" t="s">
        <v>10</v>
      </c>
      <c r="E8649" t="str">
        <f>"$ 1,083"</f>
        <v>$ 1,083</v>
      </c>
      <c r="F8649" s="1">
        <v>1671</v>
      </c>
    </row>
    <row r="8650" spans="1:6">
      <c r="A8650" t="s">
        <v>8596</v>
      </c>
      <c r="B8650" t="str">
        <f t="shared" si="343"/>
        <v>0.00014%</v>
      </c>
      <c r="C8650" t="s">
        <v>10</v>
      </c>
      <c r="D8650" t="s">
        <v>10</v>
      </c>
      <c r="E8650" t="str">
        <f>"$ 1,044"</f>
        <v>$ 1,044</v>
      </c>
      <c r="F8650" s="1">
        <v>4044</v>
      </c>
    </row>
    <row r="8651" spans="1:6">
      <c r="A8651" t="s">
        <v>8597</v>
      </c>
      <c r="B8651" t="str">
        <f t="shared" si="343"/>
        <v>0.00014%</v>
      </c>
      <c r="C8651" t="s">
        <v>10</v>
      </c>
      <c r="D8651" t="s">
        <v>10</v>
      </c>
      <c r="E8651" t="str">
        <f>"$ 1,092"</f>
        <v>$ 1,092</v>
      </c>
      <c r="F8651">
        <v>115</v>
      </c>
    </row>
    <row r="8652" spans="1:6">
      <c r="A8652" t="s">
        <v>8598</v>
      </c>
      <c r="B8652" t="str">
        <f t="shared" si="343"/>
        <v>0.00014%</v>
      </c>
      <c r="C8652" t="s">
        <v>10</v>
      </c>
      <c r="D8652" t="s">
        <v>10</v>
      </c>
      <c r="E8652" t="str">
        <f>"$ 1,104"</f>
        <v>$ 1,104</v>
      </c>
      <c r="F8652">
        <v>103</v>
      </c>
    </row>
    <row r="8653" spans="1:6">
      <c r="A8653" t="s">
        <v>8599</v>
      </c>
      <c r="B8653" t="str">
        <f t="shared" si="343"/>
        <v>0.00014%</v>
      </c>
      <c r="C8653" t="s">
        <v>10</v>
      </c>
      <c r="D8653" t="s">
        <v>10</v>
      </c>
      <c r="E8653" t="str">
        <f>"$ 1,071"</f>
        <v>$ 1,071</v>
      </c>
      <c r="F8653" s="1">
        <v>1027</v>
      </c>
    </row>
    <row r="8654" spans="1:6">
      <c r="A8654" t="s">
        <v>8600</v>
      </c>
      <c r="B8654" t="str">
        <f t="shared" si="343"/>
        <v>0.00014%</v>
      </c>
      <c r="C8654" t="s">
        <v>10</v>
      </c>
      <c r="D8654" t="s">
        <v>10</v>
      </c>
      <c r="E8654" t="str">
        <f>"$ 1,059"</f>
        <v>$ 1,059</v>
      </c>
      <c r="F8654" s="1">
        <v>1326</v>
      </c>
    </row>
    <row r="8655" spans="1:6">
      <c r="A8655" t="s">
        <v>8601</v>
      </c>
      <c r="B8655" t="str">
        <f t="shared" si="343"/>
        <v>0.00014%</v>
      </c>
      <c r="C8655" t="s">
        <v>10</v>
      </c>
      <c r="D8655" t="s">
        <v>10</v>
      </c>
      <c r="E8655" t="str">
        <f>"$ 1,111"</f>
        <v>$ 1,111</v>
      </c>
      <c r="F8655">
        <v>164</v>
      </c>
    </row>
    <row r="8656" spans="1:6">
      <c r="A8656" t="s">
        <v>8602</v>
      </c>
      <c r="B8656" t="str">
        <f t="shared" si="343"/>
        <v>0.00014%</v>
      </c>
      <c r="C8656" t="s">
        <v>10</v>
      </c>
      <c r="D8656" t="s">
        <v>10</v>
      </c>
      <c r="E8656" t="str">
        <f>"$ 1,095"</f>
        <v>$ 1,095</v>
      </c>
      <c r="F8656" s="1">
        <v>1441</v>
      </c>
    </row>
    <row r="8657" spans="1:6">
      <c r="A8657" t="s">
        <v>8603</v>
      </c>
      <c r="B8657" t="str">
        <f t="shared" si="343"/>
        <v>0.00014%</v>
      </c>
      <c r="C8657" t="s">
        <v>10</v>
      </c>
      <c r="D8657" t="s">
        <v>10</v>
      </c>
      <c r="E8657" t="str">
        <f>"$ 1,048"</f>
        <v>$ 1,048</v>
      </c>
      <c r="F8657">
        <v>49</v>
      </c>
    </row>
    <row r="8658" spans="1:6">
      <c r="A8658" t="s">
        <v>8604</v>
      </c>
      <c r="B8658" t="str">
        <f t="shared" si="343"/>
        <v>0.00014%</v>
      </c>
      <c r="C8658" t="s">
        <v>10</v>
      </c>
      <c r="D8658" t="s">
        <v>10</v>
      </c>
      <c r="E8658" t="str">
        <f>"$ 1,051"</f>
        <v>$ 1,051</v>
      </c>
      <c r="F8658">
        <v>472</v>
      </c>
    </row>
    <row r="8659" spans="1:6">
      <c r="A8659" t="s">
        <v>8605</v>
      </c>
      <c r="B8659" t="str">
        <f t="shared" ref="B8659:B8690" si="344">"0.00014%"</f>
        <v>0.00014%</v>
      </c>
      <c r="C8659" t="s">
        <v>10</v>
      </c>
      <c r="D8659" t="s">
        <v>10</v>
      </c>
      <c r="E8659" t="str">
        <f>"$ 1,067"</f>
        <v>$ 1,067</v>
      </c>
      <c r="F8659" s="1">
        <v>1083</v>
      </c>
    </row>
    <row r="8660" spans="1:6">
      <c r="A8660" t="s">
        <v>8606</v>
      </c>
      <c r="B8660" t="str">
        <f t="shared" si="344"/>
        <v>0.00014%</v>
      </c>
      <c r="C8660" t="s">
        <v>10</v>
      </c>
      <c r="D8660" t="s">
        <v>10</v>
      </c>
      <c r="E8660" t="str">
        <f>"$ 1,113"</f>
        <v>$ 1,113</v>
      </c>
      <c r="F8660">
        <v>33</v>
      </c>
    </row>
    <row r="8661" spans="1:6">
      <c r="A8661" t="s">
        <v>8216</v>
      </c>
      <c r="B8661" t="str">
        <f t="shared" si="344"/>
        <v>0.00014%</v>
      </c>
      <c r="C8661" t="s">
        <v>10</v>
      </c>
      <c r="D8661" t="s">
        <v>10</v>
      </c>
      <c r="E8661" t="str">
        <f>"$ 1,117"</f>
        <v>$ 1,117</v>
      </c>
      <c r="F8661">
        <v>353</v>
      </c>
    </row>
    <row r="8662" spans="1:6">
      <c r="A8662" t="s">
        <v>8607</v>
      </c>
      <c r="B8662" t="str">
        <f t="shared" si="344"/>
        <v>0.00014%</v>
      </c>
      <c r="C8662" t="s">
        <v>10</v>
      </c>
      <c r="D8662" t="s">
        <v>10</v>
      </c>
      <c r="E8662" t="str">
        <f>"$ 1,100"</f>
        <v>$ 1,100</v>
      </c>
      <c r="F8662">
        <v>22</v>
      </c>
    </row>
    <row r="8663" spans="1:6">
      <c r="A8663" t="s">
        <v>8608</v>
      </c>
      <c r="B8663" t="str">
        <f t="shared" si="344"/>
        <v>0.00014%</v>
      </c>
      <c r="C8663" t="s">
        <v>10</v>
      </c>
      <c r="D8663" t="s">
        <v>10</v>
      </c>
      <c r="E8663" t="str">
        <f>"$ 1,057"</f>
        <v>$ 1,057</v>
      </c>
      <c r="F8663">
        <v>100</v>
      </c>
    </row>
    <row r="8664" spans="1:6">
      <c r="A8664" t="s">
        <v>8609</v>
      </c>
      <c r="B8664" t="str">
        <f t="shared" si="344"/>
        <v>0.00014%</v>
      </c>
      <c r="C8664" t="s">
        <v>10</v>
      </c>
      <c r="D8664" t="s">
        <v>10</v>
      </c>
      <c r="E8664" t="str">
        <f>"$ 1,102"</f>
        <v>$ 1,102</v>
      </c>
      <c r="F8664">
        <v>98</v>
      </c>
    </row>
    <row r="8665" spans="1:6">
      <c r="A8665" t="s">
        <v>8610</v>
      </c>
      <c r="B8665" t="str">
        <f t="shared" si="344"/>
        <v>0.00014%</v>
      </c>
      <c r="C8665" t="s">
        <v>10</v>
      </c>
      <c r="D8665" t="s">
        <v>10</v>
      </c>
      <c r="E8665" t="str">
        <f>"$ 1,051"</f>
        <v>$ 1,051</v>
      </c>
      <c r="F8665">
        <v>618</v>
      </c>
    </row>
    <row r="8666" spans="1:6">
      <c r="A8666" t="s">
        <v>8018</v>
      </c>
      <c r="B8666" t="str">
        <f t="shared" si="344"/>
        <v>0.00014%</v>
      </c>
      <c r="C8666" t="s">
        <v>10</v>
      </c>
      <c r="D8666" t="s">
        <v>10</v>
      </c>
      <c r="E8666" t="str">
        <f>"$ 1,052"</f>
        <v>$ 1,052</v>
      </c>
      <c r="F8666">
        <v>71</v>
      </c>
    </row>
    <row r="8667" spans="1:6">
      <c r="A8667" t="s">
        <v>8611</v>
      </c>
      <c r="B8667" t="str">
        <f t="shared" si="344"/>
        <v>0.00014%</v>
      </c>
      <c r="C8667" t="s">
        <v>10</v>
      </c>
      <c r="D8667" t="s">
        <v>10</v>
      </c>
      <c r="E8667" t="str">
        <f>"$ 1,047"</f>
        <v>$ 1,047</v>
      </c>
      <c r="F8667">
        <v>115</v>
      </c>
    </row>
    <row r="8668" spans="1:6">
      <c r="A8668" t="s">
        <v>8612</v>
      </c>
      <c r="B8668" t="str">
        <f t="shared" si="344"/>
        <v>0.00014%</v>
      </c>
      <c r="C8668" t="s">
        <v>10</v>
      </c>
      <c r="D8668" t="s">
        <v>10</v>
      </c>
      <c r="E8668" t="str">
        <f>"$ 1,049"</f>
        <v>$ 1,049</v>
      </c>
      <c r="F8668">
        <v>103</v>
      </c>
    </row>
    <row r="8669" spans="1:6">
      <c r="A8669" t="s">
        <v>8613</v>
      </c>
      <c r="B8669" t="str">
        <f t="shared" si="344"/>
        <v>0.00014%</v>
      </c>
      <c r="C8669" t="s">
        <v>10</v>
      </c>
      <c r="D8669" t="s">
        <v>10</v>
      </c>
      <c r="E8669" t="str">
        <f>"$ 1,114"</f>
        <v>$ 1,114</v>
      </c>
      <c r="F8669">
        <v>132</v>
      </c>
    </row>
    <row r="8670" spans="1:6">
      <c r="A8670" t="s">
        <v>8614</v>
      </c>
      <c r="B8670" t="str">
        <f t="shared" si="344"/>
        <v>0.00014%</v>
      </c>
      <c r="C8670" t="s">
        <v>10</v>
      </c>
      <c r="D8670" t="s">
        <v>10</v>
      </c>
      <c r="E8670" t="str">
        <f>"$ 1,108"</f>
        <v>$ 1,108</v>
      </c>
      <c r="F8670">
        <v>749</v>
      </c>
    </row>
    <row r="8671" spans="1:6">
      <c r="A8671" t="s">
        <v>8615</v>
      </c>
      <c r="B8671" t="str">
        <f t="shared" si="344"/>
        <v>0.00014%</v>
      </c>
      <c r="C8671" t="s">
        <v>10</v>
      </c>
      <c r="D8671" t="s">
        <v>10</v>
      </c>
      <c r="E8671" t="str">
        <f>"$ 1,098"</f>
        <v>$ 1,098</v>
      </c>
      <c r="F8671">
        <v>403</v>
      </c>
    </row>
    <row r="8672" spans="1:6">
      <c r="A8672" t="s">
        <v>8616</v>
      </c>
      <c r="B8672" t="str">
        <f t="shared" si="344"/>
        <v>0.00014%</v>
      </c>
      <c r="C8672" t="s">
        <v>10</v>
      </c>
      <c r="D8672" t="s">
        <v>10</v>
      </c>
      <c r="E8672" t="str">
        <f>"$ 1,046"</f>
        <v>$ 1,046</v>
      </c>
      <c r="F8672">
        <v>201</v>
      </c>
    </row>
    <row r="8673" spans="1:6">
      <c r="A8673" t="s">
        <v>8617</v>
      </c>
      <c r="B8673" t="str">
        <f t="shared" si="344"/>
        <v>0.00014%</v>
      </c>
      <c r="C8673" t="s">
        <v>10</v>
      </c>
      <c r="D8673" t="s">
        <v>10</v>
      </c>
      <c r="E8673" t="str">
        <f>"$ 1,056"</f>
        <v>$ 1,056</v>
      </c>
      <c r="F8673">
        <v>511</v>
      </c>
    </row>
    <row r="8674" spans="1:6">
      <c r="A8674" t="s">
        <v>8618</v>
      </c>
      <c r="B8674" t="str">
        <f t="shared" si="344"/>
        <v>0.00014%</v>
      </c>
      <c r="C8674" t="s">
        <v>10</v>
      </c>
      <c r="D8674" t="s">
        <v>10</v>
      </c>
      <c r="E8674" t="str">
        <f>"$ 1,066"</f>
        <v>$ 1,066</v>
      </c>
      <c r="F8674">
        <v>49</v>
      </c>
    </row>
    <row r="8675" spans="1:6">
      <c r="A8675" t="s">
        <v>8619</v>
      </c>
      <c r="B8675" t="str">
        <f t="shared" si="344"/>
        <v>0.00014%</v>
      </c>
      <c r="C8675" t="s">
        <v>10</v>
      </c>
      <c r="D8675" t="s">
        <v>10</v>
      </c>
      <c r="E8675" t="str">
        <f>"$ 1,073"</f>
        <v>$ 1,073</v>
      </c>
      <c r="F8675">
        <v>514</v>
      </c>
    </row>
    <row r="8676" spans="1:6">
      <c r="A8676" t="s">
        <v>8620</v>
      </c>
      <c r="B8676" t="str">
        <f t="shared" si="344"/>
        <v>0.00014%</v>
      </c>
      <c r="C8676" t="s">
        <v>10</v>
      </c>
      <c r="D8676" t="s">
        <v>10</v>
      </c>
      <c r="E8676" t="str">
        <f>"$ 1,100"</f>
        <v>$ 1,100</v>
      </c>
      <c r="F8676">
        <v>33</v>
      </c>
    </row>
    <row r="8677" spans="1:6">
      <c r="A8677" t="s">
        <v>8621</v>
      </c>
      <c r="B8677" t="str">
        <f t="shared" si="344"/>
        <v>0.00014%</v>
      </c>
      <c r="C8677" t="s">
        <v>10</v>
      </c>
      <c r="D8677" t="s">
        <v>10</v>
      </c>
      <c r="E8677" t="str">
        <f>"$ 1,106"</f>
        <v>$ 1,106</v>
      </c>
      <c r="F8677">
        <v>11</v>
      </c>
    </row>
    <row r="8678" spans="1:6">
      <c r="A8678" t="s">
        <v>8622</v>
      </c>
      <c r="B8678" t="str">
        <f t="shared" si="344"/>
        <v>0.00014%</v>
      </c>
      <c r="C8678" t="s">
        <v>10</v>
      </c>
      <c r="D8678" t="s">
        <v>10</v>
      </c>
      <c r="E8678" t="str">
        <f>"$ 1,116"</f>
        <v>$ 1,116</v>
      </c>
      <c r="F8678">
        <v>16</v>
      </c>
    </row>
    <row r="8679" spans="1:6">
      <c r="A8679" t="s">
        <v>8623</v>
      </c>
      <c r="B8679" t="str">
        <f t="shared" si="344"/>
        <v>0.00014%</v>
      </c>
      <c r="C8679" t="s">
        <v>10</v>
      </c>
      <c r="D8679" t="s">
        <v>10</v>
      </c>
      <c r="E8679" t="str">
        <f>"$ 1,081"</f>
        <v>$ 1,081</v>
      </c>
      <c r="F8679">
        <v>249</v>
      </c>
    </row>
    <row r="8680" spans="1:6">
      <c r="A8680" t="s">
        <v>8624</v>
      </c>
      <c r="B8680" t="str">
        <f t="shared" si="344"/>
        <v>0.00014%</v>
      </c>
      <c r="C8680" t="s">
        <v>10</v>
      </c>
      <c r="D8680" t="s">
        <v>10</v>
      </c>
      <c r="E8680" t="str">
        <f>"$ 1,070"</f>
        <v>$ 1,070</v>
      </c>
      <c r="F8680">
        <v>939</v>
      </c>
    </row>
    <row r="8681" spans="1:6">
      <c r="A8681" t="s">
        <v>8625</v>
      </c>
      <c r="B8681" t="str">
        <f t="shared" si="344"/>
        <v>0.00014%</v>
      </c>
      <c r="C8681" t="s">
        <v>10</v>
      </c>
      <c r="D8681" t="s">
        <v>10</v>
      </c>
      <c r="E8681" t="str">
        <f>"$ 1,111"</f>
        <v>$ 1,111</v>
      </c>
      <c r="F8681" s="1">
        <v>1120</v>
      </c>
    </row>
    <row r="8682" spans="1:6">
      <c r="A8682" t="s">
        <v>8626</v>
      </c>
      <c r="B8682" t="str">
        <f t="shared" si="344"/>
        <v>0.00014%</v>
      </c>
      <c r="C8682" t="s">
        <v>10</v>
      </c>
      <c r="D8682" t="s">
        <v>10</v>
      </c>
      <c r="E8682" t="str">
        <f>"$ 1,093"</f>
        <v>$ 1,093</v>
      </c>
      <c r="F8682">
        <v>132</v>
      </c>
    </row>
    <row r="8683" spans="1:6">
      <c r="A8683" t="s">
        <v>8627</v>
      </c>
      <c r="B8683" t="str">
        <f t="shared" si="344"/>
        <v>0.00014%</v>
      </c>
      <c r="C8683" t="s">
        <v>10</v>
      </c>
      <c r="D8683" t="s">
        <v>10</v>
      </c>
      <c r="E8683" t="str">
        <f>"$ 1,054"</f>
        <v>$ 1,054</v>
      </c>
      <c r="F8683">
        <v>198</v>
      </c>
    </row>
    <row r="8684" spans="1:6">
      <c r="A8684" t="s">
        <v>8628</v>
      </c>
      <c r="B8684" t="str">
        <f t="shared" si="344"/>
        <v>0.00014%</v>
      </c>
      <c r="C8684" t="s">
        <v>10</v>
      </c>
      <c r="D8684" t="s">
        <v>10</v>
      </c>
      <c r="E8684" t="str">
        <f>"$ 1,115"</f>
        <v>$ 1,115</v>
      </c>
      <c r="F8684">
        <v>971</v>
      </c>
    </row>
    <row r="8685" spans="1:6">
      <c r="A8685" t="s">
        <v>8629</v>
      </c>
      <c r="B8685" t="str">
        <f t="shared" si="344"/>
        <v>0.00014%</v>
      </c>
      <c r="C8685" t="s">
        <v>10</v>
      </c>
      <c r="D8685" t="s">
        <v>10</v>
      </c>
      <c r="E8685" t="str">
        <f>"$ 1,049"</f>
        <v>$ 1,049</v>
      </c>
      <c r="F8685">
        <v>526</v>
      </c>
    </row>
    <row r="8686" spans="1:6">
      <c r="A8686" t="s">
        <v>8630</v>
      </c>
      <c r="B8686" t="str">
        <f t="shared" si="344"/>
        <v>0.00014%</v>
      </c>
      <c r="C8686" t="s">
        <v>10</v>
      </c>
      <c r="D8686" t="s">
        <v>10</v>
      </c>
      <c r="E8686" t="str">
        <f>"$ 1,088"</f>
        <v>$ 1,088</v>
      </c>
      <c r="F8686">
        <v>41</v>
      </c>
    </row>
    <row r="8687" spans="1:6">
      <c r="A8687" t="s">
        <v>8631</v>
      </c>
      <c r="B8687" t="str">
        <f t="shared" si="344"/>
        <v>0.00014%</v>
      </c>
      <c r="C8687" t="s">
        <v>10</v>
      </c>
      <c r="D8687" t="s">
        <v>10</v>
      </c>
      <c r="E8687" t="str">
        <f>"$ 1,097"</f>
        <v>$ 1,097</v>
      </c>
      <c r="F8687">
        <v>90</v>
      </c>
    </row>
    <row r="8688" spans="1:6">
      <c r="A8688" t="s">
        <v>8632</v>
      </c>
      <c r="B8688" t="str">
        <f t="shared" si="344"/>
        <v>0.00014%</v>
      </c>
      <c r="C8688" t="s">
        <v>10</v>
      </c>
      <c r="D8688" t="s">
        <v>10</v>
      </c>
      <c r="E8688" t="str">
        <f>"$ 1,097"</f>
        <v>$ 1,097</v>
      </c>
      <c r="F8688">
        <v>51</v>
      </c>
    </row>
    <row r="8689" spans="1:6">
      <c r="A8689" t="s">
        <v>8633</v>
      </c>
      <c r="B8689" t="str">
        <f t="shared" si="344"/>
        <v>0.00014%</v>
      </c>
      <c r="C8689" t="s">
        <v>10</v>
      </c>
      <c r="D8689" t="s">
        <v>10</v>
      </c>
      <c r="E8689" t="str">
        <f>"$ 1,076"</f>
        <v>$ 1,076</v>
      </c>
      <c r="F8689">
        <v>50</v>
      </c>
    </row>
    <row r="8690" spans="1:6">
      <c r="A8690" t="s">
        <v>8634</v>
      </c>
      <c r="B8690" t="str">
        <f t="shared" si="344"/>
        <v>0.00014%</v>
      </c>
      <c r="C8690" t="s">
        <v>10</v>
      </c>
      <c r="D8690" t="s">
        <v>10</v>
      </c>
      <c r="E8690" t="str">
        <f>"$ 1,077"</f>
        <v>$ 1,077</v>
      </c>
      <c r="F8690">
        <v>98</v>
      </c>
    </row>
    <row r="8691" spans="1:6">
      <c r="A8691" t="s">
        <v>8635</v>
      </c>
      <c r="B8691" t="str">
        <f t="shared" ref="B8691:B8722" si="345">"0.00014%"</f>
        <v>0.00014%</v>
      </c>
      <c r="C8691" t="s">
        <v>10</v>
      </c>
      <c r="D8691" t="s">
        <v>10</v>
      </c>
      <c r="E8691" t="str">
        <f>"$ 1,112"</f>
        <v>$ 1,112</v>
      </c>
      <c r="F8691">
        <v>137</v>
      </c>
    </row>
    <row r="8692" spans="1:6">
      <c r="A8692" t="s">
        <v>8636</v>
      </c>
      <c r="B8692" t="str">
        <f t="shared" si="345"/>
        <v>0.00014%</v>
      </c>
      <c r="C8692" t="s">
        <v>10</v>
      </c>
      <c r="D8692" t="s">
        <v>10</v>
      </c>
      <c r="E8692" t="str">
        <f>"$ 1,114"</f>
        <v>$ 1,114</v>
      </c>
      <c r="F8692">
        <v>144</v>
      </c>
    </row>
    <row r="8693" spans="1:6">
      <c r="A8693" t="s">
        <v>8637</v>
      </c>
      <c r="B8693" t="str">
        <f t="shared" si="345"/>
        <v>0.00014%</v>
      </c>
      <c r="C8693" t="s">
        <v>10</v>
      </c>
      <c r="D8693" t="s">
        <v>10</v>
      </c>
      <c r="E8693" t="str">
        <f>"$ 1,053"</f>
        <v>$ 1,053</v>
      </c>
      <c r="F8693" s="1">
        <v>1363</v>
      </c>
    </row>
    <row r="8694" spans="1:6">
      <c r="A8694" t="s">
        <v>8638</v>
      </c>
      <c r="B8694" t="str">
        <f t="shared" si="345"/>
        <v>0.00014%</v>
      </c>
      <c r="C8694" t="s">
        <v>10</v>
      </c>
      <c r="D8694" t="s">
        <v>10</v>
      </c>
      <c r="E8694" t="str">
        <f>"$ 1,076"</f>
        <v>$ 1,076</v>
      </c>
      <c r="F8694">
        <v>123</v>
      </c>
    </row>
    <row r="8695" spans="1:6">
      <c r="A8695" t="s">
        <v>8639</v>
      </c>
      <c r="B8695" t="str">
        <f t="shared" si="345"/>
        <v>0.00014%</v>
      </c>
      <c r="C8695" t="s">
        <v>10</v>
      </c>
      <c r="D8695" t="s">
        <v>10</v>
      </c>
      <c r="E8695" t="str">
        <f>"$ 1,105"</f>
        <v>$ 1,105</v>
      </c>
      <c r="F8695">
        <v>42</v>
      </c>
    </row>
    <row r="8696" spans="1:6">
      <c r="A8696" t="s">
        <v>8640</v>
      </c>
      <c r="B8696" t="str">
        <f t="shared" si="345"/>
        <v>0.00014%</v>
      </c>
      <c r="C8696" t="s">
        <v>10</v>
      </c>
      <c r="D8696" t="s">
        <v>10</v>
      </c>
      <c r="E8696" t="str">
        <f>"$ 1,097"</f>
        <v>$ 1,097</v>
      </c>
      <c r="F8696">
        <v>624</v>
      </c>
    </row>
    <row r="8697" spans="1:6">
      <c r="A8697" t="s">
        <v>8641</v>
      </c>
      <c r="B8697" t="str">
        <f t="shared" si="345"/>
        <v>0.00014%</v>
      </c>
      <c r="C8697" t="s">
        <v>10</v>
      </c>
      <c r="D8697" t="s">
        <v>10</v>
      </c>
      <c r="E8697" t="str">
        <f>"$ 1,073"</f>
        <v>$ 1,073</v>
      </c>
      <c r="F8697">
        <v>146</v>
      </c>
    </row>
    <row r="8698" spans="1:6">
      <c r="A8698" t="s">
        <v>8642</v>
      </c>
      <c r="B8698" t="str">
        <f t="shared" si="345"/>
        <v>0.00014%</v>
      </c>
      <c r="C8698" t="s">
        <v>10</v>
      </c>
      <c r="D8698" t="s">
        <v>10</v>
      </c>
      <c r="E8698" t="str">
        <f>"$ 1,044"</f>
        <v>$ 1,044</v>
      </c>
      <c r="F8698">
        <v>907</v>
      </c>
    </row>
    <row r="8699" spans="1:6">
      <c r="A8699" t="s">
        <v>8643</v>
      </c>
      <c r="B8699" t="str">
        <f t="shared" si="345"/>
        <v>0.00014%</v>
      </c>
      <c r="C8699" t="s">
        <v>10</v>
      </c>
      <c r="D8699" t="s">
        <v>10</v>
      </c>
      <c r="E8699" t="str">
        <f>"$ 1,090"</f>
        <v>$ 1,090</v>
      </c>
      <c r="F8699">
        <v>175</v>
      </c>
    </row>
    <row r="8700" spans="1:6">
      <c r="A8700" t="s">
        <v>8644</v>
      </c>
      <c r="B8700" t="str">
        <f t="shared" si="345"/>
        <v>0.00014%</v>
      </c>
      <c r="C8700" t="s">
        <v>10</v>
      </c>
      <c r="D8700" t="s">
        <v>10</v>
      </c>
      <c r="E8700" t="str">
        <f>"$ 1,095"</f>
        <v>$ 1,095</v>
      </c>
      <c r="F8700">
        <v>62</v>
      </c>
    </row>
    <row r="8701" spans="1:6">
      <c r="A8701" t="s">
        <v>8645</v>
      </c>
      <c r="B8701" t="str">
        <f t="shared" si="345"/>
        <v>0.00014%</v>
      </c>
      <c r="C8701" t="s">
        <v>10</v>
      </c>
      <c r="D8701" t="s">
        <v>10</v>
      </c>
      <c r="E8701" t="str">
        <f>"$ 1,083"</f>
        <v>$ 1,083</v>
      </c>
      <c r="F8701">
        <v>33</v>
      </c>
    </row>
    <row r="8702" spans="1:6">
      <c r="A8702" t="s">
        <v>8646</v>
      </c>
      <c r="B8702" t="str">
        <f t="shared" si="345"/>
        <v>0.00014%</v>
      </c>
      <c r="C8702" t="s">
        <v>10</v>
      </c>
      <c r="D8702" t="s">
        <v>10</v>
      </c>
      <c r="E8702" t="str">
        <f>"$ 1,047"</f>
        <v>$ 1,047</v>
      </c>
      <c r="F8702">
        <v>49</v>
      </c>
    </row>
    <row r="8703" spans="1:6">
      <c r="A8703" t="s">
        <v>8647</v>
      </c>
      <c r="B8703" t="str">
        <f t="shared" si="345"/>
        <v>0.00014%</v>
      </c>
      <c r="C8703" t="s">
        <v>10</v>
      </c>
      <c r="D8703" t="s">
        <v>10</v>
      </c>
      <c r="E8703" t="str">
        <f>"$ 1,073"</f>
        <v>$ 1,073</v>
      </c>
      <c r="F8703">
        <v>778</v>
      </c>
    </row>
    <row r="8704" spans="1:6">
      <c r="A8704" t="s">
        <v>8648</v>
      </c>
      <c r="B8704" t="str">
        <f t="shared" si="345"/>
        <v>0.00014%</v>
      </c>
      <c r="C8704" t="s">
        <v>10</v>
      </c>
      <c r="D8704" t="s">
        <v>10</v>
      </c>
      <c r="E8704" t="str">
        <f>"$ 1,043"</f>
        <v>$ 1,043</v>
      </c>
      <c r="F8704">
        <v>551</v>
      </c>
    </row>
    <row r="8705" spans="1:6">
      <c r="A8705" t="s">
        <v>8649</v>
      </c>
      <c r="B8705" t="str">
        <f t="shared" si="345"/>
        <v>0.00014%</v>
      </c>
      <c r="C8705" t="s">
        <v>10</v>
      </c>
      <c r="D8705" t="s">
        <v>10</v>
      </c>
      <c r="E8705" t="str">
        <f>"$ 1,074"</f>
        <v>$ 1,074</v>
      </c>
      <c r="F8705" s="1">
        <v>1366</v>
      </c>
    </row>
    <row r="8706" spans="1:6">
      <c r="A8706" t="s">
        <v>8650</v>
      </c>
      <c r="B8706" t="str">
        <f t="shared" si="345"/>
        <v>0.00014%</v>
      </c>
      <c r="C8706" t="s">
        <v>10</v>
      </c>
      <c r="D8706" t="s">
        <v>10</v>
      </c>
      <c r="E8706" t="str">
        <f>"$ 1,118"</f>
        <v>$ 1,118</v>
      </c>
      <c r="F8706">
        <v>708</v>
      </c>
    </row>
    <row r="8707" spans="1:6">
      <c r="A8707" t="s">
        <v>8651</v>
      </c>
      <c r="B8707" t="str">
        <f t="shared" si="345"/>
        <v>0.00014%</v>
      </c>
      <c r="C8707" t="s">
        <v>10</v>
      </c>
      <c r="D8707" t="s">
        <v>10</v>
      </c>
      <c r="E8707" t="str">
        <f>"$ 1,055"</f>
        <v>$ 1,055</v>
      </c>
      <c r="F8707">
        <v>122</v>
      </c>
    </row>
    <row r="8708" spans="1:6">
      <c r="A8708" t="s">
        <v>8652</v>
      </c>
      <c r="B8708" t="str">
        <f t="shared" si="345"/>
        <v>0.00014%</v>
      </c>
      <c r="C8708" t="s">
        <v>10</v>
      </c>
      <c r="D8708" t="s">
        <v>10</v>
      </c>
      <c r="E8708" t="str">
        <f>"$ 1,056"</f>
        <v>$ 1,056</v>
      </c>
      <c r="F8708">
        <v>88</v>
      </c>
    </row>
    <row r="8709" spans="1:6">
      <c r="A8709" t="s">
        <v>8653</v>
      </c>
      <c r="B8709" t="str">
        <f t="shared" si="345"/>
        <v>0.00014%</v>
      </c>
      <c r="C8709" t="s">
        <v>10</v>
      </c>
      <c r="D8709" t="s">
        <v>10</v>
      </c>
      <c r="E8709" t="str">
        <f>"$ 1,082"</f>
        <v>$ 1,082</v>
      </c>
      <c r="F8709">
        <v>359</v>
      </c>
    </row>
    <row r="8710" spans="1:6">
      <c r="A8710" t="s">
        <v>8654</v>
      </c>
      <c r="B8710" t="str">
        <f t="shared" si="345"/>
        <v>0.00014%</v>
      </c>
      <c r="C8710" t="s">
        <v>10</v>
      </c>
      <c r="D8710" t="s">
        <v>10</v>
      </c>
      <c r="E8710" t="str">
        <f>"$ 1,097"</f>
        <v>$ 1,097</v>
      </c>
      <c r="F8710">
        <v>66</v>
      </c>
    </row>
    <row r="8711" spans="1:6">
      <c r="A8711" t="s">
        <v>8655</v>
      </c>
      <c r="B8711" t="str">
        <f t="shared" si="345"/>
        <v>0.00014%</v>
      </c>
      <c r="C8711" t="s">
        <v>10</v>
      </c>
      <c r="D8711" t="s">
        <v>10</v>
      </c>
      <c r="E8711" t="str">
        <f>"$ 1,106"</f>
        <v>$ 1,106</v>
      </c>
      <c r="F8711">
        <v>82</v>
      </c>
    </row>
    <row r="8712" spans="1:6">
      <c r="A8712" t="s">
        <v>8656</v>
      </c>
      <c r="B8712" t="str">
        <f t="shared" si="345"/>
        <v>0.00014%</v>
      </c>
      <c r="C8712" t="s">
        <v>10</v>
      </c>
      <c r="D8712" t="s">
        <v>10</v>
      </c>
      <c r="E8712" t="str">
        <f>"$ 1,086"</f>
        <v>$ 1,086</v>
      </c>
      <c r="F8712" s="1">
        <v>7457</v>
      </c>
    </row>
    <row r="8713" spans="1:6">
      <c r="A8713" t="s">
        <v>8657</v>
      </c>
      <c r="B8713" t="str">
        <f t="shared" si="345"/>
        <v>0.00014%</v>
      </c>
      <c r="C8713" t="s">
        <v>10</v>
      </c>
      <c r="D8713" t="s">
        <v>10</v>
      </c>
      <c r="E8713" t="str">
        <f>"$ 1,048"</f>
        <v>$ 1,048</v>
      </c>
      <c r="F8713" s="1">
        <v>1737</v>
      </c>
    </row>
    <row r="8714" spans="1:6">
      <c r="A8714" t="s">
        <v>8658</v>
      </c>
      <c r="B8714" t="str">
        <f t="shared" si="345"/>
        <v>0.00014%</v>
      </c>
      <c r="C8714" t="s">
        <v>10</v>
      </c>
      <c r="D8714" t="s">
        <v>10</v>
      </c>
      <c r="E8714" t="str">
        <f>"$ 1,050"</f>
        <v>$ 1,050</v>
      </c>
      <c r="F8714">
        <v>33</v>
      </c>
    </row>
    <row r="8715" spans="1:6">
      <c r="A8715" t="s">
        <v>8659</v>
      </c>
      <c r="B8715" t="str">
        <f t="shared" si="345"/>
        <v>0.00014%</v>
      </c>
      <c r="C8715" t="s">
        <v>10</v>
      </c>
      <c r="D8715" t="s">
        <v>10</v>
      </c>
      <c r="E8715" t="str">
        <f>"$ 1,095"</f>
        <v>$ 1,095</v>
      </c>
      <c r="F8715">
        <v>676</v>
      </c>
    </row>
    <row r="8716" spans="1:6">
      <c r="A8716" t="s">
        <v>8660</v>
      </c>
      <c r="B8716" t="str">
        <f t="shared" si="345"/>
        <v>0.00014%</v>
      </c>
      <c r="C8716" t="s">
        <v>10</v>
      </c>
      <c r="D8716" t="s">
        <v>10</v>
      </c>
      <c r="E8716" t="str">
        <f>"$ 1,095"</f>
        <v>$ 1,095</v>
      </c>
      <c r="F8716">
        <v>33</v>
      </c>
    </row>
    <row r="8717" spans="1:6">
      <c r="A8717" t="s">
        <v>8661</v>
      </c>
      <c r="B8717" t="str">
        <f t="shared" si="345"/>
        <v>0.00014%</v>
      </c>
      <c r="C8717" t="s">
        <v>10</v>
      </c>
      <c r="D8717" t="s">
        <v>10</v>
      </c>
      <c r="E8717" t="str">
        <f>"$ 1,057"</f>
        <v>$ 1,057</v>
      </c>
      <c r="F8717">
        <v>33</v>
      </c>
    </row>
    <row r="8718" spans="1:6">
      <c r="A8718" t="s">
        <v>8662</v>
      </c>
      <c r="B8718" t="str">
        <f t="shared" si="345"/>
        <v>0.00014%</v>
      </c>
      <c r="C8718" t="s">
        <v>10</v>
      </c>
      <c r="D8718" t="s">
        <v>10</v>
      </c>
      <c r="E8718" t="str">
        <f>"$ 1,055"</f>
        <v>$ 1,055</v>
      </c>
      <c r="F8718">
        <v>66</v>
      </c>
    </row>
    <row r="8719" spans="1:6">
      <c r="A8719" t="s">
        <v>8663</v>
      </c>
      <c r="B8719" t="str">
        <f t="shared" si="345"/>
        <v>0.00014%</v>
      </c>
      <c r="C8719" t="s">
        <v>10</v>
      </c>
      <c r="D8719" t="s">
        <v>10</v>
      </c>
      <c r="E8719" t="str">
        <f>"$ 1,078"</f>
        <v>$ 1,078</v>
      </c>
      <c r="F8719">
        <v>33</v>
      </c>
    </row>
    <row r="8720" spans="1:6">
      <c r="A8720" t="s">
        <v>8664</v>
      </c>
      <c r="B8720" t="str">
        <f t="shared" si="345"/>
        <v>0.00014%</v>
      </c>
      <c r="C8720" t="s">
        <v>10</v>
      </c>
      <c r="D8720" t="s">
        <v>10</v>
      </c>
      <c r="E8720" t="str">
        <f>"$ 1,118"</f>
        <v>$ 1,118</v>
      </c>
      <c r="F8720">
        <v>199</v>
      </c>
    </row>
    <row r="8721" spans="1:6">
      <c r="A8721" t="s">
        <v>8665</v>
      </c>
      <c r="B8721" t="str">
        <f t="shared" si="345"/>
        <v>0.00014%</v>
      </c>
      <c r="C8721" t="s">
        <v>10</v>
      </c>
      <c r="D8721" t="s">
        <v>10</v>
      </c>
      <c r="E8721" t="str">
        <f>"$ 1,108"</f>
        <v>$ 1,108</v>
      </c>
      <c r="F8721" s="1">
        <v>1951</v>
      </c>
    </row>
    <row r="8722" spans="1:6">
      <c r="A8722" t="s">
        <v>8666</v>
      </c>
      <c r="B8722" t="str">
        <f t="shared" si="345"/>
        <v>0.00014%</v>
      </c>
      <c r="C8722" t="s">
        <v>10</v>
      </c>
      <c r="D8722" t="s">
        <v>10</v>
      </c>
      <c r="E8722" t="str">
        <f>"$ 1,102"</f>
        <v>$ 1,102</v>
      </c>
      <c r="F8722">
        <v>532</v>
      </c>
    </row>
    <row r="8723" spans="1:6">
      <c r="A8723" t="s">
        <v>7231</v>
      </c>
      <c r="B8723" t="str">
        <f t="shared" ref="B8723:B8752" si="346">"0.00014%"</f>
        <v>0.00014%</v>
      </c>
      <c r="C8723" t="s">
        <v>10</v>
      </c>
      <c r="D8723" t="s">
        <v>10</v>
      </c>
      <c r="E8723" t="str">
        <f>"$ 1,099"</f>
        <v>$ 1,099</v>
      </c>
      <c r="F8723">
        <v>637</v>
      </c>
    </row>
    <row r="8724" spans="1:6">
      <c r="A8724" t="s">
        <v>8667</v>
      </c>
      <c r="B8724" t="str">
        <f t="shared" si="346"/>
        <v>0.00014%</v>
      </c>
      <c r="C8724" t="s">
        <v>10</v>
      </c>
      <c r="D8724" t="s">
        <v>10</v>
      </c>
      <c r="E8724" t="str">
        <f>"$ 1,057"</f>
        <v>$ 1,057</v>
      </c>
      <c r="F8724">
        <v>13</v>
      </c>
    </row>
    <row r="8725" spans="1:6">
      <c r="A8725" t="s">
        <v>8668</v>
      </c>
      <c r="B8725" t="str">
        <f t="shared" si="346"/>
        <v>0.00014%</v>
      </c>
      <c r="C8725" t="s">
        <v>10</v>
      </c>
      <c r="D8725" t="s">
        <v>10</v>
      </c>
      <c r="E8725" t="str">
        <f>"$ 1,050"</f>
        <v>$ 1,050</v>
      </c>
      <c r="F8725">
        <v>33</v>
      </c>
    </row>
    <row r="8726" spans="1:6">
      <c r="A8726" t="s">
        <v>8669</v>
      </c>
      <c r="B8726" t="str">
        <f t="shared" si="346"/>
        <v>0.00014%</v>
      </c>
      <c r="C8726" t="s">
        <v>10</v>
      </c>
      <c r="D8726" t="s">
        <v>10</v>
      </c>
      <c r="E8726" t="str">
        <f>"$ 1,053"</f>
        <v>$ 1,053</v>
      </c>
      <c r="F8726">
        <v>49</v>
      </c>
    </row>
    <row r="8727" spans="1:6">
      <c r="A8727" t="s">
        <v>8670</v>
      </c>
      <c r="B8727" t="str">
        <f t="shared" si="346"/>
        <v>0.00014%</v>
      </c>
      <c r="C8727" t="s">
        <v>10</v>
      </c>
      <c r="D8727" t="s">
        <v>10</v>
      </c>
      <c r="E8727" t="str">
        <f>"$ 1,057"</f>
        <v>$ 1,057</v>
      </c>
      <c r="F8727">
        <v>42</v>
      </c>
    </row>
    <row r="8728" spans="1:6">
      <c r="A8728" t="s">
        <v>8671</v>
      </c>
      <c r="B8728" t="str">
        <f t="shared" si="346"/>
        <v>0.00014%</v>
      </c>
      <c r="C8728" t="s">
        <v>10</v>
      </c>
      <c r="D8728" t="s">
        <v>10</v>
      </c>
      <c r="E8728" t="str">
        <f>"$ 1,090"</f>
        <v>$ 1,090</v>
      </c>
      <c r="F8728">
        <v>390</v>
      </c>
    </row>
    <row r="8729" spans="1:6">
      <c r="A8729" t="s">
        <v>8672</v>
      </c>
      <c r="B8729" t="str">
        <f t="shared" si="346"/>
        <v>0.00014%</v>
      </c>
      <c r="C8729" t="s">
        <v>10</v>
      </c>
      <c r="D8729" t="s">
        <v>10</v>
      </c>
      <c r="E8729" t="str">
        <f>"$ 1,066"</f>
        <v>$ 1,066</v>
      </c>
      <c r="F8729">
        <v>59</v>
      </c>
    </row>
    <row r="8730" spans="1:6">
      <c r="A8730" t="s">
        <v>8673</v>
      </c>
      <c r="B8730" t="str">
        <f t="shared" si="346"/>
        <v>0.00014%</v>
      </c>
      <c r="C8730" t="s">
        <v>10</v>
      </c>
      <c r="D8730" t="s">
        <v>10</v>
      </c>
      <c r="E8730" t="str">
        <f>"$ 1,058"</f>
        <v>$ 1,058</v>
      </c>
      <c r="F8730" s="1">
        <v>1249</v>
      </c>
    </row>
    <row r="8731" spans="1:6">
      <c r="A8731" t="s">
        <v>8674</v>
      </c>
      <c r="B8731" t="str">
        <f t="shared" si="346"/>
        <v>0.00014%</v>
      </c>
      <c r="C8731" t="s">
        <v>10</v>
      </c>
      <c r="D8731" t="s">
        <v>10</v>
      </c>
      <c r="E8731" t="str">
        <f>"$ 1,081"</f>
        <v>$ 1,081</v>
      </c>
      <c r="F8731" s="1">
        <v>3603</v>
      </c>
    </row>
    <row r="8732" spans="1:6">
      <c r="A8732" t="s">
        <v>8675</v>
      </c>
      <c r="B8732" t="str">
        <f t="shared" si="346"/>
        <v>0.00014%</v>
      </c>
      <c r="C8732" t="s">
        <v>10</v>
      </c>
      <c r="D8732" t="s">
        <v>10</v>
      </c>
      <c r="E8732" t="str">
        <f>"$ 1,102"</f>
        <v>$ 1,102</v>
      </c>
      <c r="F8732">
        <v>99</v>
      </c>
    </row>
    <row r="8733" spans="1:6">
      <c r="A8733" t="s">
        <v>8676</v>
      </c>
      <c r="B8733" t="str">
        <f t="shared" si="346"/>
        <v>0.00014%</v>
      </c>
      <c r="C8733" t="s">
        <v>10</v>
      </c>
      <c r="D8733" t="s">
        <v>10</v>
      </c>
      <c r="E8733" t="str">
        <f>"$ 1,096"</f>
        <v>$ 1,096</v>
      </c>
      <c r="F8733" s="1">
        <v>41238</v>
      </c>
    </row>
    <row r="8734" spans="1:6">
      <c r="A8734" t="s">
        <v>8677</v>
      </c>
      <c r="B8734" t="str">
        <f t="shared" si="346"/>
        <v>0.00014%</v>
      </c>
      <c r="C8734" t="s">
        <v>10</v>
      </c>
      <c r="D8734" t="s">
        <v>10</v>
      </c>
      <c r="E8734" t="str">
        <f>"$ 1,072"</f>
        <v>$ 1,072</v>
      </c>
      <c r="F8734">
        <v>786</v>
      </c>
    </row>
    <row r="8735" spans="1:6">
      <c r="A8735" t="s">
        <v>8678</v>
      </c>
      <c r="B8735" t="str">
        <f t="shared" si="346"/>
        <v>0.00014%</v>
      </c>
      <c r="C8735" t="s">
        <v>10</v>
      </c>
      <c r="D8735" t="s">
        <v>10</v>
      </c>
      <c r="E8735" t="str">
        <f>"$ 1,106"</f>
        <v>$ 1,106</v>
      </c>
      <c r="F8735">
        <v>147</v>
      </c>
    </row>
    <row r="8736" spans="1:6">
      <c r="A8736" t="s">
        <v>8679</v>
      </c>
      <c r="B8736" t="str">
        <f t="shared" si="346"/>
        <v>0.00014%</v>
      </c>
      <c r="C8736" t="s">
        <v>10</v>
      </c>
      <c r="D8736" t="s">
        <v>10</v>
      </c>
      <c r="E8736" t="str">
        <f>"$ 1,089"</f>
        <v>$ 1,089</v>
      </c>
      <c r="F8736">
        <v>433</v>
      </c>
    </row>
    <row r="8737" spans="1:6">
      <c r="A8737" t="s">
        <v>8680</v>
      </c>
      <c r="B8737" t="str">
        <f t="shared" si="346"/>
        <v>0.00014%</v>
      </c>
      <c r="C8737" t="s">
        <v>10</v>
      </c>
      <c r="D8737" t="s">
        <v>10</v>
      </c>
      <c r="E8737" t="str">
        <f>"$ 1,069"</f>
        <v>$ 1,069</v>
      </c>
      <c r="F8737" s="1">
        <v>5938</v>
      </c>
    </row>
    <row r="8738" spans="1:6">
      <c r="A8738" t="s">
        <v>7504</v>
      </c>
      <c r="B8738" t="str">
        <f t="shared" si="346"/>
        <v>0.00014%</v>
      </c>
      <c r="C8738" t="s">
        <v>10</v>
      </c>
      <c r="D8738" t="s">
        <v>10</v>
      </c>
      <c r="E8738" t="str">
        <f>"$ 1,110"</f>
        <v>$ 1,110</v>
      </c>
      <c r="F8738">
        <v>798</v>
      </c>
    </row>
    <row r="8739" spans="1:6">
      <c r="A8739" t="s">
        <v>8681</v>
      </c>
      <c r="B8739" t="str">
        <f t="shared" si="346"/>
        <v>0.00014%</v>
      </c>
      <c r="C8739" t="s">
        <v>10</v>
      </c>
      <c r="D8739" t="s">
        <v>10</v>
      </c>
      <c r="E8739" t="str">
        <f>"$ 1,108"</f>
        <v>$ 1,108</v>
      </c>
      <c r="F8739">
        <v>579</v>
      </c>
    </row>
    <row r="8740" spans="1:6">
      <c r="A8740" t="s">
        <v>8682</v>
      </c>
      <c r="B8740" t="str">
        <f t="shared" si="346"/>
        <v>0.00014%</v>
      </c>
      <c r="C8740" t="s">
        <v>10</v>
      </c>
      <c r="D8740" t="s">
        <v>10</v>
      </c>
      <c r="E8740" t="str">
        <f>"$ 1,066"</f>
        <v>$ 1,066</v>
      </c>
      <c r="F8740">
        <v>767</v>
      </c>
    </row>
    <row r="8741" spans="1:6">
      <c r="A8741" t="s">
        <v>8683</v>
      </c>
      <c r="B8741" t="str">
        <f t="shared" si="346"/>
        <v>0.00014%</v>
      </c>
      <c r="C8741" t="s">
        <v>10</v>
      </c>
      <c r="D8741" t="s">
        <v>10</v>
      </c>
      <c r="E8741" t="str">
        <f>"$ 1,050"</f>
        <v>$ 1,050</v>
      </c>
      <c r="F8741">
        <v>82</v>
      </c>
    </row>
    <row r="8742" spans="1:6">
      <c r="A8742" t="s">
        <v>8684</v>
      </c>
      <c r="B8742" t="str">
        <f t="shared" si="346"/>
        <v>0.00014%</v>
      </c>
      <c r="C8742" t="s">
        <v>10</v>
      </c>
      <c r="D8742" t="s">
        <v>10</v>
      </c>
      <c r="E8742" t="str">
        <f>"$ 1,077"</f>
        <v>$ 1,077</v>
      </c>
      <c r="F8742">
        <v>243</v>
      </c>
    </row>
    <row r="8743" spans="1:6">
      <c r="A8743" t="s">
        <v>8685</v>
      </c>
      <c r="B8743" t="str">
        <f t="shared" si="346"/>
        <v>0.00014%</v>
      </c>
      <c r="C8743" t="s">
        <v>10</v>
      </c>
      <c r="D8743" t="s">
        <v>10</v>
      </c>
      <c r="E8743" t="str">
        <f>"$ 1,078"</f>
        <v>$ 1,078</v>
      </c>
      <c r="F8743">
        <v>106</v>
      </c>
    </row>
    <row r="8744" spans="1:6">
      <c r="A8744" t="s">
        <v>7772</v>
      </c>
      <c r="B8744" t="str">
        <f t="shared" si="346"/>
        <v>0.00014%</v>
      </c>
      <c r="C8744" t="s">
        <v>10</v>
      </c>
      <c r="D8744" t="s">
        <v>10</v>
      </c>
      <c r="E8744" t="str">
        <f>"$ 1,082"</f>
        <v>$ 1,082</v>
      </c>
      <c r="F8744">
        <v>172</v>
      </c>
    </row>
    <row r="8745" spans="1:6">
      <c r="A8745" t="s">
        <v>8686</v>
      </c>
      <c r="B8745" t="str">
        <f t="shared" si="346"/>
        <v>0.00014%</v>
      </c>
      <c r="C8745" t="s">
        <v>10</v>
      </c>
      <c r="D8745" t="s">
        <v>10</v>
      </c>
      <c r="E8745" t="str">
        <f>"$ 1,091"</f>
        <v>$ 1,091</v>
      </c>
      <c r="F8745">
        <v>33</v>
      </c>
    </row>
    <row r="8746" spans="1:6">
      <c r="A8746" t="s">
        <v>8687</v>
      </c>
      <c r="B8746" t="str">
        <f t="shared" si="346"/>
        <v>0.00014%</v>
      </c>
      <c r="C8746" t="s">
        <v>10</v>
      </c>
      <c r="D8746" t="s">
        <v>10</v>
      </c>
      <c r="E8746" t="str">
        <f>"$ 1,103"</f>
        <v>$ 1,103</v>
      </c>
      <c r="F8746">
        <v>109</v>
      </c>
    </row>
    <row r="8747" spans="1:6">
      <c r="A8747" t="s">
        <v>8688</v>
      </c>
      <c r="B8747" t="str">
        <f t="shared" si="346"/>
        <v>0.00014%</v>
      </c>
      <c r="C8747" t="s">
        <v>10</v>
      </c>
      <c r="D8747" t="s">
        <v>10</v>
      </c>
      <c r="E8747" t="str">
        <f>"$ 1,101"</f>
        <v>$ 1,101</v>
      </c>
      <c r="F8747">
        <v>128</v>
      </c>
    </row>
    <row r="8748" spans="1:6">
      <c r="A8748" t="s">
        <v>8689</v>
      </c>
      <c r="B8748" t="str">
        <f t="shared" si="346"/>
        <v>0.00014%</v>
      </c>
      <c r="C8748" t="s">
        <v>10</v>
      </c>
      <c r="D8748" t="s">
        <v>10</v>
      </c>
      <c r="E8748" t="str">
        <f>"$ 1,105"</f>
        <v>$ 1,105</v>
      </c>
      <c r="F8748">
        <v>397</v>
      </c>
    </row>
    <row r="8749" spans="1:6">
      <c r="A8749" t="s">
        <v>8690</v>
      </c>
      <c r="B8749" t="str">
        <f t="shared" si="346"/>
        <v>0.00014%</v>
      </c>
      <c r="C8749" t="s">
        <v>10</v>
      </c>
      <c r="D8749" t="s">
        <v>10</v>
      </c>
      <c r="E8749" t="str">
        <f>"$ 1,054"</f>
        <v>$ 1,054</v>
      </c>
      <c r="F8749">
        <v>773</v>
      </c>
    </row>
    <row r="8750" spans="1:6">
      <c r="A8750" t="s">
        <v>8691</v>
      </c>
      <c r="B8750" t="str">
        <f t="shared" si="346"/>
        <v>0.00014%</v>
      </c>
      <c r="C8750" t="s">
        <v>10</v>
      </c>
      <c r="D8750" t="s">
        <v>10</v>
      </c>
      <c r="E8750" t="str">
        <f>"$ 1,068"</f>
        <v>$ 1,068</v>
      </c>
      <c r="F8750">
        <v>51</v>
      </c>
    </row>
    <row r="8751" spans="1:6">
      <c r="A8751" t="s">
        <v>8692</v>
      </c>
      <c r="B8751" t="str">
        <f t="shared" si="346"/>
        <v>0.00014%</v>
      </c>
      <c r="C8751" t="s">
        <v>10</v>
      </c>
      <c r="D8751" t="s">
        <v>10</v>
      </c>
      <c r="E8751" t="str">
        <f>"$ 1,049"</f>
        <v>$ 1,049</v>
      </c>
      <c r="F8751">
        <v>187</v>
      </c>
    </row>
    <row r="8752" spans="1:6">
      <c r="A8752" t="s">
        <v>8693</v>
      </c>
      <c r="B8752" t="str">
        <f t="shared" si="346"/>
        <v>0.00014%</v>
      </c>
      <c r="C8752" t="s">
        <v>10</v>
      </c>
      <c r="D8752" t="s">
        <v>10</v>
      </c>
      <c r="E8752" t="str">
        <f>"$ 1,080"</f>
        <v>$ 1,080</v>
      </c>
      <c r="F8752">
        <v>530</v>
      </c>
    </row>
    <row r="8753" spans="1:6">
      <c r="A8753" t="s">
        <v>8694</v>
      </c>
      <c r="B8753" t="str">
        <f t="shared" ref="B8753:B8784" si="347">"0.00013%"</f>
        <v>0.00013%</v>
      </c>
      <c r="C8753" t="s">
        <v>10</v>
      </c>
      <c r="D8753" t="s">
        <v>10</v>
      </c>
      <c r="E8753" t="str">
        <f>"$ 1,013"</f>
        <v>$ 1,013</v>
      </c>
      <c r="F8753">
        <v>124</v>
      </c>
    </row>
    <row r="8754" spans="1:6">
      <c r="A8754" t="s">
        <v>8695</v>
      </c>
      <c r="B8754" t="str">
        <f t="shared" si="347"/>
        <v>0.00013%</v>
      </c>
      <c r="C8754" t="s">
        <v>10</v>
      </c>
      <c r="D8754" t="s">
        <v>10</v>
      </c>
      <c r="E8754" t="str">
        <f>"$ 1,028"</f>
        <v>$ 1,028</v>
      </c>
      <c r="F8754" s="1">
        <v>6266</v>
      </c>
    </row>
    <row r="8755" spans="1:6">
      <c r="A8755" t="s">
        <v>8696</v>
      </c>
      <c r="B8755" t="str">
        <f t="shared" si="347"/>
        <v>0.00013%</v>
      </c>
      <c r="C8755" t="s">
        <v>10</v>
      </c>
      <c r="D8755" t="s">
        <v>10</v>
      </c>
      <c r="E8755" t="str">
        <f>"$ 1,024"</f>
        <v>$ 1,024</v>
      </c>
      <c r="F8755">
        <v>194</v>
      </c>
    </row>
    <row r="8756" spans="1:6">
      <c r="A8756" t="s">
        <v>8697</v>
      </c>
      <c r="B8756" t="str">
        <f t="shared" si="347"/>
        <v>0.00013%</v>
      </c>
      <c r="C8756" t="s">
        <v>10</v>
      </c>
      <c r="D8756" t="s">
        <v>10</v>
      </c>
      <c r="E8756" t="str">
        <f>"$ 1,000"</f>
        <v>$ 1,000</v>
      </c>
      <c r="F8756">
        <v>422</v>
      </c>
    </row>
    <row r="8757" spans="1:6">
      <c r="A8757" t="s">
        <v>8698</v>
      </c>
      <c r="B8757" t="str">
        <f t="shared" si="347"/>
        <v>0.00013%</v>
      </c>
      <c r="C8757" t="s">
        <v>10</v>
      </c>
      <c r="D8757" t="s">
        <v>10</v>
      </c>
      <c r="E8757" t="str">
        <f>"$ 1,000"</f>
        <v>$ 1,000</v>
      </c>
      <c r="F8757">
        <v>101</v>
      </c>
    </row>
    <row r="8758" spans="1:6">
      <c r="A8758" t="s">
        <v>8699</v>
      </c>
      <c r="B8758" t="str">
        <f t="shared" si="347"/>
        <v>0.00013%</v>
      </c>
      <c r="C8758" t="s">
        <v>10</v>
      </c>
      <c r="D8758" t="s">
        <v>10</v>
      </c>
      <c r="E8758" t="str">
        <f>"$ 1,021"</f>
        <v>$ 1,021</v>
      </c>
      <c r="F8758" s="1">
        <v>1652</v>
      </c>
    </row>
    <row r="8759" spans="1:6">
      <c r="A8759" t="s">
        <v>8700</v>
      </c>
      <c r="B8759" t="str">
        <f t="shared" si="347"/>
        <v>0.00013%</v>
      </c>
      <c r="C8759" t="s">
        <v>10</v>
      </c>
      <c r="D8759" t="s">
        <v>10</v>
      </c>
      <c r="E8759" t="str">
        <f>"$ 990"</f>
        <v>$ 990</v>
      </c>
      <c r="F8759">
        <v>99</v>
      </c>
    </row>
    <row r="8760" spans="1:6">
      <c r="A8760" t="s">
        <v>8701</v>
      </c>
      <c r="B8760" t="str">
        <f t="shared" si="347"/>
        <v>0.00013%</v>
      </c>
      <c r="C8760" t="s">
        <v>10</v>
      </c>
      <c r="D8760" t="s">
        <v>10</v>
      </c>
      <c r="E8760" t="str">
        <f>"$ 992"</f>
        <v>$ 992</v>
      </c>
      <c r="F8760">
        <v>354</v>
      </c>
    </row>
    <row r="8761" spans="1:6">
      <c r="A8761" t="s">
        <v>8702</v>
      </c>
      <c r="B8761" t="str">
        <f t="shared" si="347"/>
        <v>0.00013%</v>
      </c>
      <c r="C8761" t="s">
        <v>10</v>
      </c>
      <c r="D8761" t="s">
        <v>10</v>
      </c>
      <c r="E8761" t="str">
        <f>"$ 992"</f>
        <v>$ 992</v>
      </c>
      <c r="F8761">
        <v>99</v>
      </c>
    </row>
    <row r="8762" spans="1:6">
      <c r="A8762" t="s">
        <v>8703</v>
      </c>
      <c r="B8762" t="str">
        <f t="shared" si="347"/>
        <v>0.00013%</v>
      </c>
      <c r="C8762" t="s">
        <v>10</v>
      </c>
      <c r="D8762" t="s">
        <v>10</v>
      </c>
      <c r="E8762" t="str">
        <f>"$ 993"</f>
        <v>$ 993</v>
      </c>
      <c r="F8762">
        <v>861</v>
      </c>
    </row>
    <row r="8763" spans="1:6">
      <c r="A8763" t="s">
        <v>8704</v>
      </c>
      <c r="B8763" t="str">
        <f t="shared" si="347"/>
        <v>0.00013%</v>
      </c>
      <c r="C8763" t="s">
        <v>10</v>
      </c>
      <c r="D8763" t="s">
        <v>10</v>
      </c>
      <c r="E8763" t="str">
        <f>"$ 1,032"</f>
        <v>$ 1,032</v>
      </c>
      <c r="F8763">
        <v>165</v>
      </c>
    </row>
    <row r="8764" spans="1:6">
      <c r="A8764" t="s">
        <v>8705</v>
      </c>
      <c r="B8764" t="str">
        <f t="shared" si="347"/>
        <v>0.00013%</v>
      </c>
      <c r="C8764" t="s">
        <v>10</v>
      </c>
      <c r="D8764" t="s">
        <v>10</v>
      </c>
      <c r="E8764" t="str">
        <f>"$ 1,022"</f>
        <v>$ 1,022</v>
      </c>
      <c r="F8764">
        <v>59</v>
      </c>
    </row>
    <row r="8765" spans="1:6">
      <c r="A8765" t="s">
        <v>8706</v>
      </c>
      <c r="B8765" t="str">
        <f t="shared" si="347"/>
        <v>0.00013%</v>
      </c>
      <c r="C8765" t="s">
        <v>10</v>
      </c>
      <c r="D8765" t="s">
        <v>10</v>
      </c>
      <c r="E8765" t="str">
        <f>"$ 1,037"</f>
        <v>$ 1,037</v>
      </c>
      <c r="F8765">
        <v>944</v>
      </c>
    </row>
    <row r="8766" spans="1:6">
      <c r="A8766" t="s">
        <v>8707</v>
      </c>
      <c r="B8766" t="str">
        <f t="shared" si="347"/>
        <v>0.00013%</v>
      </c>
      <c r="C8766" t="s">
        <v>10</v>
      </c>
      <c r="D8766" t="s">
        <v>10</v>
      </c>
      <c r="E8766" t="str">
        <f>"$ 1,038"</f>
        <v>$ 1,038</v>
      </c>
      <c r="F8766">
        <v>692</v>
      </c>
    </row>
    <row r="8767" spans="1:6">
      <c r="A8767" t="s">
        <v>7436</v>
      </c>
      <c r="B8767" t="str">
        <f t="shared" si="347"/>
        <v>0.00013%</v>
      </c>
      <c r="C8767" t="s">
        <v>10</v>
      </c>
      <c r="D8767" t="s">
        <v>10</v>
      </c>
      <c r="E8767" t="str">
        <f>"$ 986"</f>
        <v>$ 986</v>
      </c>
      <c r="F8767" s="1">
        <v>2914</v>
      </c>
    </row>
    <row r="8768" spans="1:6">
      <c r="A8768" t="s">
        <v>8708</v>
      </c>
      <c r="B8768" t="str">
        <f t="shared" si="347"/>
        <v>0.00013%</v>
      </c>
      <c r="C8768" t="s">
        <v>10</v>
      </c>
      <c r="D8768" t="s">
        <v>10</v>
      </c>
      <c r="E8768" t="str">
        <f>"$ 970"</f>
        <v>$ 970</v>
      </c>
      <c r="F8768">
        <v>46</v>
      </c>
    </row>
    <row r="8769" spans="1:6">
      <c r="A8769" t="s">
        <v>8709</v>
      </c>
      <c r="B8769" t="str">
        <f t="shared" si="347"/>
        <v>0.00013%</v>
      </c>
      <c r="C8769" t="s">
        <v>10</v>
      </c>
      <c r="D8769" t="s">
        <v>10</v>
      </c>
      <c r="E8769" t="str">
        <f>"$ 976"</f>
        <v>$ 976</v>
      </c>
      <c r="F8769">
        <v>798</v>
      </c>
    </row>
    <row r="8770" spans="1:6">
      <c r="A8770" t="s">
        <v>8710</v>
      </c>
      <c r="B8770" t="str">
        <f t="shared" si="347"/>
        <v>0.00013%</v>
      </c>
      <c r="C8770" t="s">
        <v>10</v>
      </c>
      <c r="D8770" t="s">
        <v>10</v>
      </c>
      <c r="E8770" t="str">
        <f>"$ 983"</f>
        <v>$ 983</v>
      </c>
      <c r="F8770">
        <v>101</v>
      </c>
    </row>
    <row r="8771" spans="1:6">
      <c r="A8771" t="s">
        <v>8711</v>
      </c>
      <c r="B8771" t="str">
        <f t="shared" si="347"/>
        <v>0.00013%</v>
      </c>
      <c r="C8771" t="s">
        <v>10</v>
      </c>
      <c r="D8771" t="s">
        <v>10</v>
      </c>
      <c r="E8771" t="str">
        <f>"$ 999"</f>
        <v>$ 999</v>
      </c>
      <c r="F8771">
        <v>310</v>
      </c>
    </row>
    <row r="8772" spans="1:6">
      <c r="A8772" t="s">
        <v>8712</v>
      </c>
      <c r="B8772" t="str">
        <f t="shared" si="347"/>
        <v>0.00013%</v>
      </c>
      <c r="C8772" t="s">
        <v>10</v>
      </c>
      <c r="D8772" t="s">
        <v>10</v>
      </c>
      <c r="E8772" t="str">
        <f>"$ 1,010"</f>
        <v>$ 1,010</v>
      </c>
      <c r="F8772" s="1">
        <v>1528</v>
      </c>
    </row>
    <row r="8773" spans="1:6">
      <c r="A8773" t="s">
        <v>8713</v>
      </c>
      <c r="B8773" t="str">
        <f t="shared" si="347"/>
        <v>0.00013%</v>
      </c>
      <c r="C8773" t="s">
        <v>10</v>
      </c>
      <c r="D8773" t="s">
        <v>10</v>
      </c>
      <c r="E8773" t="str">
        <f>"$ 1,034"</f>
        <v>$ 1,034</v>
      </c>
      <c r="F8773">
        <v>445</v>
      </c>
    </row>
    <row r="8774" spans="1:6">
      <c r="A8774" t="s">
        <v>8714</v>
      </c>
      <c r="B8774" t="str">
        <f t="shared" si="347"/>
        <v>0.00013%</v>
      </c>
      <c r="C8774" t="s">
        <v>10</v>
      </c>
      <c r="D8774" t="s">
        <v>10</v>
      </c>
      <c r="E8774" t="str">
        <f>"$ 1,037"</f>
        <v>$ 1,037</v>
      </c>
      <c r="F8774">
        <v>264</v>
      </c>
    </row>
    <row r="8775" spans="1:6">
      <c r="A8775" t="s">
        <v>8715</v>
      </c>
      <c r="B8775" t="str">
        <f t="shared" si="347"/>
        <v>0.00013%</v>
      </c>
      <c r="C8775" t="s">
        <v>10</v>
      </c>
      <c r="D8775" t="s">
        <v>10</v>
      </c>
      <c r="E8775" t="str">
        <f>"$ 1,025"</f>
        <v>$ 1,025</v>
      </c>
      <c r="F8775">
        <v>900</v>
      </c>
    </row>
    <row r="8776" spans="1:6">
      <c r="A8776" t="s">
        <v>8716</v>
      </c>
      <c r="B8776" t="str">
        <f t="shared" si="347"/>
        <v>0.00013%</v>
      </c>
      <c r="C8776" t="s">
        <v>10</v>
      </c>
      <c r="D8776" t="s">
        <v>10</v>
      </c>
      <c r="E8776" t="str">
        <f>"$ 979"</f>
        <v>$ 979</v>
      </c>
      <c r="F8776">
        <v>118</v>
      </c>
    </row>
    <row r="8777" spans="1:6">
      <c r="A8777" t="s">
        <v>8717</v>
      </c>
      <c r="B8777" t="str">
        <f t="shared" si="347"/>
        <v>0.00013%</v>
      </c>
      <c r="C8777" t="s">
        <v>10</v>
      </c>
      <c r="D8777" t="s">
        <v>10</v>
      </c>
      <c r="E8777" t="str">
        <f>"$ 966"</f>
        <v>$ 966</v>
      </c>
      <c r="F8777">
        <v>320</v>
      </c>
    </row>
    <row r="8778" spans="1:6">
      <c r="A8778" t="s">
        <v>8718</v>
      </c>
      <c r="B8778" t="str">
        <f t="shared" si="347"/>
        <v>0.00013%</v>
      </c>
      <c r="C8778" t="s">
        <v>10</v>
      </c>
      <c r="D8778" t="s">
        <v>10</v>
      </c>
      <c r="E8778" t="str">
        <f>"$ 1,006"</f>
        <v>$ 1,006</v>
      </c>
      <c r="F8778">
        <v>66</v>
      </c>
    </row>
    <row r="8779" spans="1:6">
      <c r="A8779" t="s">
        <v>8719</v>
      </c>
      <c r="B8779" t="str">
        <f t="shared" si="347"/>
        <v>0.00013%</v>
      </c>
      <c r="C8779" t="s">
        <v>10</v>
      </c>
      <c r="D8779" t="s">
        <v>10</v>
      </c>
      <c r="E8779" t="str">
        <f>"$ 1,037"</f>
        <v>$ 1,037</v>
      </c>
      <c r="F8779">
        <v>76</v>
      </c>
    </row>
    <row r="8780" spans="1:6">
      <c r="A8780" t="s">
        <v>8720</v>
      </c>
      <c r="B8780" t="str">
        <f t="shared" si="347"/>
        <v>0.00013%</v>
      </c>
      <c r="C8780" t="s">
        <v>10</v>
      </c>
      <c r="D8780" t="s">
        <v>10</v>
      </c>
      <c r="E8780" t="str">
        <f>"$ 990"</f>
        <v>$ 990</v>
      </c>
      <c r="F8780">
        <v>363</v>
      </c>
    </row>
    <row r="8781" spans="1:6">
      <c r="A8781" t="s">
        <v>8721</v>
      </c>
      <c r="B8781" t="str">
        <f t="shared" si="347"/>
        <v>0.00013%</v>
      </c>
      <c r="C8781" t="s">
        <v>10</v>
      </c>
      <c r="D8781" t="s">
        <v>10</v>
      </c>
      <c r="E8781" t="str">
        <f>"$ 994"</f>
        <v>$ 994</v>
      </c>
      <c r="F8781">
        <v>49</v>
      </c>
    </row>
    <row r="8782" spans="1:6">
      <c r="A8782" t="s">
        <v>8722</v>
      </c>
      <c r="B8782" t="str">
        <f t="shared" si="347"/>
        <v>0.00013%</v>
      </c>
      <c r="C8782" t="s">
        <v>10</v>
      </c>
      <c r="D8782" t="s">
        <v>10</v>
      </c>
      <c r="E8782" t="str">
        <f>"$ 1,037"</f>
        <v>$ 1,037</v>
      </c>
      <c r="F8782">
        <v>33</v>
      </c>
    </row>
    <row r="8783" spans="1:6">
      <c r="A8783" t="s">
        <v>8723</v>
      </c>
      <c r="B8783" t="str">
        <f t="shared" si="347"/>
        <v>0.00013%</v>
      </c>
      <c r="C8783" t="s">
        <v>10</v>
      </c>
      <c r="D8783" t="s">
        <v>10</v>
      </c>
      <c r="E8783" t="str">
        <f>"$ 1,037"</f>
        <v>$ 1,037</v>
      </c>
      <c r="F8783">
        <v>49</v>
      </c>
    </row>
    <row r="8784" spans="1:6">
      <c r="A8784" t="s">
        <v>8724</v>
      </c>
      <c r="B8784" t="str">
        <f t="shared" si="347"/>
        <v>0.00013%</v>
      </c>
      <c r="C8784" t="s">
        <v>10</v>
      </c>
      <c r="D8784" t="s">
        <v>10</v>
      </c>
      <c r="E8784" t="str">
        <f>"$ 982"</f>
        <v>$ 982</v>
      </c>
      <c r="F8784">
        <v>82</v>
      </c>
    </row>
    <row r="8785" spans="1:6">
      <c r="A8785" t="s">
        <v>8725</v>
      </c>
      <c r="B8785" t="str">
        <f t="shared" ref="B8785:B8816" si="348">"0.00013%"</f>
        <v>0.00013%</v>
      </c>
      <c r="C8785" t="s">
        <v>10</v>
      </c>
      <c r="D8785" t="s">
        <v>10</v>
      </c>
      <c r="E8785" t="str">
        <f>"$ 1,004"</f>
        <v>$ 1,004</v>
      </c>
      <c r="F8785">
        <v>82</v>
      </c>
    </row>
    <row r="8786" spans="1:6">
      <c r="A8786" t="s">
        <v>8726</v>
      </c>
      <c r="B8786" t="str">
        <f t="shared" si="348"/>
        <v>0.00013%</v>
      </c>
      <c r="C8786" t="s">
        <v>10</v>
      </c>
      <c r="D8786" t="s">
        <v>10</v>
      </c>
      <c r="E8786" t="str">
        <f>"$ 1,010"</f>
        <v>$ 1,010</v>
      </c>
      <c r="F8786">
        <v>513</v>
      </c>
    </row>
    <row r="8787" spans="1:6">
      <c r="A8787" t="s">
        <v>8727</v>
      </c>
      <c r="B8787" t="str">
        <f t="shared" si="348"/>
        <v>0.00013%</v>
      </c>
      <c r="C8787" t="s">
        <v>10</v>
      </c>
      <c r="D8787" t="s">
        <v>10</v>
      </c>
      <c r="E8787" t="str">
        <f>"$ 1,017"</f>
        <v>$ 1,017</v>
      </c>
      <c r="F8787">
        <v>853</v>
      </c>
    </row>
    <row r="8788" spans="1:6">
      <c r="A8788" t="s">
        <v>8728</v>
      </c>
      <c r="B8788" t="str">
        <f t="shared" si="348"/>
        <v>0.00013%</v>
      </c>
      <c r="C8788" t="s">
        <v>10</v>
      </c>
      <c r="D8788" t="s">
        <v>10</v>
      </c>
      <c r="E8788" t="str">
        <f>"$ 1,040"</f>
        <v>$ 1,040</v>
      </c>
      <c r="F8788">
        <v>16</v>
      </c>
    </row>
    <row r="8789" spans="1:6">
      <c r="A8789" t="s">
        <v>8729</v>
      </c>
      <c r="B8789" t="str">
        <f t="shared" si="348"/>
        <v>0.00013%</v>
      </c>
      <c r="C8789" t="s">
        <v>10</v>
      </c>
      <c r="D8789" t="s">
        <v>10</v>
      </c>
      <c r="E8789" t="str">
        <f>"$ 969"</f>
        <v>$ 969</v>
      </c>
      <c r="F8789">
        <v>33</v>
      </c>
    </row>
    <row r="8790" spans="1:6">
      <c r="A8790" t="s">
        <v>8730</v>
      </c>
      <c r="B8790" t="str">
        <f t="shared" si="348"/>
        <v>0.00013%</v>
      </c>
      <c r="C8790" t="s">
        <v>10</v>
      </c>
      <c r="D8790" t="s">
        <v>10</v>
      </c>
      <c r="E8790" t="str">
        <f>"$ 971"</f>
        <v>$ 971</v>
      </c>
      <c r="F8790" s="1">
        <v>1030</v>
      </c>
    </row>
    <row r="8791" spans="1:6">
      <c r="A8791" t="s">
        <v>8731</v>
      </c>
      <c r="B8791" t="str">
        <f t="shared" si="348"/>
        <v>0.00013%</v>
      </c>
      <c r="C8791" t="s">
        <v>10</v>
      </c>
      <c r="D8791" t="s">
        <v>10</v>
      </c>
      <c r="E8791" t="str">
        <f>"$ 996"</f>
        <v>$ 996</v>
      </c>
      <c r="F8791">
        <v>33</v>
      </c>
    </row>
    <row r="8792" spans="1:6">
      <c r="A8792" t="s">
        <v>8732</v>
      </c>
      <c r="B8792" t="str">
        <f t="shared" si="348"/>
        <v>0.00013%</v>
      </c>
      <c r="C8792" t="s">
        <v>10</v>
      </c>
      <c r="D8792" t="s">
        <v>10</v>
      </c>
      <c r="E8792" t="str">
        <f>"$ 1,014"</f>
        <v>$ 1,014</v>
      </c>
      <c r="F8792">
        <v>84</v>
      </c>
    </row>
    <row r="8793" spans="1:6">
      <c r="A8793" t="s">
        <v>8733</v>
      </c>
      <c r="B8793" t="str">
        <f t="shared" si="348"/>
        <v>0.00013%</v>
      </c>
      <c r="C8793" t="s">
        <v>10</v>
      </c>
      <c r="D8793" t="s">
        <v>10</v>
      </c>
      <c r="E8793" t="str">
        <f>"$ 1,029"</f>
        <v>$ 1,029</v>
      </c>
      <c r="F8793">
        <v>227</v>
      </c>
    </row>
    <row r="8794" spans="1:6">
      <c r="A8794" t="s">
        <v>8734</v>
      </c>
      <c r="B8794" t="str">
        <f t="shared" si="348"/>
        <v>0.00013%</v>
      </c>
      <c r="C8794" t="s">
        <v>10</v>
      </c>
      <c r="D8794" t="s">
        <v>10</v>
      </c>
      <c r="E8794" t="str">
        <f>"$ 984"</f>
        <v>$ 984</v>
      </c>
      <c r="F8794">
        <v>10</v>
      </c>
    </row>
    <row r="8795" spans="1:6">
      <c r="A8795" t="s">
        <v>8735</v>
      </c>
      <c r="B8795" t="str">
        <f t="shared" si="348"/>
        <v>0.00013%</v>
      </c>
      <c r="C8795" t="s">
        <v>10</v>
      </c>
      <c r="D8795" t="s">
        <v>10</v>
      </c>
      <c r="E8795" t="str">
        <f>"$ 1,031"</f>
        <v>$ 1,031</v>
      </c>
      <c r="F8795">
        <v>82</v>
      </c>
    </row>
    <row r="8796" spans="1:6">
      <c r="A8796" t="s">
        <v>8736</v>
      </c>
      <c r="B8796" t="str">
        <f t="shared" si="348"/>
        <v>0.00013%</v>
      </c>
      <c r="C8796" t="s">
        <v>10</v>
      </c>
      <c r="D8796" t="s">
        <v>10</v>
      </c>
      <c r="E8796" t="str">
        <f>"$ 1,011"</f>
        <v>$ 1,011</v>
      </c>
      <c r="F8796" s="1">
        <v>1219</v>
      </c>
    </row>
    <row r="8797" spans="1:6">
      <c r="A8797" t="s">
        <v>8737</v>
      </c>
      <c r="B8797" t="str">
        <f t="shared" si="348"/>
        <v>0.00013%</v>
      </c>
      <c r="C8797" t="s">
        <v>10</v>
      </c>
      <c r="D8797" t="s">
        <v>10</v>
      </c>
      <c r="E8797" t="str">
        <f>"$ 974"</f>
        <v>$ 974</v>
      </c>
      <c r="F8797" s="1">
        <v>2069</v>
      </c>
    </row>
    <row r="8798" spans="1:6">
      <c r="A8798" t="s">
        <v>8738</v>
      </c>
      <c r="B8798" t="str">
        <f t="shared" si="348"/>
        <v>0.00013%</v>
      </c>
      <c r="C8798" t="s">
        <v>10</v>
      </c>
      <c r="D8798" t="s">
        <v>10</v>
      </c>
      <c r="E8798" t="str">
        <f>"$ 981"</f>
        <v>$ 981</v>
      </c>
      <c r="F8798">
        <v>582</v>
      </c>
    </row>
    <row r="8799" spans="1:6">
      <c r="A8799" t="s">
        <v>8739</v>
      </c>
      <c r="B8799" t="str">
        <f t="shared" si="348"/>
        <v>0.00013%</v>
      </c>
      <c r="C8799" t="s">
        <v>10</v>
      </c>
      <c r="D8799" t="s">
        <v>10</v>
      </c>
      <c r="E8799" t="str">
        <f>"$ 996"</f>
        <v>$ 996</v>
      </c>
      <c r="F8799" s="1">
        <v>1724</v>
      </c>
    </row>
    <row r="8800" spans="1:6">
      <c r="A8800" t="s">
        <v>8740</v>
      </c>
      <c r="B8800" t="str">
        <f t="shared" si="348"/>
        <v>0.00013%</v>
      </c>
      <c r="C8800" t="s">
        <v>10</v>
      </c>
      <c r="D8800" t="s">
        <v>10</v>
      </c>
      <c r="E8800" t="str">
        <f>"$ 978"</f>
        <v>$ 978</v>
      </c>
      <c r="F8800">
        <v>177</v>
      </c>
    </row>
    <row r="8801" spans="1:6">
      <c r="A8801" t="s">
        <v>8741</v>
      </c>
      <c r="B8801" t="str">
        <f t="shared" si="348"/>
        <v>0.00013%</v>
      </c>
      <c r="C8801" t="s">
        <v>10</v>
      </c>
      <c r="D8801" t="s">
        <v>10</v>
      </c>
      <c r="E8801" t="str">
        <f>"$ 1,033"</f>
        <v>$ 1,033</v>
      </c>
      <c r="F8801">
        <v>366</v>
      </c>
    </row>
    <row r="8802" spans="1:6">
      <c r="A8802" t="s">
        <v>8742</v>
      </c>
      <c r="B8802" t="str">
        <f t="shared" si="348"/>
        <v>0.00013%</v>
      </c>
      <c r="C8802" t="s">
        <v>10</v>
      </c>
      <c r="D8802" t="s">
        <v>10</v>
      </c>
      <c r="E8802" t="str">
        <f>"$ 1,024"</f>
        <v>$ 1,024</v>
      </c>
      <c r="F8802" s="1">
        <v>1611</v>
      </c>
    </row>
    <row r="8803" spans="1:6">
      <c r="A8803" t="s">
        <v>8743</v>
      </c>
      <c r="B8803" t="str">
        <f t="shared" si="348"/>
        <v>0.00013%</v>
      </c>
      <c r="C8803" t="s">
        <v>10</v>
      </c>
      <c r="D8803" t="s">
        <v>10</v>
      </c>
      <c r="E8803" t="str">
        <f>"$ 1,002"</f>
        <v>$ 1,002</v>
      </c>
      <c r="F8803">
        <v>79</v>
      </c>
    </row>
    <row r="8804" spans="1:6">
      <c r="A8804" t="s">
        <v>8744</v>
      </c>
      <c r="B8804" t="str">
        <f t="shared" si="348"/>
        <v>0.00013%</v>
      </c>
      <c r="C8804" t="s">
        <v>10</v>
      </c>
      <c r="D8804" t="s">
        <v>10</v>
      </c>
      <c r="E8804" t="str">
        <f>"$ 978"</f>
        <v>$ 978</v>
      </c>
      <c r="F8804">
        <v>4</v>
      </c>
    </row>
    <row r="8805" spans="1:6">
      <c r="A8805" t="s">
        <v>8745</v>
      </c>
      <c r="B8805" t="str">
        <f t="shared" si="348"/>
        <v>0.00013%</v>
      </c>
      <c r="C8805" t="s">
        <v>10</v>
      </c>
      <c r="D8805" t="s">
        <v>10</v>
      </c>
      <c r="E8805" t="str">
        <f>"$ 981"</f>
        <v>$ 981</v>
      </c>
      <c r="F8805">
        <v>148</v>
      </c>
    </row>
    <row r="8806" spans="1:6">
      <c r="A8806" t="s">
        <v>8746</v>
      </c>
      <c r="B8806" t="str">
        <f t="shared" si="348"/>
        <v>0.00013%</v>
      </c>
      <c r="C8806" t="s">
        <v>10</v>
      </c>
      <c r="D8806" t="s">
        <v>10</v>
      </c>
      <c r="E8806" t="str">
        <f>"$ 976"</f>
        <v>$ 976</v>
      </c>
      <c r="F8806">
        <v>136</v>
      </c>
    </row>
    <row r="8807" spans="1:6">
      <c r="A8807" t="s">
        <v>8747</v>
      </c>
      <c r="B8807" t="str">
        <f t="shared" si="348"/>
        <v>0.00013%</v>
      </c>
      <c r="C8807" t="s">
        <v>10</v>
      </c>
      <c r="D8807" t="s">
        <v>10</v>
      </c>
      <c r="E8807" t="str">
        <f>"$ 1,017"</f>
        <v>$ 1,017</v>
      </c>
      <c r="F8807">
        <v>746</v>
      </c>
    </row>
    <row r="8808" spans="1:6">
      <c r="A8808" t="s">
        <v>8748</v>
      </c>
      <c r="B8808" t="str">
        <f t="shared" si="348"/>
        <v>0.00013%</v>
      </c>
      <c r="C8808" t="s">
        <v>10</v>
      </c>
      <c r="D8808" t="s">
        <v>10</v>
      </c>
      <c r="E8808" t="str">
        <f>"$ 1,008"</f>
        <v>$ 1,008</v>
      </c>
      <c r="F8808">
        <v>68</v>
      </c>
    </row>
    <row r="8809" spans="1:6">
      <c r="A8809" t="s">
        <v>8749</v>
      </c>
      <c r="B8809" t="str">
        <f t="shared" si="348"/>
        <v>0.00013%</v>
      </c>
      <c r="C8809" t="s">
        <v>10</v>
      </c>
      <c r="D8809" t="s">
        <v>10</v>
      </c>
      <c r="E8809" t="str">
        <f>"$ 1,037"</f>
        <v>$ 1,037</v>
      </c>
      <c r="F8809">
        <v>32</v>
      </c>
    </row>
    <row r="8810" spans="1:6">
      <c r="A8810" t="s">
        <v>8750</v>
      </c>
      <c r="B8810" t="str">
        <f t="shared" si="348"/>
        <v>0.00013%</v>
      </c>
      <c r="C8810" t="s">
        <v>10</v>
      </c>
      <c r="D8810" t="s">
        <v>10</v>
      </c>
      <c r="E8810" t="str">
        <f>"$ 1,037"</f>
        <v>$ 1,037</v>
      </c>
      <c r="F8810">
        <v>647</v>
      </c>
    </row>
    <row r="8811" spans="1:6">
      <c r="A8811" t="s">
        <v>8751</v>
      </c>
      <c r="B8811" t="str">
        <f t="shared" si="348"/>
        <v>0.00013%</v>
      </c>
      <c r="C8811" t="s">
        <v>10</v>
      </c>
      <c r="D8811" t="s">
        <v>10</v>
      </c>
      <c r="E8811" t="str">
        <f>"$ 965"</f>
        <v>$ 965</v>
      </c>
      <c r="F8811">
        <v>23</v>
      </c>
    </row>
    <row r="8812" spans="1:6">
      <c r="A8812" t="s">
        <v>8752</v>
      </c>
      <c r="B8812" t="str">
        <f t="shared" si="348"/>
        <v>0.00013%</v>
      </c>
      <c r="C8812" t="s">
        <v>10</v>
      </c>
      <c r="D8812" t="s">
        <v>10</v>
      </c>
      <c r="E8812" t="str">
        <f>"$ 1,009"</f>
        <v>$ 1,009</v>
      </c>
      <c r="F8812">
        <v>377</v>
      </c>
    </row>
    <row r="8813" spans="1:6">
      <c r="A8813" t="s">
        <v>8753</v>
      </c>
      <c r="B8813" t="str">
        <f t="shared" si="348"/>
        <v>0.00013%</v>
      </c>
      <c r="C8813" t="s">
        <v>10</v>
      </c>
      <c r="D8813" t="s">
        <v>10</v>
      </c>
      <c r="E8813" t="str">
        <f>"$ 1,032"</f>
        <v>$ 1,032</v>
      </c>
      <c r="F8813">
        <v>44</v>
      </c>
    </row>
    <row r="8814" spans="1:6">
      <c r="A8814" t="s">
        <v>8754</v>
      </c>
      <c r="B8814" t="str">
        <f t="shared" si="348"/>
        <v>0.00013%</v>
      </c>
      <c r="C8814" t="s">
        <v>10</v>
      </c>
      <c r="D8814" t="s">
        <v>10</v>
      </c>
      <c r="E8814" t="str">
        <f>"$ 971"</f>
        <v>$ 971</v>
      </c>
      <c r="F8814">
        <v>101</v>
      </c>
    </row>
    <row r="8815" spans="1:6">
      <c r="A8815" t="s">
        <v>8755</v>
      </c>
      <c r="B8815" t="str">
        <f t="shared" si="348"/>
        <v>0.00013%</v>
      </c>
      <c r="C8815" t="s">
        <v>10</v>
      </c>
      <c r="D8815" t="s">
        <v>10</v>
      </c>
      <c r="E8815" t="str">
        <f>"$ 995"</f>
        <v>$ 995</v>
      </c>
      <c r="F8815">
        <v>39</v>
      </c>
    </row>
    <row r="8816" spans="1:6">
      <c r="A8816" t="s">
        <v>8756</v>
      </c>
      <c r="B8816" t="str">
        <f t="shared" si="348"/>
        <v>0.00013%</v>
      </c>
      <c r="C8816" t="s">
        <v>10</v>
      </c>
      <c r="D8816" t="s">
        <v>10</v>
      </c>
      <c r="E8816" t="str">
        <f>"$ 1,006"</f>
        <v>$ 1,006</v>
      </c>
      <c r="F8816">
        <v>322</v>
      </c>
    </row>
    <row r="8817" spans="1:6">
      <c r="A8817" t="s">
        <v>8757</v>
      </c>
      <c r="B8817" t="str">
        <f t="shared" ref="B8817:B8848" si="349">"0.00013%"</f>
        <v>0.00013%</v>
      </c>
      <c r="C8817" t="s">
        <v>10</v>
      </c>
      <c r="D8817" t="s">
        <v>10</v>
      </c>
      <c r="E8817" t="str">
        <f>"$ 1,038"</f>
        <v>$ 1,038</v>
      </c>
      <c r="F8817">
        <v>228</v>
      </c>
    </row>
    <row r="8818" spans="1:6">
      <c r="A8818" t="s">
        <v>8758</v>
      </c>
      <c r="B8818" t="str">
        <f t="shared" si="349"/>
        <v>0.00013%</v>
      </c>
      <c r="C8818" t="s">
        <v>10</v>
      </c>
      <c r="D8818" t="s">
        <v>10</v>
      </c>
      <c r="E8818" t="str">
        <f>"$ 1,005"</f>
        <v>$ 1,005</v>
      </c>
      <c r="F8818">
        <v>311</v>
      </c>
    </row>
    <row r="8819" spans="1:6">
      <c r="A8819" t="s">
        <v>8759</v>
      </c>
      <c r="B8819" t="str">
        <f t="shared" si="349"/>
        <v>0.00013%</v>
      </c>
      <c r="C8819" t="s">
        <v>10</v>
      </c>
      <c r="D8819" t="s">
        <v>10</v>
      </c>
      <c r="E8819" t="str">
        <f>"$ 968"</f>
        <v>$ 968</v>
      </c>
      <c r="F8819">
        <v>83</v>
      </c>
    </row>
    <row r="8820" spans="1:6">
      <c r="A8820" t="s">
        <v>8760</v>
      </c>
      <c r="B8820" t="str">
        <f t="shared" si="349"/>
        <v>0.00013%</v>
      </c>
      <c r="C8820" t="s">
        <v>10</v>
      </c>
      <c r="D8820" t="s">
        <v>10</v>
      </c>
      <c r="E8820" t="str">
        <f>"$ 1,007"</f>
        <v>$ 1,007</v>
      </c>
      <c r="F8820">
        <v>33</v>
      </c>
    </row>
    <row r="8821" spans="1:6">
      <c r="A8821" t="s">
        <v>8761</v>
      </c>
      <c r="B8821" t="str">
        <f t="shared" si="349"/>
        <v>0.00013%</v>
      </c>
      <c r="C8821" t="s">
        <v>10</v>
      </c>
      <c r="D8821" t="s">
        <v>10</v>
      </c>
      <c r="E8821" t="str">
        <f>"$ 1,032"</f>
        <v>$ 1,032</v>
      </c>
      <c r="F8821">
        <v>33</v>
      </c>
    </row>
    <row r="8822" spans="1:6">
      <c r="A8822" t="s">
        <v>8762</v>
      </c>
      <c r="B8822" t="str">
        <f t="shared" si="349"/>
        <v>0.00013%</v>
      </c>
      <c r="C8822" t="s">
        <v>10</v>
      </c>
      <c r="D8822" t="s">
        <v>10</v>
      </c>
      <c r="E8822" t="str">
        <f>"$ 1,015"</f>
        <v>$ 1,015</v>
      </c>
      <c r="F8822">
        <v>164</v>
      </c>
    </row>
    <row r="8823" spans="1:6">
      <c r="A8823" t="s">
        <v>8763</v>
      </c>
      <c r="B8823" t="str">
        <f t="shared" si="349"/>
        <v>0.00013%</v>
      </c>
      <c r="C8823" t="s">
        <v>10</v>
      </c>
      <c r="D8823" t="s">
        <v>10</v>
      </c>
      <c r="E8823" t="str">
        <f>"$ 981"</f>
        <v>$ 981</v>
      </c>
      <c r="F8823">
        <v>33</v>
      </c>
    </row>
    <row r="8824" spans="1:6">
      <c r="A8824" t="s">
        <v>8764</v>
      </c>
      <c r="B8824" t="str">
        <f t="shared" si="349"/>
        <v>0.00013%</v>
      </c>
      <c r="C8824" t="s">
        <v>10</v>
      </c>
      <c r="D8824" t="s">
        <v>10</v>
      </c>
      <c r="E8824" t="str">
        <f>"$ 980"</f>
        <v>$ 980</v>
      </c>
      <c r="F8824">
        <v>539</v>
      </c>
    </row>
    <row r="8825" spans="1:6">
      <c r="A8825" t="s">
        <v>8765</v>
      </c>
      <c r="B8825" t="str">
        <f t="shared" si="349"/>
        <v>0.00013%</v>
      </c>
      <c r="C8825" t="s">
        <v>10</v>
      </c>
      <c r="D8825" t="s">
        <v>10</v>
      </c>
      <c r="E8825" t="str">
        <f>"$ 996"</f>
        <v>$ 996</v>
      </c>
      <c r="F8825">
        <v>221</v>
      </c>
    </row>
    <row r="8826" spans="1:6">
      <c r="A8826" t="s">
        <v>8766</v>
      </c>
      <c r="B8826" t="str">
        <f t="shared" si="349"/>
        <v>0.00013%</v>
      </c>
      <c r="C8826" t="s">
        <v>10</v>
      </c>
      <c r="D8826" t="s">
        <v>10</v>
      </c>
      <c r="E8826" t="str">
        <f>"$ 989"</f>
        <v>$ 989</v>
      </c>
      <c r="F8826">
        <v>74</v>
      </c>
    </row>
    <row r="8827" spans="1:6">
      <c r="A8827" t="s">
        <v>8767</v>
      </c>
      <c r="B8827" t="str">
        <f t="shared" si="349"/>
        <v>0.00013%</v>
      </c>
      <c r="C8827" t="s">
        <v>10</v>
      </c>
      <c r="D8827" t="s">
        <v>10</v>
      </c>
      <c r="E8827" t="str">
        <f>"$ 1,042"</f>
        <v>$ 1,042</v>
      </c>
      <c r="F8827">
        <v>110</v>
      </c>
    </row>
    <row r="8828" spans="1:6">
      <c r="A8828" t="s">
        <v>8768</v>
      </c>
      <c r="B8828" t="str">
        <f t="shared" si="349"/>
        <v>0.00013%</v>
      </c>
      <c r="C8828" t="s">
        <v>10</v>
      </c>
      <c r="D8828" t="s">
        <v>10</v>
      </c>
      <c r="E8828" t="str">
        <f>"$ 995"</f>
        <v>$ 995</v>
      </c>
      <c r="F8828">
        <v>104</v>
      </c>
    </row>
    <row r="8829" spans="1:6">
      <c r="A8829" t="s">
        <v>8769</v>
      </c>
      <c r="B8829" t="str">
        <f t="shared" si="349"/>
        <v>0.00013%</v>
      </c>
      <c r="C8829" t="s">
        <v>10</v>
      </c>
      <c r="D8829" t="s">
        <v>10</v>
      </c>
      <c r="E8829" t="str">
        <f>"$ 994"</f>
        <v>$ 994</v>
      </c>
      <c r="F8829">
        <v>56</v>
      </c>
    </row>
    <row r="8830" spans="1:6">
      <c r="A8830" t="s">
        <v>8770</v>
      </c>
      <c r="B8830" t="str">
        <f t="shared" si="349"/>
        <v>0.00013%</v>
      </c>
      <c r="C8830" t="s">
        <v>10</v>
      </c>
      <c r="D8830" t="s">
        <v>10</v>
      </c>
      <c r="E8830" t="str">
        <f>"$ 993"</f>
        <v>$ 993</v>
      </c>
      <c r="F8830">
        <v>185</v>
      </c>
    </row>
    <row r="8831" spans="1:6">
      <c r="A8831" t="s">
        <v>8771</v>
      </c>
      <c r="B8831" t="str">
        <f t="shared" si="349"/>
        <v>0.00013%</v>
      </c>
      <c r="C8831" t="s">
        <v>10</v>
      </c>
      <c r="D8831" t="s">
        <v>10</v>
      </c>
      <c r="E8831" t="str">
        <f>"$ 981"</f>
        <v>$ 981</v>
      </c>
      <c r="F8831">
        <v>268</v>
      </c>
    </row>
    <row r="8832" spans="1:6">
      <c r="A8832" t="s">
        <v>8772</v>
      </c>
      <c r="B8832" t="str">
        <f t="shared" si="349"/>
        <v>0.00013%</v>
      </c>
      <c r="C8832" t="s">
        <v>10</v>
      </c>
      <c r="D8832" t="s">
        <v>10</v>
      </c>
      <c r="E8832" t="str">
        <f>"$ 998"</f>
        <v>$ 998</v>
      </c>
      <c r="F8832">
        <v>82</v>
      </c>
    </row>
    <row r="8833" spans="1:6">
      <c r="A8833" t="s">
        <v>8773</v>
      </c>
      <c r="B8833" t="str">
        <f t="shared" si="349"/>
        <v>0.00013%</v>
      </c>
      <c r="C8833" t="s">
        <v>10</v>
      </c>
      <c r="D8833" t="s">
        <v>10</v>
      </c>
      <c r="E8833" t="str">
        <f>"$ 1,032"</f>
        <v>$ 1,032</v>
      </c>
      <c r="F8833">
        <v>49</v>
      </c>
    </row>
    <row r="8834" spans="1:6">
      <c r="A8834" t="s">
        <v>8774</v>
      </c>
      <c r="B8834" t="str">
        <f t="shared" si="349"/>
        <v>0.00013%</v>
      </c>
      <c r="C8834" t="s">
        <v>10</v>
      </c>
      <c r="D8834" t="s">
        <v>10</v>
      </c>
      <c r="E8834" t="str">
        <f>"$ 971"</f>
        <v>$ 971</v>
      </c>
      <c r="F8834">
        <v>97</v>
      </c>
    </row>
    <row r="8835" spans="1:6">
      <c r="A8835" t="s">
        <v>8775</v>
      </c>
      <c r="B8835" t="str">
        <f t="shared" si="349"/>
        <v>0.00013%</v>
      </c>
      <c r="C8835" t="s">
        <v>10</v>
      </c>
      <c r="D8835" t="s">
        <v>10</v>
      </c>
      <c r="E8835" t="str">
        <f>"$ 975"</f>
        <v>$ 975</v>
      </c>
      <c r="F8835">
        <v>37</v>
      </c>
    </row>
    <row r="8836" spans="1:6">
      <c r="A8836" t="s">
        <v>8776</v>
      </c>
      <c r="B8836" t="str">
        <f t="shared" si="349"/>
        <v>0.00013%</v>
      </c>
      <c r="C8836" t="s">
        <v>10</v>
      </c>
      <c r="D8836" t="s">
        <v>10</v>
      </c>
      <c r="E8836" t="str">
        <f>"$ 1,036"</f>
        <v>$ 1,036</v>
      </c>
      <c r="F8836">
        <v>16</v>
      </c>
    </row>
    <row r="8837" spans="1:6">
      <c r="A8837" t="s">
        <v>8777</v>
      </c>
      <c r="B8837" t="str">
        <f t="shared" si="349"/>
        <v>0.00013%</v>
      </c>
      <c r="C8837" t="s">
        <v>10</v>
      </c>
      <c r="D8837" t="s">
        <v>10</v>
      </c>
      <c r="E8837" t="str">
        <f>"$ 1,022"</f>
        <v>$ 1,022</v>
      </c>
      <c r="F8837">
        <v>99</v>
      </c>
    </row>
    <row r="8838" spans="1:6">
      <c r="A8838" t="s">
        <v>8778</v>
      </c>
      <c r="B8838" t="str">
        <f t="shared" si="349"/>
        <v>0.00013%</v>
      </c>
      <c r="C8838" t="s">
        <v>10</v>
      </c>
      <c r="D8838" t="s">
        <v>10</v>
      </c>
      <c r="E8838" t="str">
        <f>"$ 978"</f>
        <v>$ 978</v>
      </c>
      <c r="F8838">
        <v>46</v>
      </c>
    </row>
    <row r="8839" spans="1:6">
      <c r="A8839" t="s">
        <v>8054</v>
      </c>
      <c r="B8839" t="str">
        <f t="shared" si="349"/>
        <v>0.00013%</v>
      </c>
      <c r="C8839" t="s">
        <v>10</v>
      </c>
      <c r="D8839" t="s">
        <v>10</v>
      </c>
      <c r="E8839" t="str">
        <f>"$ 1,009"</f>
        <v>$ 1,009</v>
      </c>
      <c r="F8839">
        <v>906</v>
      </c>
    </row>
    <row r="8840" spans="1:6">
      <c r="A8840" t="s">
        <v>8779</v>
      </c>
      <c r="B8840" t="str">
        <f t="shared" si="349"/>
        <v>0.00013%</v>
      </c>
      <c r="C8840" t="s">
        <v>10</v>
      </c>
      <c r="D8840" t="s">
        <v>10</v>
      </c>
      <c r="E8840" t="str">
        <f>"$ 1,024"</f>
        <v>$ 1,024</v>
      </c>
      <c r="F8840" s="1">
        <v>2351</v>
      </c>
    </row>
    <row r="8841" spans="1:6">
      <c r="A8841" t="s">
        <v>8780</v>
      </c>
      <c r="B8841" t="str">
        <f t="shared" si="349"/>
        <v>0.00013%</v>
      </c>
      <c r="C8841" t="s">
        <v>10</v>
      </c>
      <c r="D8841" t="s">
        <v>10</v>
      </c>
      <c r="E8841" t="str">
        <f>"$ 1,036"</f>
        <v>$ 1,036</v>
      </c>
      <c r="F8841" s="1">
        <v>1298</v>
      </c>
    </row>
    <row r="8842" spans="1:6">
      <c r="A8842" t="s">
        <v>8781</v>
      </c>
      <c r="B8842" t="str">
        <f t="shared" si="349"/>
        <v>0.00013%</v>
      </c>
      <c r="C8842" t="s">
        <v>10</v>
      </c>
      <c r="D8842" t="s">
        <v>10</v>
      </c>
      <c r="E8842" t="str">
        <f>"$ 1,031"</f>
        <v>$ 1,031</v>
      </c>
      <c r="F8842" s="1">
        <v>1094</v>
      </c>
    </row>
    <row r="8843" spans="1:6">
      <c r="A8843" t="s">
        <v>8782</v>
      </c>
      <c r="B8843" t="str">
        <f t="shared" si="349"/>
        <v>0.00013%</v>
      </c>
      <c r="C8843" t="s">
        <v>10</v>
      </c>
      <c r="D8843" t="s">
        <v>10</v>
      </c>
      <c r="E8843" t="str">
        <f>"$ 1,034"</f>
        <v>$ 1,034</v>
      </c>
      <c r="F8843" s="1">
        <v>5458</v>
      </c>
    </row>
    <row r="8844" spans="1:6">
      <c r="A8844" t="s">
        <v>8783</v>
      </c>
      <c r="B8844" t="str">
        <f t="shared" si="349"/>
        <v>0.00013%</v>
      </c>
      <c r="C8844" t="s">
        <v>10</v>
      </c>
      <c r="D8844" t="s">
        <v>10</v>
      </c>
      <c r="E8844" t="str">
        <f>"$ 989"</f>
        <v>$ 989</v>
      </c>
      <c r="F8844">
        <v>13</v>
      </c>
    </row>
    <row r="8845" spans="1:6">
      <c r="A8845" t="s">
        <v>8784</v>
      </c>
      <c r="B8845" t="str">
        <f t="shared" si="349"/>
        <v>0.00013%</v>
      </c>
      <c r="C8845" t="s">
        <v>10</v>
      </c>
      <c r="D8845" t="s">
        <v>10</v>
      </c>
      <c r="E8845" t="str">
        <f>"$ 992"</f>
        <v>$ 992</v>
      </c>
      <c r="F8845">
        <v>115</v>
      </c>
    </row>
    <row r="8846" spans="1:6">
      <c r="A8846" t="s">
        <v>8785</v>
      </c>
      <c r="B8846" t="str">
        <f t="shared" si="349"/>
        <v>0.00013%</v>
      </c>
      <c r="C8846" t="s">
        <v>10</v>
      </c>
      <c r="D8846" t="s">
        <v>10</v>
      </c>
      <c r="E8846" t="str">
        <f>"$ 971"</f>
        <v>$ 971</v>
      </c>
      <c r="F8846">
        <v>49</v>
      </c>
    </row>
    <row r="8847" spans="1:6">
      <c r="A8847" t="s">
        <v>8786</v>
      </c>
      <c r="B8847" t="str">
        <f t="shared" si="349"/>
        <v>0.00013%</v>
      </c>
      <c r="C8847" t="s">
        <v>10</v>
      </c>
      <c r="D8847" t="s">
        <v>10</v>
      </c>
      <c r="E8847" t="str">
        <f>"$ 968"</f>
        <v>$ 968</v>
      </c>
      <c r="F8847">
        <v>19</v>
      </c>
    </row>
    <row r="8848" spans="1:6">
      <c r="A8848" t="s">
        <v>8787</v>
      </c>
      <c r="B8848" t="str">
        <f t="shared" si="349"/>
        <v>0.00013%</v>
      </c>
      <c r="C8848" t="s">
        <v>10</v>
      </c>
      <c r="D8848" t="s">
        <v>10</v>
      </c>
      <c r="E8848" t="str">
        <f>"$ 966"</f>
        <v>$ 966</v>
      </c>
      <c r="F8848">
        <v>18</v>
      </c>
    </row>
    <row r="8849" spans="1:6">
      <c r="A8849" t="s">
        <v>8788</v>
      </c>
      <c r="B8849" t="str">
        <f t="shared" ref="B8849:B8880" si="350">"0.00013%"</f>
        <v>0.00013%</v>
      </c>
      <c r="C8849" t="s">
        <v>10</v>
      </c>
      <c r="D8849" t="s">
        <v>10</v>
      </c>
      <c r="E8849" t="str">
        <f>"$ 986"</f>
        <v>$ 986</v>
      </c>
      <c r="F8849">
        <v>363</v>
      </c>
    </row>
    <row r="8850" spans="1:6">
      <c r="A8850" t="s">
        <v>8789</v>
      </c>
      <c r="B8850" t="str">
        <f t="shared" si="350"/>
        <v>0.00013%</v>
      </c>
      <c r="C8850" t="s">
        <v>10</v>
      </c>
      <c r="D8850" t="s">
        <v>10</v>
      </c>
      <c r="E8850" t="str">
        <f>"$ 998"</f>
        <v>$ 998</v>
      </c>
      <c r="F8850" s="1">
        <v>3331</v>
      </c>
    </row>
    <row r="8851" spans="1:6">
      <c r="A8851" t="s">
        <v>8790</v>
      </c>
      <c r="B8851" t="str">
        <f t="shared" si="350"/>
        <v>0.00013%</v>
      </c>
      <c r="C8851" t="s">
        <v>10</v>
      </c>
      <c r="D8851" t="s">
        <v>10</v>
      </c>
      <c r="E8851" t="str">
        <f>"$ 992"</f>
        <v>$ 992</v>
      </c>
      <c r="F8851">
        <v>627</v>
      </c>
    </row>
    <row r="8852" spans="1:6">
      <c r="A8852" t="s">
        <v>8791</v>
      </c>
      <c r="B8852" t="str">
        <f t="shared" si="350"/>
        <v>0.00013%</v>
      </c>
      <c r="C8852" t="s">
        <v>10</v>
      </c>
      <c r="D8852" t="s">
        <v>10</v>
      </c>
      <c r="E8852" t="str">
        <f>"$ 1,018"</f>
        <v>$ 1,018</v>
      </c>
      <c r="F8852">
        <v>38</v>
      </c>
    </row>
    <row r="8853" spans="1:6">
      <c r="A8853" t="s">
        <v>8792</v>
      </c>
      <c r="B8853" t="str">
        <f t="shared" si="350"/>
        <v>0.00013%</v>
      </c>
      <c r="C8853" t="s">
        <v>10</v>
      </c>
      <c r="D8853" t="s">
        <v>10</v>
      </c>
      <c r="E8853" t="str">
        <f>"$ 999"</f>
        <v>$ 999</v>
      </c>
      <c r="F8853">
        <v>43</v>
      </c>
    </row>
    <row r="8854" spans="1:6">
      <c r="A8854" t="s">
        <v>8793</v>
      </c>
      <c r="B8854" t="str">
        <f t="shared" si="350"/>
        <v>0.00013%</v>
      </c>
      <c r="C8854" t="s">
        <v>10</v>
      </c>
      <c r="D8854" t="s">
        <v>10</v>
      </c>
      <c r="E8854" t="str">
        <f>"$ 1,000"</f>
        <v>$ 1,000</v>
      </c>
      <c r="F8854">
        <v>611</v>
      </c>
    </row>
    <row r="8855" spans="1:6">
      <c r="A8855" t="s">
        <v>8794</v>
      </c>
      <c r="B8855" t="str">
        <f t="shared" si="350"/>
        <v>0.00013%</v>
      </c>
      <c r="C8855" t="s">
        <v>10</v>
      </c>
      <c r="D8855" t="s">
        <v>10</v>
      </c>
      <c r="E8855" t="str">
        <f>"$ 965"</f>
        <v>$ 965</v>
      </c>
      <c r="F8855" s="1">
        <v>1065</v>
      </c>
    </row>
    <row r="8856" spans="1:6">
      <c r="A8856" t="s">
        <v>8795</v>
      </c>
      <c r="B8856" t="str">
        <f t="shared" si="350"/>
        <v>0.00013%</v>
      </c>
      <c r="C8856" t="s">
        <v>10</v>
      </c>
      <c r="D8856" t="s">
        <v>10</v>
      </c>
      <c r="E8856" t="str">
        <f>"$ 970"</f>
        <v>$ 970</v>
      </c>
      <c r="F8856">
        <v>268</v>
      </c>
    </row>
    <row r="8857" spans="1:6">
      <c r="A8857" t="s">
        <v>8796</v>
      </c>
      <c r="B8857" t="str">
        <f t="shared" si="350"/>
        <v>0.00013%</v>
      </c>
      <c r="C8857" t="s">
        <v>10</v>
      </c>
      <c r="D8857" t="s">
        <v>10</v>
      </c>
      <c r="E8857" t="str">
        <f>"$ 970"</f>
        <v>$ 970</v>
      </c>
      <c r="F8857">
        <v>961</v>
      </c>
    </row>
    <row r="8858" spans="1:6">
      <c r="A8858" t="s">
        <v>8797</v>
      </c>
      <c r="B8858" t="str">
        <f t="shared" si="350"/>
        <v>0.00013%</v>
      </c>
      <c r="C8858" t="s">
        <v>10</v>
      </c>
      <c r="D8858" t="s">
        <v>10</v>
      </c>
      <c r="E8858" t="str">
        <f>"$ 981"</f>
        <v>$ 981</v>
      </c>
      <c r="F8858">
        <v>482</v>
      </c>
    </row>
    <row r="8859" spans="1:6">
      <c r="A8859" t="s">
        <v>8798</v>
      </c>
      <c r="B8859" t="str">
        <f t="shared" si="350"/>
        <v>0.00013%</v>
      </c>
      <c r="C8859" t="s">
        <v>10</v>
      </c>
      <c r="D8859" t="s">
        <v>10</v>
      </c>
      <c r="E8859" t="str">
        <f>"$ 1,004"</f>
        <v>$ 1,004</v>
      </c>
      <c r="F8859">
        <v>16</v>
      </c>
    </row>
    <row r="8860" spans="1:6">
      <c r="A8860" t="s">
        <v>8799</v>
      </c>
      <c r="B8860" t="str">
        <f t="shared" si="350"/>
        <v>0.00013%</v>
      </c>
      <c r="C8860" t="s">
        <v>10</v>
      </c>
      <c r="D8860" t="s">
        <v>10</v>
      </c>
      <c r="E8860" t="str">
        <f>"$ 1,007"</f>
        <v>$ 1,007</v>
      </c>
      <c r="F8860" s="1">
        <v>2287</v>
      </c>
    </row>
    <row r="8861" spans="1:6">
      <c r="A8861" t="s">
        <v>8800</v>
      </c>
      <c r="B8861" t="str">
        <f t="shared" si="350"/>
        <v>0.00013%</v>
      </c>
      <c r="C8861" t="s">
        <v>10</v>
      </c>
      <c r="D8861" t="s">
        <v>10</v>
      </c>
      <c r="E8861" t="str">
        <f>"$ 1,019"</f>
        <v>$ 1,019</v>
      </c>
      <c r="F8861" s="1">
        <v>1211</v>
      </c>
    </row>
    <row r="8862" spans="1:6">
      <c r="A8862" t="s">
        <v>8801</v>
      </c>
      <c r="B8862" t="str">
        <f t="shared" si="350"/>
        <v>0.00013%</v>
      </c>
      <c r="C8862" t="s">
        <v>10</v>
      </c>
      <c r="D8862" t="s">
        <v>10</v>
      </c>
      <c r="E8862" t="str">
        <f>"$ 1,000"</f>
        <v>$ 1,000</v>
      </c>
      <c r="F8862">
        <v>8</v>
      </c>
    </row>
    <row r="8863" spans="1:6">
      <c r="A8863" t="s">
        <v>8802</v>
      </c>
      <c r="B8863" t="str">
        <f t="shared" si="350"/>
        <v>0.00013%</v>
      </c>
      <c r="C8863" t="s">
        <v>10</v>
      </c>
      <c r="D8863" t="s">
        <v>10</v>
      </c>
      <c r="E8863" t="str">
        <f>"$ 1,037"</f>
        <v>$ 1,037</v>
      </c>
      <c r="F8863">
        <v>55</v>
      </c>
    </row>
    <row r="8864" spans="1:6">
      <c r="A8864" t="s">
        <v>8803</v>
      </c>
      <c r="B8864" t="str">
        <f t="shared" si="350"/>
        <v>0.00013%</v>
      </c>
      <c r="C8864" t="s">
        <v>10</v>
      </c>
      <c r="D8864" t="s">
        <v>10</v>
      </c>
      <c r="E8864" t="str">
        <f>"$ 1,021"</f>
        <v>$ 1,021</v>
      </c>
      <c r="F8864">
        <v>116</v>
      </c>
    </row>
    <row r="8865" spans="1:6">
      <c r="A8865" t="s">
        <v>8804</v>
      </c>
      <c r="B8865" t="str">
        <f t="shared" si="350"/>
        <v>0.00013%</v>
      </c>
      <c r="C8865" t="s">
        <v>10</v>
      </c>
      <c r="D8865" t="s">
        <v>10</v>
      </c>
      <c r="E8865" t="str">
        <f>"$ 968"</f>
        <v>$ 968</v>
      </c>
      <c r="F8865">
        <v>33</v>
      </c>
    </row>
    <row r="8866" spans="1:6">
      <c r="A8866" t="s">
        <v>8805</v>
      </c>
      <c r="B8866" t="str">
        <f t="shared" si="350"/>
        <v>0.00013%</v>
      </c>
      <c r="C8866" t="s">
        <v>10</v>
      </c>
      <c r="D8866" t="s">
        <v>10</v>
      </c>
      <c r="E8866" t="str">
        <f>"$ 1,011"</f>
        <v>$ 1,011</v>
      </c>
      <c r="F8866">
        <v>63</v>
      </c>
    </row>
    <row r="8867" spans="1:6">
      <c r="A8867" t="s">
        <v>8806</v>
      </c>
      <c r="B8867" t="str">
        <f t="shared" si="350"/>
        <v>0.00013%</v>
      </c>
      <c r="C8867" t="s">
        <v>10</v>
      </c>
      <c r="D8867" t="s">
        <v>10</v>
      </c>
      <c r="E8867" t="str">
        <f>"$ 1,029"</f>
        <v>$ 1,029</v>
      </c>
      <c r="F8867">
        <v>146</v>
      </c>
    </row>
    <row r="8868" spans="1:6">
      <c r="A8868" t="s">
        <v>8807</v>
      </c>
      <c r="B8868" t="str">
        <f t="shared" si="350"/>
        <v>0.00013%</v>
      </c>
      <c r="C8868" t="s">
        <v>10</v>
      </c>
      <c r="D8868" t="s">
        <v>10</v>
      </c>
      <c r="E8868" t="str">
        <f>"$ 992"</f>
        <v>$ 992</v>
      </c>
      <c r="F8868" s="1">
        <v>34640</v>
      </c>
    </row>
    <row r="8869" spans="1:6">
      <c r="A8869" t="s">
        <v>8808</v>
      </c>
      <c r="B8869" t="str">
        <f t="shared" si="350"/>
        <v>0.00013%</v>
      </c>
      <c r="C8869" t="s">
        <v>10</v>
      </c>
      <c r="D8869" t="s">
        <v>10</v>
      </c>
      <c r="E8869" t="str">
        <f>"$ 1,037"</f>
        <v>$ 1,037</v>
      </c>
      <c r="F8869">
        <v>939</v>
      </c>
    </row>
    <row r="8870" spans="1:6">
      <c r="A8870" t="s">
        <v>6470</v>
      </c>
      <c r="B8870" t="str">
        <f t="shared" si="350"/>
        <v>0.00013%</v>
      </c>
      <c r="C8870" t="s">
        <v>10</v>
      </c>
      <c r="D8870" t="s">
        <v>10</v>
      </c>
      <c r="E8870" t="str">
        <f>"$ 997"</f>
        <v>$ 997</v>
      </c>
      <c r="F8870">
        <v>286</v>
      </c>
    </row>
    <row r="8871" spans="1:6">
      <c r="A8871" t="s">
        <v>8809</v>
      </c>
      <c r="B8871" t="str">
        <f t="shared" si="350"/>
        <v>0.00013%</v>
      </c>
      <c r="C8871" t="s">
        <v>10</v>
      </c>
      <c r="D8871" t="s">
        <v>10</v>
      </c>
      <c r="E8871" t="str">
        <f>"$ 984"</f>
        <v>$ 984</v>
      </c>
      <c r="F8871">
        <v>82</v>
      </c>
    </row>
    <row r="8872" spans="1:6">
      <c r="A8872" t="s">
        <v>8810</v>
      </c>
      <c r="B8872" t="str">
        <f t="shared" si="350"/>
        <v>0.00013%</v>
      </c>
      <c r="C8872" t="s">
        <v>10</v>
      </c>
      <c r="D8872" t="s">
        <v>10</v>
      </c>
      <c r="E8872" t="str">
        <f>"$ 982"</f>
        <v>$ 982</v>
      </c>
      <c r="F8872">
        <v>568</v>
      </c>
    </row>
    <row r="8873" spans="1:6">
      <c r="A8873" t="s">
        <v>8811</v>
      </c>
      <c r="B8873" t="str">
        <f t="shared" si="350"/>
        <v>0.00013%</v>
      </c>
      <c r="C8873" t="s">
        <v>10</v>
      </c>
      <c r="D8873" t="s">
        <v>10</v>
      </c>
      <c r="E8873" t="str">
        <f>"$ 1,031"</f>
        <v>$ 1,031</v>
      </c>
      <c r="F8873">
        <v>492</v>
      </c>
    </row>
    <row r="8874" spans="1:6">
      <c r="A8874" t="s">
        <v>8812</v>
      </c>
      <c r="B8874" t="str">
        <f t="shared" si="350"/>
        <v>0.00013%</v>
      </c>
      <c r="C8874" t="s">
        <v>10</v>
      </c>
      <c r="D8874" t="s">
        <v>10</v>
      </c>
      <c r="E8874" t="str">
        <f>"$ 990"</f>
        <v>$ 990</v>
      </c>
      <c r="F8874">
        <v>513</v>
      </c>
    </row>
    <row r="8875" spans="1:6">
      <c r="A8875" t="s">
        <v>8813</v>
      </c>
      <c r="B8875" t="str">
        <f t="shared" si="350"/>
        <v>0.00013%</v>
      </c>
      <c r="C8875" t="s">
        <v>10</v>
      </c>
      <c r="D8875" t="s">
        <v>10</v>
      </c>
      <c r="E8875" t="str">
        <f>"$ 978"</f>
        <v>$ 978</v>
      </c>
      <c r="F8875" s="1">
        <v>1145</v>
      </c>
    </row>
    <row r="8876" spans="1:6">
      <c r="A8876" t="s">
        <v>8814</v>
      </c>
      <c r="B8876" t="str">
        <f t="shared" si="350"/>
        <v>0.00013%</v>
      </c>
      <c r="C8876" t="s">
        <v>10</v>
      </c>
      <c r="D8876" t="s">
        <v>10</v>
      </c>
      <c r="E8876" t="str">
        <f>"$ 991"</f>
        <v>$ 991</v>
      </c>
      <c r="F8876">
        <v>454</v>
      </c>
    </row>
    <row r="8877" spans="1:6">
      <c r="A8877" t="s">
        <v>8815</v>
      </c>
      <c r="B8877" t="str">
        <f t="shared" si="350"/>
        <v>0.00013%</v>
      </c>
      <c r="C8877" t="s">
        <v>10</v>
      </c>
      <c r="D8877" t="s">
        <v>10</v>
      </c>
      <c r="E8877" t="str">
        <f>"$ 1,002"</f>
        <v>$ 1,002</v>
      </c>
      <c r="F8877">
        <v>348</v>
      </c>
    </row>
    <row r="8878" spans="1:6">
      <c r="A8878" t="s">
        <v>8816</v>
      </c>
      <c r="B8878" t="str">
        <f t="shared" si="350"/>
        <v>0.00013%</v>
      </c>
      <c r="C8878" t="s">
        <v>10</v>
      </c>
      <c r="D8878" t="s">
        <v>10</v>
      </c>
      <c r="E8878" t="str">
        <f>"$ 1,013"</f>
        <v>$ 1,013</v>
      </c>
      <c r="F8878" s="1">
        <v>4983</v>
      </c>
    </row>
    <row r="8879" spans="1:6">
      <c r="A8879" t="s">
        <v>8817</v>
      </c>
      <c r="B8879" t="str">
        <f t="shared" si="350"/>
        <v>0.00013%</v>
      </c>
      <c r="C8879" t="s">
        <v>10</v>
      </c>
      <c r="D8879" t="s">
        <v>10</v>
      </c>
      <c r="E8879" t="str">
        <f>"$ 988"</f>
        <v>$ 988</v>
      </c>
      <c r="F8879">
        <v>332</v>
      </c>
    </row>
    <row r="8880" spans="1:6">
      <c r="A8880" t="s">
        <v>8818</v>
      </c>
      <c r="B8880" t="str">
        <f t="shared" si="350"/>
        <v>0.00013%</v>
      </c>
      <c r="C8880" t="s">
        <v>10</v>
      </c>
      <c r="D8880" t="s">
        <v>10</v>
      </c>
      <c r="E8880" t="str">
        <f>"$ 985"</f>
        <v>$ 985</v>
      </c>
      <c r="F8880">
        <v>99</v>
      </c>
    </row>
    <row r="8881" spans="1:6">
      <c r="A8881" t="s">
        <v>8819</v>
      </c>
      <c r="B8881" t="str">
        <f t="shared" ref="B8881:B8890" si="351">"0.00013%"</f>
        <v>0.00013%</v>
      </c>
      <c r="C8881" t="s">
        <v>10</v>
      </c>
      <c r="D8881" t="s">
        <v>10</v>
      </c>
      <c r="E8881" t="str">
        <f>"$ 1,010"</f>
        <v>$ 1,010</v>
      </c>
      <c r="F8881">
        <v>310</v>
      </c>
    </row>
    <row r="8882" spans="1:6">
      <c r="A8882" t="s">
        <v>8820</v>
      </c>
      <c r="B8882" t="str">
        <f t="shared" si="351"/>
        <v>0.00013%</v>
      </c>
      <c r="C8882" t="s">
        <v>10</v>
      </c>
      <c r="D8882" t="s">
        <v>10</v>
      </c>
      <c r="E8882" t="str">
        <f>"$ 1,019"</f>
        <v>$ 1,019</v>
      </c>
      <c r="F8882">
        <v>39</v>
      </c>
    </row>
    <row r="8883" spans="1:6">
      <c r="A8883" t="s">
        <v>8821</v>
      </c>
      <c r="B8883" t="str">
        <f t="shared" si="351"/>
        <v>0.00013%</v>
      </c>
      <c r="C8883" t="s">
        <v>10</v>
      </c>
      <c r="D8883" t="s">
        <v>10</v>
      </c>
      <c r="E8883" t="str">
        <f>"$ 1,001"</f>
        <v>$ 1,001</v>
      </c>
      <c r="F8883">
        <v>129</v>
      </c>
    </row>
    <row r="8884" spans="1:6">
      <c r="A8884" t="s">
        <v>8822</v>
      </c>
      <c r="B8884" t="str">
        <f t="shared" si="351"/>
        <v>0.00013%</v>
      </c>
      <c r="C8884" t="s">
        <v>10</v>
      </c>
      <c r="D8884" t="s">
        <v>10</v>
      </c>
      <c r="E8884" t="str">
        <f>"$ 1,002"</f>
        <v>$ 1,002</v>
      </c>
      <c r="F8884">
        <v>724</v>
      </c>
    </row>
    <row r="8885" spans="1:6">
      <c r="A8885" t="s">
        <v>8823</v>
      </c>
      <c r="B8885" t="str">
        <f t="shared" si="351"/>
        <v>0.00013%</v>
      </c>
      <c r="C8885" t="s">
        <v>10</v>
      </c>
      <c r="D8885" t="s">
        <v>10</v>
      </c>
      <c r="E8885" t="str">
        <f>"$ 1,006"</f>
        <v>$ 1,006</v>
      </c>
      <c r="F8885">
        <v>40</v>
      </c>
    </row>
    <row r="8886" spans="1:6">
      <c r="A8886" t="s">
        <v>8824</v>
      </c>
      <c r="B8886" t="str">
        <f t="shared" si="351"/>
        <v>0.00013%</v>
      </c>
      <c r="C8886" t="s">
        <v>10</v>
      </c>
      <c r="D8886" t="s">
        <v>10</v>
      </c>
      <c r="E8886" t="str">
        <f>"$ 989"</f>
        <v>$ 989</v>
      </c>
      <c r="F8886">
        <v>49</v>
      </c>
    </row>
    <row r="8887" spans="1:6">
      <c r="A8887" t="s">
        <v>8825</v>
      </c>
      <c r="B8887" t="str">
        <f t="shared" si="351"/>
        <v>0.00013%</v>
      </c>
      <c r="C8887" t="s">
        <v>10</v>
      </c>
      <c r="D8887" t="s">
        <v>10</v>
      </c>
      <c r="E8887" t="str">
        <f>"$ 1,021"</f>
        <v>$ 1,021</v>
      </c>
      <c r="F8887">
        <v>26</v>
      </c>
    </row>
    <row r="8888" spans="1:6">
      <c r="A8888" t="s">
        <v>8826</v>
      </c>
      <c r="B8888" t="str">
        <f t="shared" si="351"/>
        <v>0.00013%</v>
      </c>
      <c r="C8888" t="s">
        <v>10</v>
      </c>
      <c r="D8888" t="s">
        <v>10</v>
      </c>
      <c r="E8888" t="str">
        <f>"$ 1,021"</f>
        <v>$ 1,021</v>
      </c>
      <c r="F8888" s="1">
        <v>1852</v>
      </c>
    </row>
    <row r="8889" spans="1:6">
      <c r="A8889" t="s">
        <v>8827</v>
      </c>
      <c r="B8889" t="str">
        <f t="shared" si="351"/>
        <v>0.00013%</v>
      </c>
      <c r="C8889" t="s">
        <v>10</v>
      </c>
      <c r="D8889" t="s">
        <v>10</v>
      </c>
      <c r="E8889" t="str">
        <f>"$ 1,022"</f>
        <v>$ 1,022</v>
      </c>
      <c r="F8889" s="1">
        <v>2396</v>
      </c>
    </row>
    <row r="8890" spans="1:6">
      <c r="A8890" t="s">
        <v>8828</v>
      </c>
      <c r="B8890" t="str">
        <f t="shared" si="351"/>
        <v>0.00013%</v>
      </c>
      <c r="C8890" t="s">
        <v>10</v>
      </c>
      <c r="D8890" t="s">
        <v>10</v>
      </c>
      <c r="E8890" t="str">
        <f>"$ 1,019"</f>
        <v>$ 1,019</v>
      </c>
      <c r="F8890">
        <v>505</v>
      </c>
    </row>
    <row r="8891" spans="1:6">
      <c r="A8891" t="s">
        <v>8829</v>
      </c>
      <c r="B8891" t="str">
        <f t="shared" ref="B8891:B8922" si="352">"0.00012%"</f>
        <v>0.00012%</v>
      </c>
      <c r="C8891" t="s">
        <v>10</v>
      </c>
      <c r="D8891" t="s">
        <v>10</v>
      </c>
      <c r="E8891" t="str">
        <f>"$ 960"</f>
        <v>$ 960</v>
      </c>
      <c r="F8891">
        <v>189</v>
      </c>
    </row>
    <row r="8892" spans="1:6">
      <c r="A8892" t="s">
        <v>8830</v>
      </c>
      <c r="B8892" t="str">
        <f t="shared" si="352"/>
        <v>0.00012%</v>
      </c>
      <c r="C8892" t="s">
        <v>10</v>
      </c>
      <c r="D8892" t="s">
        <v>10</v>
      </c>
      <c r="E8892" t="str">
        <f>"$ 963"</f>
        <v>$ 963</v>
      </c>
      <c r="F8892">
        <v>49</v>
      </c>
    </row>
    <row r="8893" spans="1:6">
      <c r="A8893" t="s">
        <v>8831</v>
      </c>
      <c r="B8893" t="str">
        <f t="shared" si="352"/>
        <v>0.00012%</v>
      </c>
      <c r="C8893" t="s">
        <v>10</v>
      </c>
      <c r="D8893" t="s">
        <v>10</v>
      </c>
      <c r="E8893" t="str">
        <f>"$ 929"</f>
        <v>$ 929</v>
      </c>
      <c r="F8893" s="1">
        <v>8083</v>
      </c>
    </row>
    <row r="8894" spans="1:6">
      <c r="A8894" t="s">
        <v>8832</v>
      </c>
      <c r="B8894" t="str">
        <f t="shared" si="352"/>
        <v>0.00012%</v>
      </c>
      <c r="C8894" t="s">
        <v>10</v>
      </c>
      <c r="D8894" t="s">
        <v>10</v>
      </c>
      <c r="E8894" t="str">
        <f>"$ 892"</f>
        <v>$ 892</v>
      </c>
      <c r="F8894">
        <v>846</v>
      </c>
    </row>
    <row r="8895" spans="1:6">
      <c r="A8895" t="s">
        <v>8833</v>
      </c>
      <c r="B8895" t="str">
        <f t="shared" si="352"/>
        <v>0.00012%</v>
      </c>
      <c r="C8895" t="s">
        <v>10</v>
      </c>
      <c r="D8895" t="s">
        <v>10</v>
      </c>
      <c r="E8895" t="str">
        <f>"$ 962"</f>
        <v>$ 962</v>
      </c>
      <c r="F8895">
        <v>928</v>
      </c>
    </row>
    <row r="8896" spans="1:6">
      <c r="A8896" t="s">
        <v>8834</v>
      </c>
      <c r="B8896" t="str">
        <f t="shared" si="352"/>
        <v>0.00012%</v>
      </c>
      <c r="C8896" t="s">
        <v>10</v>
      </c>
      <c r="D8896" t="s">
        <v>10</v>
      </c>
      <c r="E8896" t="str">
        <f>"$ 930"</f>
        <v>$ 930</v>
      </c>
      <c r="F8896">
        <v>431</v>
      </c>
    </row>
    <row r="8897" spans="1:6">
      <c r="A8897" t="s">
        <v>8835</v>
      </c>
      <c r="B8897" t="str">
        <f t="shared" si="352"/>
        <v>0.00012%</v>
      </c>
      <c r="C8897" t="s">
        <v>10</v>
      </c>
      <c r="D8897" t="s">
        <v>10</v>
      </c>
      <c r="E8897" t="str">
        <f>"$ 913"</f>
        <v>$ 913</v>
      </c>
      <c r="F8897">
        <v>76</v>
      </c>
    </row>
    <row r="8898" spans="1:6">
      <c r="A8898" t="s">
        <v>8836</v>
      </c>
      <c r="B8898" t="str">
        <f t="shared" si="352"/>
        <v>0.00012%</v>
      </c>
      <c r="C8898" t="s">
        <v>10</v>
      </c>
      <c r="D8898" t="s">
        <v>10</v>
      </c>
      <c r="E8898" t="str">
        <f>"$ 918"</f>
        <v>$ 918</v>
      </c>
      <c r="F8898">
        <v>504</v>
      </c>
    </row>
    <row r="8899" spans="1:6">
      <c r="A8899" t="s">
        <v>8837</v>
      </c>
      <c r="B8899" t="str">
        <f t="shared" si="352"/>
        <v>0.00012%</v>
      </c>
      <c r="C8899" t="s">
        <v>10</v>
      </c>
      <c r="D8899" t="s">
        <v>10</v>
      </c>
      <c r="E8899" t="str">
        <f>"$ 907"</f>
        <v>$ 907</v>
      </c>
      <c r="F8899" s="1">
        <v>14707</v>
      </c>
    </row>
    <row r="8900" spans="1:6">
      <c r="A8900" t="s">
        <v>8838</v>
      </c>
      <c r="B8900" t="str">
        <f t="shared" si="352"/>
        <v>0.00012%</v>
      </c>
      <c r="C8900" t="s">
        <v>10</v>
      </c>
      <c r="D8900" t="s">
        <v>10</v>
      </c>
      <c r="E8900" t="str">
        <f>"$ 913"</f>
        <v>$ 913</v>
      </c>
      <c r="F8900" s="1">
        <v>1433</v>
      </c>
    </row>
    <row r="8901" spans="1:6">
      <c r="A8901" t="s">
        <v>8839</v>
      </c>
      <c r="B8901" t="str">
        <f t="shared" si="352"/>
        <v>0.00012%</v>
      </c>
      <c r="C8901" t="s">
        <v>10</v>
      </c>
      <c r="D8901" t="s">
        <v>10</v>
      </c>
      <c r="E8901" t="str">
        <f>"$ 962"</f>
        <v>$ 962</v>
      </c>
      <c r="F8901">
        <v>49</v>
      </c>
    </row>
    <row r="8902" spans="1:6">
      <c r="A8902" t="s">
        <v>8840</v>
      </c>
      <c r="B8902" t="str">
        <f t="shared" si="352"/>
        <v>0.00012%</v>
      </c>
      <c r="C8902" t="s">
        <v>10</v>
      </c>
      <c r="D8902" t="s">
        <v>10</v>
      </c>
      <c r="E8902" t="str">
        <f>"$ 942"</f>
        <v>$ 942</v>
      </c>
      <c r="F8902" s="1">
        <v>1518</v>
      </c>
    </row>
    <row r="8903" spans="1:6">
      <c r="A8903" t="s">
        <v>8841</v>
      </c>
      <c r="B8903" t="str">
        <f t="shared" si="352"/>
        <v>0.00012%</v>
      </c>
      <c r="C8903" t="s">
        <v>10</v>
      </c>
      <c r="D8903" t="s">
        <v>10</v>
      </c>
      <c r="E8903" t="str">
        <f>"$ 943"</f>
        <v>$ 943</v>
      </c>
      <c r="F8903">
        <v>56</v>
      </c>
    </row>
    <row r="8904" spans="1:6">
      <c r="A8904" t="s">
        <v>8842</v>
      </c>
      <c r="B8904" t="str">
        <f t="shared" si="352"/>
        <v>0.00012%</v>
      </c>
      <c r="C8904" t="s">
        <v>10</v>
      </c>
      <c r="D8904" t="s">
        <v>10</v>
      </c>
      <c r="E8904" t="str">
        <f>"$ 904"</f>
        <v>$ 904</v>
      </c>
      <c r="F8904">
        <v>944</v>
      </c>
    </row>
    <row r="8905" spans="1:6">
      <c r="A8905" t="s">
        <v>8843</v>
      </c>
      <c r="B8905" t="str">
        <f t="shared" si="352"/>
        <v>0.00012%</v>
      </c>
      <c r="C8905" t="s">
        <v>10</v>
      </c>
      <c r="D8905" t="s">
        <v>10</v>
      </c>
      <c r="E8905" t="str">
        <f>"$ 914"</f>
        <v>$ 914</v>
      </c>
      <c r="F8905">
        <v>40</v>
      </c>
    </row>
    <row r="8906" spans="1:6">
      <c r="A8906" t="s">
        <v>8844</v>
      </c>
      <c r="B8906" t="str">
        <f t="shared" si="352"/>
        <v>0.00012%</v>
      </c>
      <c r="C8906" t="s">
        <v>10</v>
      </c>
      <c r="D8906" t="s">
        <v>10</v>
      </c>
      <c r="E8906" t="str">
        <f>"$ 933"</f>
        <v>$ 933</v>
      </c>
      <c r="F8906">
        <v>593</v>
      </c>
    </row>
    <row r="8907" spans="1:6">
      <c r="A8907" t="s">
        <v>8845</v>
      </c>
      <c r="B8907" t="str">
        <f t="shared" si="352"/>
        <v>0.00012%</v>
      </c>
      <c r="C8907" t="s">
        <v>10</v>
      </c>
      <c r="D8907" t="s">
        <v>10</v>
      </c>
      <c r="E8907" t="str">
        <f>"$ 937"</f>
        <v>$ 937</v>
      </c>
      <c r="F8907">
        <v>462</v>
      </c>
    </row>
    <row r="8908" spans="1:6">
      <c r="A8908" t="s">
        <v>8846</v>
      </c>
      <c r="B8908" t="str">
        <f t="shared" si="352"/>
        <v>0.00012%</v>
      </c>
      <c r="C8908" t="s">
        <v>10</v>
      </c>
      <c r="D8908" t="s">
        <v>10</v>
      </c>
      <c r="E8908" t="str">
        <f>"$ 903"</f>
        <v>$ 903</v>
      </c>
      <c r="F8908">
        <v>926</v>
      </c>
    </row>
    <row r="8909" spans="1:6">
      <c r="A8909" t="s">
        <v>8847</v>
      </c>
      <c r="B8909" t="str">
        <f t="shared" si="352"/>
        <v>0.00012%</v>
      </c>
      <c r="C8909" t="s">
        <v>10</v>
      </c>
      <c r="D8909" t="s">
        <v>10</v>
      </c>
      <c r="E8909" t="str">
        <f>"$ 889"</f>
        <v>$ 889</v>
      </c>
      <c r="F8909">
        <v>315</v>
      </c>
    </row>
    <row r="8910" spans="1:6">
      <c r="A8910" t="s">
        <v>8848</v>
      </c>
      <c r="B8910" t="str">
        <f t="shared" si="352"/>
        <v>0.00012%</v>
      </c>
      <c r="C8910" t="s">
        <v>10</v>
      </c>
      <c r="D8910" t="s">
        <v>10</v>
      </c>
      <c r="E8910" t="str">
        <f>"$ 945"</f>
        <v>$ 945</v>
      </c>
      <c r="F8910">
        <v>400</v>
      </c>
    </row>
    <row r="8911" spans="1:6">
      <c r="A8911" t="s">
        <v>8849</v>
      </c>
      <c r="B8911" t="str">
        <f t="shared" si="352"/>
        <v>0.00012%</v>
      </c>
      <c r="C8911" t="s">
        <v>10</v>
      </c>
      <c r="D8911" t="s">
        <v>10</v>
      </c>
      <c r="E8911" t="str">
        <f>"$ 957"</f>
        <v>$ 957</v>
      </c>
      <c r="F8911" s="1">
        <v>1068</v>
      </c>
    </row>
    <row r="8912" spans="1:6">
      <c r="A8912" t="s">
        <v>8850</v>
      </c>
      <c r="B8912" t="str">
        <f t="shared" si="352"/>
        <v>0.00012%</v>
      </c>
      <c r="C8912" t="s">
        <v>10</v>
      </c>
      <c r="D8912" t="s">
        <v>10</v>
      </c>
      <c r="E8912" t="str">
        <f>"$ 957"</f>
        <v>$ 957</v>
      </c>
      <c r="F8912">
        <v>433</v>
      </c>
    </row>
    <row r="8913" spans="1:6">
      <c r="A8913" t="s">
        <v>8851</v>
      </c>
      <c r="B8913" t="str">
        <f t="shared" si="352"/>
        <v>0.00012%</v>
      </c>
      <c r="C8913" t="s">
        <v>10</v>
      </c>
      <c r="D8913" t="s">
        <v>10</v>
      </c>
      <c r="E8913" t="str">
        <f>"$ 935"</f>
        <v>$ 935</v>
      </c>
      <c r="F8913">
        <v>190</v>
      </c>
    </row>
    <row r="8914" spans="1:6">
      <c r="A8914" t="s">
        <v>8852</v>
      </c>
      <c r="B8914" t="str">
        <f t="shared" si="352"/>
        <v>0.00012%</v>
      </c>
      <c r="C8914" t="s">
        <v>10</v>
      </c>
      <c r="D8914" t="s">
        <v>10</v>
      </c>
      <c r="E8914" t="str">
        <f>"$ 946"</f>
        <v>$ 946</v>
      </c>
      <c r="F8914">
        <v>49</v>
      </c>
    </row>
    <row r="8915" spans="1:6">
      <c r="A8915" t="s">
        <v>7007</v>
      </c>
      <c r="B8915" t="str">
        <f t="shared" si="352"/>
        <v>0.00012%</v>
      </c>
      <c r="C8915" t="s">
        <v>10</v>
      </c>
      <c r="D8915" t="s">
        <v>10</v>
      </c>
      <c r="E8915" t="str">
        <f>"$ 941"</f>
        <v>$ 941</v>
      </c>
      <c r="F8915">
        <v>885</v>
      </c>
    </row>
    <row r="8916" spans="1:6">
      <c r="A8916" t="s">
        <v>8853</v>
      </c>
      <c r="B8916" t="str">
        <f t="shared" si="352"/>
        <v>0.00012%</v>
      </c>
      <c r="C8916" t="s">
        <v>10</v>
      </c>
      <c r="D8916" t="s">
        <v>10</v>
      </c>
      <c r="E8916" t="str">
        <f>"$ 902"</f>
        <v>$ 902</v>
      </c>
      <c r="F8916" s="1">
        <v>14199</v>
      </c>
    </row>
    <row r="8917" spans="1:6">
      <c r="A8917" t="s">
        <v>8854</v>
      </c>
      <c r="B8917" t="str">
        <f t="shared" si="352"/>
        <v>0.00012%</v>
      </c>
      <c r="C8917" t="s">
        <v>10</v>
      </c>
      <c r="D8917" t="s">
        <v>10</v>
      </c>
      <c r="E8917" t="str">
        <f>"$ 889"</f>
        <v>$ 889</v>
      </c>
      <c r="F8917">
        <v>33</v>
      </c>
    </row>
    <row r="8918" spans="1:6">
      <c r="A8918" t="s">
        <v>8003</v>
      </c>
      <c r="B8918" t="str">
        <f t="shared" si="352"/>
        <v>0.00012%</v>
      </c>
      <c r="C8918" t="s">
        <v>10</v>
      </c>
      <c r="D8918" t="s">
        <v>10</v>
      </c>
      <c r="E8918" t="str">
        <f>"$ 959"</f>
        <v>$ 959</v>
      </c>
      <c r="F8918">
        <v>198</v>
      </c>
    </row>
    <row r="8919" spans="1:6">
      <c r="A8919" t="s">
        <v>8855</v>
      </c>
      <c r="B8919" t="str">
        <f t="shared" si="352"/>
        <v>0.00012%</v>
      </c>
      <c r="C8919" t="s">
        <v>10</v>
      </c>
      <c r="D8919" t="s">
        <v>10</v>
      </c>
      <c r="E8919" t="str">
        <f>"$ 905"</f>
        <v>$ 905</v>
      </c>
      <c r="F8919">
        <v>301</v>
      </c>
    </row>
    <row r="8920" spans="1:6">
      <c r="A8920" t="s">
        <v>8856</v>
      </c>
      <c r="B8920" t="str">
        <f t="shared" si="352"/>
        <v>0.00012%</v>
      </c>
      <c r="C8920" t="s">
        <v>10</v>
      </c>
      <c r="D8920" t="s">
        <v>10</v>
      </c>
      <c r="E8920" t="str">
        <f>"$ 958"</f>
        <v>$ 958</v>
      </c>
      <c r="F8920">
        <v>190</v>
      </c>
    </row>
    <row r="8921" spans="1:6">
      <c r="A8921" t="s">
        <v>8857</v>
      </c>
      <c r="B8921" t="str">
        <f t="shared" si="352"/>
        <v>0.00012%</v>
      </c>
      <c r="C8921" t="s">
        <v>10</v>
      </c>
      <c r="D8921" t="s">
        <v>10</v>
      </c>
      <c r="E8921" t="str">
        <f>"$ 962"</f>
        <v>$ 962</v>
      </c>
      <c r="F8921">
        <v>424</v>
      </c>
    </row>
    <row r="8922" spans="1:6">
      <c r="A8922" t="s">
        <v>8858</v>
      </c>
      <c r="B8922" t="str">
        <f t="shared" si="352"/>
        <v>0.00012%</v>
      </c>
      <c r="C8922" t="s">
        <v>10</v>
      </c>
      <c r="D8922" t="s">
        <v>10</v>
      </c>
      <c r="E8922" t="str">
        <f>"$ 955"</f>
        <v>$ 955</v>
      </c>
      <c r="F8922">
        <v>899</v>
      </c>
    </row>
    <row r="8923" spans="1:6">
      <c r="A8923" t="s">
        <v>8859</v>
      </c>
      <c r="B8923" t="str">
        <f t="shared" ref="B8923:B8954" si="353">"0.00012%"</f>
        <v>0.00012%</v>
      </c>
      <c r="C8923" t="s">
        <v>10</v>
      </c>
      <c r="D8923" t="s">
        <v>10</v>
      </c>
      <c r="E8923" t="str">
        <f>"$ 918"</f>
        <v>$ 918</v>
      </c>
      <c r="F8923">
        <v>469</v>
      </c>
    </row>
    <row r="8924" spans="1:6">
      <c r="A8924" t="s">
        <v>8860</v>
      </c>
      <c r="B8924" t="str">
        <f t="shared" si="353"/>
        <v>0.00012%</v>
      </c>
      <c r="C8924" t="s">
        <v>10</v>
      </c>
      <c r="D8924" t="s">
        <v>10</v>
      </c>
      <c r="E8924" t="str">
        <f>"$ 905"</f>
        <v>$ 905</v>
      </c>
      <c r="F8924">
        <v>152</v>
      </c>
    </row>
    <row r="8925" spans="1:6">
      <c r="A8925" t="s">
        <v>8861</v>
      </c>
      <c r="B8925" t="str">
        <f t="shared" si="353"/>
        <v>0.00012%</v>
      </c>
      <c r="C8925" t="s">
        <v>10</v>
      </c>
      <c r="D8925" t="s">
        <v>10</v>
      </c>
      <c r="E8925" t="str">
        <f>"$ 903"</f>
        <v>$ 903</v>
      </c>
      <c r="F8925">
        <v>82</v>
      </c>
    </row>
    <row r="8926" spans="1:6">
      <c r="A8926" t="s">
        <v>8862</v>
      </c>
      <c r="B8926" t="str">
        <f t="shared" si="353"/>
        <v>0.00012%</v>
      </c>
      <c r="C8926" t="s">
        <v>10</v>
      </c>
      <c r="D8926" t="s">
        <v>10</v>
      </c>
      <c r="E8926" t="str">
        <f>"$ 911"</f>
        <v>$ 911</v>
      </c>
      <c r="F8926">
        <v>49</v>
      </c>
    </row>
    <row r="8927" spans="1:6">
      <c r="A8927" t="s">
        <v>8863</v>
      </c>
      <c r="B8927" t="str">
        <f t="shared" si="353"/>
        <v>0.00012%</v>
      </c>
      <c r="C8927" t="s">
        <v>10</v>
      </c>
      <c r="D8927" t="s">
        <v>10</v>
      </c>
      <c r="E8927" t="str">
        <f>"$ 930"</f>
        <v>$ 930</v>
      </c>
      <c r="F8927">
        <v>82</v>
      </c>
    </row>
    <row r="8928" spans="1:6">
      <c r="A8928" t="s">
        <v>8864</v>
      </c>
      <c r="B8928" t="str">
        <f t="shared" si="353"/>
        <v>0.00012%</v>
      </c>
      <c r="C8928" t="s">
        <v>10</v>
      </c>
      <c r="D8928" t="s">
        <v>10</v>
      </c>
      <c r="E8928" t="str">
        <f>"$ 946"</f>
        <v>$ 946</v>
      </c>
      <c r="F8928">
        <v>182</v>
      </c>
    </row>
    <row r="8929" spans="1:6">
      <c r="A8929" t="s">
        <v>8865</v>
      </c>
      <c r="B8929" t="str">
        <f t="shared" si="353"/>
        <v>0.00012%</v>
      </c>
      <c r="C8929" t="s">
        <v>10</v>
      </c>
      <c r="D8929" t="s">
        <v>10</v>
      </c>
      <c r="E8929" t="str">
        <f>"$ 941"</f>
        <v>$ 941</v>
      </c>
      <c r="F8929">
        <v>66</v>
      </c>
    </row>
    <row r="8930" spans="1:6">
      <c r="A8930" t="s">
        <v>7800</v>
      </c>
      <c r="B8930" t="str">
        <f t="shared" si="353"/>
        <v>0.00012%</v>
      </c>
      <c r="C8930" t="s">
        <v>10</v>
      </c>
      <c r="D8930" t="s">
        <v>10</v>
      </c>
      <c r="E8930" t="str">
        <f>"$ 930"</f>
        <v>$ 930</v>
      </c>
      <c r="F8930">
        <v>119</v>
      </c>
    </row>
    <row r="8931" spans="1:6">
      <c r="A8931" t="s">
        <v>8866</v>
      </c>
      <c r="B8931" t="str">
        <f t="shared" si="353"/>
        <v>0.00012%</v>
      </c>
      <c r="C8931" t="s">
        <v>10</v>
      </c>
      <c r="D8931" t="s">
        <v>10</v>
      </c>
      <c r="E8931" t="str">
        <f>"$ 906"</f>
        <v>$ 906</v>
      </c>
      <c r="F8931">
        <v>99</v>
      </c>
    </row>
    <row r="8932" spans="1:6">
      <c r="A8932" t="s">
        <v>8867</v>
      </c>
      <c r="B8932" t="str">
        <f t="shared" si="353"/>
        <v>0.00012%</v>
      </c>
      <c r="C8932" t="s">
        <v>10</v>
      </c>
      <c r="D8932" t="s">
        <v>10</v>
      </c>
      <c r="E8932" t="str">
        <f>"$ 894"</f>
        <v>$ 894</v>
      </c>
      <c r="F8932">
        <v>198</v>
      </c>
    </row>
    <row r="8933" spans="1:6">
      <c r="A8933" t="s">
        <v>8868</v>
      </c>
      <c r="B8933" t="str">
        <f t="shared" si="353"/>
        <v>0.00012%</v>
      </c>
      <c r="C8933" t="s">
        <v>10</v>
      </c>
      <c r="D8933" t="s">
        <v>10</v>
      </c>
      <c r="E8933" t="str">
        <f>"$ 896"</f>
        <v>$ 896</v>
      </c>
      <c r="F8933">
        <v>30</v>
      </c>
    </row>
    <row r="8934" spans="1:6">
      <c r="A8934" t="s">
        <v>8869</v>
      </c>
      <c r="B8934" t="str">
        <f t="shared" si="353"/>
        <v>0.00012%</v>
      </c>
      <c r="C8934" t="s">
        <v>10</v>
      </c>
      <c r="D8934" t="s">
        <v>10</v>
      </c>
      <c r="E8934" t="str">
        <f>"$ 899"</f>
        <v>$ 899</v>
      </c>
      <c r="F8934">
        <v>33</v>
      </c>
    </row>
    <row r="8935" spans="1:6">
      <c r="A8935" t="s">
        <v>8870</v>
      </c>
      <c r="B8935" t="str">
        <f t="shared" si="353"/>
        <v>0.00012%</v>
      </c>
      <c r="C8935" t="s">
        <v>10</v>
      </c>
      <c r="D8935" t="s">
        <v>10</v>
      </c>
      <c r="E8935" t="str">
        <f>"$ 900"</f>
        <v>$ 900</v>
      </c>
      <c r="F8935">
        <v>66</v>
      </c>
    </row>
    <row r="8936" spans="1:6">
      <c r="A8936" t="s">
        <v>8871</v>
      </c>
      <c r="B8936" t="str">
        <f t="shared" si="353"/>
        <v>0.00012%</v>
      </c>
      <c r="C8936" t="s">
        <v>10</v>
      </c>
      <c r="D8936" t="s">
        <v>10</v>
      </c>
      <c r="E8936" t="str">
        <f>"$ 926"</f>
        <v>$ 926</v>
      </c>
      <c r="F8936">
        <v>514</v>
      </c>
    </row>
    <row r="8937" spans="1:6">
      <c r="A8937" t="s">
        <v>8872</v>
      </c>
      <c r="B8937" t="str">
        <f t="shared" si="353"/>
        <v>0.00012%</v>
      </c>
      <c r="C8937" t="s">
        <v>10</v>
      </c>
      <c r="D8937" t="s">
        <v>10</v>
      </c>
      <c r="E8937" t="str">
        <f>"$ 961"</f>
        <v>$ 961</v>
      </c>
      <c r="F8937">
        <v>66</v>
      </c>
    </row>
    <row r="8938" spans="1:6">
      <c r="A8938" t="s">
        <v>8873</v>
      </c>
      <c r="B8938" t="str">
        <f t="shared" si="353"/>
        <v>0.00012%</v>
      </c>
      <c r="C8938" t="s">
        <v>10</v>
      </c>
      <c r="D8938" t="s">
        <v>10</v>
      </c>
      <c r="E8938" t="str">
        <f>"$ 913"</f>
        <v>$ 913</v>
      </c>
      <c r="F8938">
        <v>33</v>
      </c>
    </row>
    <row r="8939" spans="1:6">
      <c r="A8939" t="s">
        <v>8874</v>
      </c>
      <c r="B8939" t="str">
        <f t="shared" si="353"/>
        <v>0.00012%</v>
      </c>
      <c r="C8939" t="s">
        <v>10</v>
      </c>
      <c r="D8939" t="s">
        <v>10</v>
      </c>
      <c r="E8939" t="str">
        <f>"$ 924"</f>
        <v>$ 924</v>
      </c>
      <c r="F8939">
        <v>33</v>
      </c>
    </row>
    <row r="8940" spans="1:6">
      <c r="A8940" t="s">
        <v>8875</v>
      </c>
      <c r="B8940" t="str">
        <f t="shared" si="353"/>
        <v>0.00012%</v>
      </c>
      <c r="C8940" t="s">
        <v>10</v>
      </c>
      <c r="D8940" t="s">
        <v>10</v>
      </c>
      <c r="E8940" t="str">
        <f>"$ 948"</f>
        <v>$ 948</v>
      </c>
      <c r="F8940">
        <v>155</v>
      </c>
    </row>
    <row r="8941" spans="1:6">
      <c r="A8941" t="s">
        <v>8876</v>
      </c>
      <c r="B8941" t="str">
        <f t="shared" si="353"/>
        <v>0.00012%</v>
      </c>
      <c r="C8941" t="s">
        <v>10</v>
      </c>
      <c r="D8941" t="s">
        <v>10</v>
      </c>
      <c r="E8941" t="str">
        <f>"$ 961"</f>
        <v>$ 961</v>
      </c>
      <c r="F8941">
        <v>566</v>
      </c>
    </row>
    <row r="8942" spans="1:6">
      <c r="A8942" t="s">
        <v>8877</v>
      </c>
      <c r="B8942" t="str">
        <f t="shared" si="353"/>
        <v>0.00012%</v>
      </c>
      <c r="C8942" t="s">
        <v>10</v>
      </c>
      <c r="D8942" t="s">
        <v>10</v>
      </c>
      <c r="E8942" t="str">
        <f>"$ 964"</f>
        <v>$ 964</v>
      </c>
      <c r="F8942">
        <v>14</v>
      </c>
    </row>
    <row r="8943" spans="1:6">
      <c r="A8943" t="s">
        <v>8878</v>
      </c>
      <c r="B8943" t="str">
        <f t="shared" si="353"/>
        <v>0.00012%</v>
      </c>
      <c r="C8943" t="s">
        <v>10</v>
      </c>
      <c r="D8943" t="s">
        <v>10</v>
      </c>
      <c r="E8943" t="str">
        <f>"$ 947"</f>
        <v>$ 947</v>
      </c>
      <c r="F8943">
        <v>80</v>
      </c>
    </row>
    <row r="8944" spans="1:6">
      <c r="A8944" t="s">
        <v>8879</v>
      </c>
      <c r="B8944" t="str">
        <f t="shared" si="353"/>
        <v>0.00012%</v>
      </c>
      <c r="C8944" t="s">
        <v>10</v>
      </c>
      <c r="D8944" t="s">
        <v>10</v>
      </c>
      <c r="E8944" t="str">
        <f>"$ 924"</f>
        <v>$ 924</v>
      </c>
      <c r="F8944">
        <v>74</v>
      </c>
    </row>
    <row r="8945" spans="1:6">
      <c r="A8945" t="s">
        <v>8880</v>
      </c>
      <c r="B8945" t="str">
        <f t="shared" si="353"/>
        <v>0.00012%</v>
      </c>
      <c r="C8945" t="s">
        <v>10</v>
      </c>
      <c r="D8945" t="s">
        <v>10</v>
      </c>
      <c r="E8945" t="str">
        <f>"$ 912"</f>
        <v>$ 912</v>
      </c>
      <c r="F8945">
        <v>884</v>
      </c>
    </row>
    <row r="8946" spans="1:6">
      <c r="A8946" t="s">
        <v>8881</v>
      </c>
      <c r="B8946" t="str">
        <f t="shared" si="353"/>
        <v>0.00012%</v>
      </c>
      <c r="C8946" t="s">
        <v>10</v>
      </c>
      <c r="D8946" t="s">
        <v>10</v>
      </c>
      <c r="E8946" t="str">
        <f>"$ 907"</f>
        <v>$ 907</v>
      </c>
      <c r="F8946">
        <v>81</v>
      </c>
    </row>
    <row r="8947" spans="1:6">
      <c r="A8947" t="s">
        <v>8882</v>
      </c>
      <c r="B8947" t="str">
        <f t="shared" si="353"/>
        <v>0.00012%</v>
      </c>
      <c r="C8947" t="s">
        <v>10</v>
      </c>
      <c r="D8947" t="s">
        <v>10</v>
      </c>
      <c r="E8947" t="str">
        <f>"$ 921"</f>
        <v>$ 921</v>
      </c>
      <c r="F8947">
        <v>59</v>
      </c>
    </row>
    <row r="8948" spans="1:6">
      <c r="A8948" t="s">
        <v>8883</v>
      </c>
      <c r="B8948" t="str">
        <f t="shared" si="353"/>
        <v>0.00012%</v>
      </c>
      <c r="C8948" t="s">
        <v>10</v>
      </c>
      <c r="D8948" t="s">
        <v>10</v>
      </c>
      <c r="E8948" t="str">
        <f>"$ 890"</f>
        <v>$ 890</v>
      </c>
      <c r="F8948">
        <v>59</v>
      </c>
    </row>
    <row r="8949" spans="1:6">
      <c r="A8949" t="s">
        <v>8884</v>
      </c>
      <c r="B8949" t="str">
        <f t="shared" si="353"/>
        <v>0.00012%</v>
      </c>
      <c r="C8949" t="s">
        <v>10</v>
      </c>
      <c r="D8949" t="s">
        <v>10</v>
      </c>
      <c r="E8949" t="str">
        <f>"$ 923"</f>
        <v>$ 923</v>
      </c>
      <c r="F8949">
        <v>71</v>
      </c>
    </row>
    <row r="8950" spans="1:6">
      <c r="A8950" t="s">
        <v>8885</v>
      </c>
      <c r="B8950" t="str">
        <f t="shared" si="353"/>
        <v>0.00012%</v>
      </c>
      <c r="C8950" t="s">
        <v>10</v>
      </c>
      <c r="D8950" t="s">
        <v>10</v>
      </c>
      <c r="E8950" t="str">
        <f>"$ 889"</f>
        <v>$ 889</v>
      </c>
      <c r="F8950">
        <v>159</v>
      </c>
    </row>
    <row r="8951" spans="1:6">
      <c r="A8951" t="s">
        <v>8886</v>
      </c>
      <c r="B8951" t="str">
        <f t="shared" si="353"/>
        <v>0.00012%</v>
      </c>
      <c r="C8951" t="s">
        <v>10</v>
      </c>
      <c r="D8951" t="s">
        <v>10</v>
      </c>
      <c r="E8951" t="str">
        <f>"$ 915"</f>
        <v>$ 915</v>
      </c>
      <c r="F8951">
        <v>82</v>
      </c>
    </row>
    <row r="8952" spans="1:6">
      <c r="A8952" t="s">
        <v>8887</v>
      </c>
      <c r="B8952" t="str">
        <f t="shared" si="353"/>
        <v>0.00012%</v>
      </c>
      <c r="C8952" t="s">
        <v>10</v>
      </c>
      <c r="D8952" t="s">
        <v>10</v>
      </c>
      <c r="E8952" t="str">
        <f>"$ 948"</f>
        <v>$ 948</v>
      </c>
      <c r="F8952">
        <v>33</v>
      </c>
    </row>
    <row r="8953" spans="1:6">
      <c r="A8953" t="s">
        <v>8888</v>
      </c>
      <c r="B8953" t="str">
        <f t="shared" si="353"/>
        <v>0.00012%</v>
      </c>
      <c r="C8953" t="s">
        <v>10</v>
      </c>
      <c r="D8953" t="s">
        <v>10</v>
      </c>
      <c r="E8953" t="str">
        <f>"$ 963"</f>
        <v>$ 963</v>
      </c>
      <c r="F8953">
        <v>261</v>
      </c>
    </row>
    <row r="8954" spans="1:6">
      <c r="A8954" t="s">
        <v>8889</v>
      </c>
      <c r="B8954" t="str">
        <f t="shared" si="353"/>
        <v>0.00012%</v>
      </c>
      <c r="C8954" t="s">
        <v>10</v>
      </c>
      <c r="D8954" t="s">
        <v>10</v>
      </c>
      <c r="E8954" t="str">
        <f>"$ 960"</f>
        <v>$ 960</v>
      </c>
      <c r="F8954">
        <v>24</v>
      </c>
    </row>
    <row r="8955" spans="1:6">
      <c r="A8955" t="s">
        <v>8890</v>
      </c>
      <c r="B8955" t="str">
        <f t="shared" ref="B8955:B8986" si="354">"0.00012%"</f>
        <v>0.00012%</v>
      </c>
      <c r="C8955" t="s">
        <v>10</v>
      </c>
      <c r="D8955" t="s">
        <v>10</v>
      </c>
      <c r="E8955" t="str">
        <f>"$ 949"</f>
        <v>$ 949</v>
      </c>
      <c r="F8955">
        <v>95</v>
      </c>
    </row>
    <row r="8956" spans="1:6">
      <c r="A8956" t="s">
        <v>8891</v>
      </c>
      <c r="B8956" t="str">
        <f t="shared" si="354"/>
        <v>0.00012%</v>
      </c>
      <c r="C8956" t="s">
        <v>10</v>
      </c>
      <c r="D8956" t="s">
        <v>10</v>
      </c>
      <c r="E8956" t="str">
        <f>"$ 951"</f>
        <v>$ 951</v>
      </c>
      <c r="F8956" s="1">
        <v>6823</v>
      </c>
    </row>
    <row r="8957" spans="1:6">
      <c r="A8957" t="s">
        <v>8892</v>
      </c>
      <c r="B8957" t="str">
        <f t="shared" si="354"/>
        <v>0.00012%</v>
      </c>
      <c r="C8957" t="s">
        <v>10</v>
      </c>
      <c r="D8957" t="s">
        <v>10</v>
      </c>
      <c r="E8957" t="str">
        <f>"$ 899"</f>
        <v>$ 899</v>
      </c>
      <c r="F8957">
        <v>478</v>
      </c>
    </row>
    <row r="8958" spans="1:6">
      <c r="A8958" t="s">
        <v>8893</v>
      </c>
      <c r="B8958" t="str">
        <f t="shared" si="354"/>
        <v>0.00012%</v>
      </c>
      <c r="C8958" t="s">
        <v>10</v>
      </c>
      <c r="D8958" t="s">
        <v>10</v>
      </c>
      <c r="E8958" t="str">
        <f>"$ 900"</f>
        <v>$ 900</v>
      </c>
      <c r="F8958">
        <v>13</v>
      </c>
    </row>
    <row r="8959" spans="1:6">
      <c r="A8959" t="s">
        <v>3285</v>
      </c>
      <c r="B8959" t="str">
        <f t="shared" si="354"/>
        <v>0.00012%</v>
      </c>
      <c r="C8959" t="s">
        <v>10</v>
      </c>
      <c r="D8959" t="s">
        <v>10</v>
      </c>
      <c r="E8959" t="str">
        <f>"$ 945"</f>
        <v>$ 945</v>
      </c>
      <c r="F8959">
        <v>91</v>
      </c>
    </row>
    <row r="8960" spans="1:6">
      <c r="A8960" t="s">
        <v>8894</v>
      </c>
      <c r="B8960" t="str">
        <f t="shared" si="354"/>
        <v>0.00012%</v>
      </c>
      <c r="C8960" t="s">
        <v>10</v>
      </c>
      <c r="D8960" t="s">
        <v>10</v>
      </c>
      <c r="E8960" t="str">
        <f>"$ 925"</f>
        <v>$ 925</v>
      </c>
      <c r="F8960">
        <v>39</v>
      </c>
    </row>
    <row r="8961" spans="1:6">
      <c r="A8961" t="s">
        <v>8895</v>
      </c>
      <c r="B8961" t="str">
        <f t="shared" si="354"/>
        <v>0.00012%</v>
      </c>
      <c r="C8961" t="s">
        <v>10</v>
      </c>
      <c r="D8961" t="s">
        <v>10</v>
      </c>
      <c r="E8961" t="str">
        <f>"$ 912"</f>
        <v>$ 912</v>
      </c>
      <c r="F8961">
        <v>82</v>
      </c>
    </row>
    <row r="8962" spans="1:6">
      <c r="A8962" t="s">
        <v>8896</v>
      </c>
      <c r="B8962" t="str">
        <f t="shared" si="354"/>
        <v>0.00012%</v>
      </c>
      <c r="C8962" t="s">
        <v>10</v>
      </c>
      <c r="D8962" t="s">
        <v>10</v>
      </c>
      <c r="E8962" t="str">
        <f>"$ 965"</f>
        <v>$ 965</v>
      </c>
      <c r="F8962">
        <v>343</v>
      </c>
    </row>
    <row r="8963" spans="1:6">
      <c r="A8963" t="s">
        <v>8897</v>
      </c>
      <c r="B8963" t="str">
        <f t="shared" si="354"/>
        <v>0.00012%</v>
      </c>
      <c r="C8963" t="s">
        <v>10</v>
      </c>
      <c r="D8963" t="s">
        <v>10</v>
      </c>
      <c r="E8963" t="str">
        <f>"$ 888"</f>
        <v>$ 888</v>
      </c>
      <c r="F8963">
        <v>330</v>
      </c>
    </row>
    <row r="8964" spans="1:6">
      <c r="A8964" t="s">
        <v>8898</v>
      </c>
      <c r="B8964" t="str">
        <f t="shared" si="354"/>
        <v>0.00012%</v>
      </c>
      <c r="C8964" t="s">
        <v>10</v>
      </c>
      <c r="D8964" t="s">
        <v>10</v>
      </c>
      <c r="E8964" t="str">
        <f>"$ 935"</f>
        <v>$ 935</v>
      </c>
      <c r="F8964">
        <v>46</v>
      </c>
    </row>
    <row r="8965" spans="1:6">
      <c r="A8965" t="s">
        <v>8899</v>
      </c>
      <c r="B8965" t="str">
        <f t="shared" si="354"/>
        <v>0.00012%</v>
      </c>
      <c r="C8965" t="s">
        <v>10</v>
      </c>
      <c r="D8965" t="s">
        <v>10</v>
      </c>
      <c r="E8965" t="str">
        <f>"$ 937"</f>
        <v>$ 937</v>
      </c>
      <c r="F8965">
        <v>17</v>
      </c>
    </row>
    <row r="8966" spans="1:6">
      <c r="A8966" t="s">
        <v>8900</v>
      </c>
      <c r="B8966" t="str">
        <f t="shared" si="354"/>
        <v>0.00012%</v>
      </c>
      <c r="C8966" t="s">
        <v>10</v>
      </c>
      <c r="D8966" t="s">
        <v>10</v>
      </c>
      <c r="E8966" t="str">
        <f>"$ 960"</f>
        <v>$ 960</v>
      </c>
      <c r="F8966">
        <v>21</v>
      </c>
    </row>
    <row r="8967" spans="1:6">
      <c r="A8967" t="s">
        <v>8901</v>
      </c>
      <c r="B8967" t="str">
        <f t="shared" si="354"/>
        <v>0.00012%</v>
      </c>
      <c r="C8967" t="s">
        <v>10</v>
      </c>
      <c r="D8967" t="s">
        <v>10</v>
      </c>
      <c r="E8967" t="str">
        <f>"$ 914"</f>
        <v>$ 914</v>
      </c>
      <c r="F8967">
        <v>794</v>
      </c>
    </row>
    <row r="8968" spans="1:6">
      <c r="A8968" t="s">
        <v>8902</v>
      </c>
      <c r="B8968" t="str">
        <f t="shared" si="354"/>
        <v>0.00012%</v>
      </c>
      <c r="C8968" t="s">
        <v>10</v>
      </c>
      <c r="D8968" t="s">
        <v>10</v>
      </c>
      <c r="E8968" t="str">
        <f>"$ 947"</f>
        <v>$ 947</v>
      </c>
      <c r="F8968">
        <v>63</v>
      </c>
    </row>
    <row r="8969" spans="1:6">
      <c r="A8969" t="s">
        <v>8903</v>
      </c>
      <c r="B8969" t="str">
        <f t="shared" si="354"/>
        <v>0.00012%</v>
      </c>
      <c r="C8969" t="s">
        <v>10</v>
      </c>
      <c r="D8969" t="s">
        <v>10</v>
      </c>
      <c r="E8969" t="str">
        <f>"$ 901"</f>
        <v>$ 901</v>
      </c>
      <c r="F8969">
        <v>328</v>
      </c>
    </row>
    <row r="8970" spans="1:6">
      <c r="A8970" t="s">
        <v>8904</v>
      </c>
      <c r="B8970" t="str">
        <f t="shared" si="354"/>
        <v>0.00012%</v>
      </c>
      <c r="C8970" t="s">
        <v>10</v>
      </c>
      <c r="D8970" t="s">
        <v>10</v>
      </c>
      <c r="E8970" t="str">
        <f>"$ 900"</f>
        <v>$ 900</v>
      </c>
      <c r="F8970">
        <v>515</v>
      </c>
    </row>
    <row r="8971" spans="1:6">
      <c r="A8971" t="s">
        <v>8905</v>
      </c>
      <c r="B8971" t="str">
        <f t="shared" si="354"/>
        <v>0.00012%</v>
      </c>
      <c r="C8971" t="s">
        <v>10</v>
      </c>
      <c r="D8971" t="s">
        <v>10</v>
      </c>
      <c r="E8971" t="str">
        <f>"$ 903"</f>
        <v>$ 903</v>
      </c>
      <c r="F8971">
        <v>32</v>
      </c>
    </row>
    <row r="8972" spans="1:6">
      <c r="A8972" t="s">
        <v>8906</v>
      </c>
      <c r="B8972" t="str">
        <f t="shared" si="354"/>
        <v>0.00012%</v>
      </c>
      <c r="C8972" t="s">
        <v>10</v>
      </c>
      <c r="D8972" t="s">
        <v>10</v>
      </c>
      <c r="E8972" t="str">
        <f>"$ 956"</f>
        <v>$ 956</v>
      </c>
      <c r="F8972">
        <v>26</v>
      </c>
    </row>
    <row r="8973" spans="1:6">
      <c r="A8973" t="s">
        <v>8907</v>
      </c>
      <c r="B8973" t="str">
        <f t="shared" si="354"/>
        <v>0.00012%</v>
      </c>
      <c r="C8973" t="s">
        <v>10</v>
      </c>
      <c r="D8973" t="s">
        <v>10</v>
      </c>
      <c r="E8973" t="str">
        <f>"$ 913"</f>
        <v>$ 913</v>
      </c>
      <c r="F8973">
        <v>40</v>
      </c>
    </row>
    <row r="8974" spans="1:6">
      <c r="A8974" t="s">
        <v>8908</v>
      </c>
      <c r="B8974" t="str">
        <f t="shared" si="354"/>
        <v>0.00012%</v>
      </c>
      <c r="C8974" t="s">
        <v>10</v>
      </c>
      <c r="D8974" t="s">
        <v>10</v>
      </c>
      <c r="E8974" t="str">
        <f>"$ 929"</f>
        <v>$ 929</v>
      </c>
      <c r="F8974">
        <v>111</v>
      </c>
    </row>
    <row r="8975" spans="1:6">
      <c r="A8975" t="s">
        <v>8909</v>
      </c>
      <c r="B8975" t="str">
        <f t="shared" si="354"/>
        <v>0.00012%</v>
      </c>
      <c r="C8975" t="s">
        <v>10</v>
      </c>
      <c r="D8975" t="s">
        <v>10</v>
      </c>
      <c r="E8975" t="str">
        <f>"$ 899"</f>
        <v>$ 899</v>
      </c>
      <c r="F8975">
        <v>26</v>
      </c>
    </row>
    <row r="8976" spans="1:6">
      <c r="A8976" t="s">
        <v>8910</v>
      </c>
      <c r="B8976" t="str">
        <f t="shared" si="354"/>
        <v>0.00012%</v>
      </c>
      <c r="C8976" t="s">
        <v>10</v>
      </c>
      <c r="D8976" t="s">
        <v>10</v>
      </c>
      <c r="E8976" t="str">
        <f>"$ 893"</f>
        <v>$ 893</v>
      </c>
      <c r="F8976">
        <v>60</v>
      </c>
    </row>
    <row r="8977" spans="1:6">
      <c r="A8977" t="s">
        <v>8911</v>
      </c>
      <c r="B8977" t="str">
        <f t="shared" si="354"/>
        <v>0.00012%</v>
      </c>
      <c r="C8977" t="s">
        <v>10</v>
      </c>
      <c r="D8977" t="s">
        <v>10</v>
      </c>
      <c r="E8977" t="str">
        <f>"$ 897"</f>
        <v>$ 897</v>
      </c>
      <c r="F8977">
        <v>670</v>
      </c>
    </row>
    <row r="8978" spans="1:6">
      <c r="A8978" t="s">
        <v>8912</v>
      </c>
      <c r="B8978" t="str">
        <f t="shared" si="354"/>
        <v>0.00012%</v>
      </c>
      <c r="C8978" t="s">
        <v>10</v>
      </c>
      <c r="D8978" t="s">
        <v>10</v>
      </c>
      <c r="E8978" t="str">
        <f>"$ 925"</f>
        <v>$ 925</v>
      </c>
      <c r="F8978">
        <v>86</v>
      </c>
    </row>
    <row r="8979" spans="1:6">
      <c r="A8979" t="s">
        <v>8913</v>
      </c>
      <c r="B8979" t="str">
        <f t="shared" si="354"/>
        <v>0.00012%</v>
      </c>
      <c r="C8979" t="s">
        <v>10</v>
      </c>
      <c r="D8979" t="s">
        <v>10</v>
      </c>
      <c r="E8979" t="str">
        <f>"$ 932"</f>
        <v>$ 932</v>
      </c>
      <c r="F8979">
        <v>228</v>
      </c>
    </row>
    <row r="8980" spans="1:6">
      <c r="A8980" t="s">
        <v>8914</v>
      </c>
      <c r="B8980" t="str">
        <f t="shared" si="354"/>
        <v>0.00012%</v>
      </c>
      <c r="C8980" t="s">
        <v>10</v>
      </c>
      <c r="D8980" t="s">
        <v>10</v>
      </c>
      <c r="E8980" t="str">
        <f>"$ 951"</f>
        <v>$ 951</v>
      </c>
      <c r="F8980">
        <v>303</v>
      </c>
    </row>
    <row r="8981" spans="1:6">
      <c r="A8981" t="s">
        <v>8915</v>
      </c>
      <c r="B8981" t="str">
        <f t="shared" si="354"/>
        <v>0.00012%</v>
      </c>
      <c r="C8981" t="s">
        <v>10</v>
      </c>
      <c r="D8981" t="s">
        <v>10</v>
      </c>
      <c r="E8981" t="str">
        <f>"$ 940"</f>
        <v>$ 940</v>
      </c>
      <c r="F8981">
        <v>95</v>
      </c>
    </row>
    <row r="8982" spans="1:6">
      <c r="A8982" t="s">
        <v>8916</v>
      </c>
      <c r="B8982" t="str">
        <f t="shared" si="354"/>
        <v>0.00012%</v>
      </c>
      <c r="C8982" t="s">
        <v>10</v>
      </c>
      <c r="D8982" t="s">
        <v>10</v>
      </c>
      <c r="E8982" t="str">
        <f>"$ 944"</f>
        <v>$ 944</v>
      </c>
      <c r="F8982">
        <v>522</v>
      </c>
    </row>
    <row r="8983" spans="1:6">
      <c r="A8983" t="s">
        <v>8917</v>
      </c>
      <c r="B8983" t="str">
        <f t="shared" si="354"/>
        <v>0.00012%</v>
      </c>
      <c r="C8983" t="s">
        <v>10</v>
      </c>
      <c r="D8983" t="s">
        <v>10</v>
      </c>
      <c r="E8983" t="str">
        <f>"$ 912"</f>
        <v>$ 912</v>
      </c>
      <c r="F8983">
        <v>130</v>
      </c>
    </row>
    <row r="8984" spans="1:6">
      <c r="A8984" t="s">
        <v>8918</v>
      </c>
      <c r="B8984" t="str">
        <f t="shared" si="354"/>
        <v>0.00012%</v>
      </c>
      <c r="C8984" t="s">
        <v>10</v>
      </c>
      <c r="D8984" t="s">
        <v>10</v>
      </c>
      <c r="E8984" t="str">
        <f>"$ 912"</f>
        <v>$ 912</v>
      </c>
      <c r="F8984">
        <v>75</v>
      </c>
    </row>
    <row r="8985" spans="1:6">
      <c r="A8985" t="s">
        <v>8919</v>
      </c>
      <c r="B8985" t="str">
        <f t="shared" si="354"/>
        <v>0.00012%</v>
      </c>
      <c r="C8985" t="s">
        <v>10</v>
      </c>
      <c r="D8985" t="s">
        <v>10</v>
      </c>
      <c r="E8985" t="str">
        <f>"$ 928"</f>
        <v>$ 928</v>
      </c>
      <c r="F8985">
        <v>405</v>
      </c>
    </row>
    <row r="8986" spans="1:6">
      <c r="A8986" t="s">
        <v>8920</v>
      </c>
      <c r="B8986" t="str">
        <f t="shared" si="354"/>
        <v>0.00012%</v>
      </c>
      <c r="C8986" t="s">
        <v>10</v>
      </c>
      <c r="D8986" t="s">
        <v>10</v>
      </c>
      <c r="E8986" t="str">
        <f>"$ 896"</f>
        <v>$ 896</v>
      </c>
      <c r="F8986" s="1">
        <v>1096</v>
      </c>
    </row>
    <row r="8987" spans="1:6">
      <c r="A8987" t="s">
        <v>8921</v>
      </c>
      <c r="B8987" t="str">
        <f t="shared" ref="B8987:B9018" si="355">"0.00012%"</f>
        <v>0.00012%</v>
      </c>
      <c r="C8987" t="s">
        <v>10</v>
      </c>
      <c r="D8987" t="s">
        <v>10</v>
      </c>
      <c r="E8987" t="str">
        <f>"$ 903"</f>
        <v>$ 903</v>
      </c>
      <c r="F8987">
        <v>40</v>
      </c>
    </row>
    <row r="8988" spans="1:6">
      <c r="A8988" t="s">
        <v>8922</v>
      </c>
      <c r="B8988" t="str">
        <f t="shared" si="355"/>
        <v>0.00012%</v>
      </c>
      <c r="C8988" t="s">
        <v>10</v>
      </c>
      <c r="D8988" t="s">
        <v>10</v>
      </c>
      <c r="E8988" t="str">
        <f>"$ 930"</f>
        <v>$ 930</v>
      </c>
      <c r="F8988">
        <v>107</v>
      </c>
    </row>
    <row r="8989" spans="1:6">
      <c r="A8989" t="s">
        <v>8923</v>
      </c>
      <c r="B8989" t="str">
        <f t="shared" si="355"/>
        <v>0.00012%</v>
      </c>
      <c r="C8989" t="s">
        <v>10</v>
      </c>
      <c r="D8989" t="s">
        <v>10</v>
      </c>
      <c r="E8989" t="str">
        <f>"$ 932"</f>
        <v>$ 932</v>
      </c>
      <c r="F8989">
        <v>94</v>
      </c>
    </row>
    <row r="8990" spans="1:6">
      <c r="A8990" t="s">
        <v>8924</v>
      </c>
      <c r="B8990" t="str">
        <f t="shared" si="355"/>
        <v>0.00012%</v>
      </c>
      <c r="C8990" t="s">
        <v>10</v>
      </c>
      <c r="D8990" t="s">
        <v>10</v>
      </c>
      <c r="E8990" t="str">
        <f>"$ 932"</f>
        <v>$ 932</v>
      </c>
      <c r="F8990">
        <v>70</v>
      </c>
    </row>
    <row r="8991" spans="1:6">
      <c r="A8991" t="s">
        <v>7299</v>
      </c>
      <c r="B8991" t="str">
        <f t="shared" si="355"/>
        <v>0.00012%</v>
      </c>
      <c r="C8991" t="s">
        <v>10</v>
      </c>
      <c r="D8991" t="s">
        <v>10</v>
      </c>
      <c r="E8991" t="str">
        <f>"$ 955"</f>
        <v>$ 955</v>
      </c>
      <c r="F8991">
        <v>165</v>
      </c>
    </row>
    <row r="8992" spans="1:6">
      <c r="A8992" t="s">
        <v>8925</v>
      </c>
      <c r="B8992" t="str">
        <f t="shared" si="355"/>
        <v>0.00012%</v>
      </c>
      <c r="C8992" t="s">
        <v>10</v>
      </c>
      <c r="D8992" t="s">
        <v>10</v>
      </c>
      <c r="E8992" t="str">
        <f>"$ 957"</f>
        <v>$ 957</v>
      </c>
      <c r="F8992">
        <v>11</v>
      </c>
    </row>
    <row r="8993" spans="1:6">
      <c r="A8993" t="s">
        <v>8926</v>
      </c>
      <c r="B8993" t="str">
        <f t="shared" si="355"/>
        <v>0.00012%</v>
      </c>
      <c r="C8993" t="s">
        <v>10</v>
      </c>
      <c r="D8993" t="s">
        <v>10</v>
      </c>
      <c r="E8993" t="str">
        <f>"$ 958"</f>
        <v>$ 958</v>
      </c>
      <c r="F8993">
        <v>550</v>
      </c>
    </row>
    <row r="8994" spans="1:6">
      <c r="A8994" t="s">
        <v>8927</v>
      </c>
      <c r="B8994" t="str">
        <f t="shared" si="355"/>
        <v>0.00012%</v>
      </c>
      <c r="C8994" t="s">
        <v>10</v>
      </c>
      <c r="D8994" t="s">
        <v>10</v>
      </c>
      <c r="E8994" t="str">
        <f>"$ 959"</f>
        <v>$ 959</v>
      </c>
      <c r="F8994">
        <v>113</v>
      </c>
    </row>
    <row r="8995" spans="1:6">
      <c r="A8995" t="s">
        <v>8928</v>
      </c>
      <c r="B8995" t="str">
        <f t="shared" si="355"/>
        <v>0.00012%</v>
      </c>
      <c r="C8995" t="s">
        <v>10</v>
      </c>
      <c r="D8995" t="s">
        <v>10</v>
      </c>
      <c r="E8995" t="str">
        <f>"$ 956"</f>
        <v>$ 956</v>
      </c>
      <c r="F8995">
        <v>125</v>
      </c>
    </row>
    <row r="8996" spans="1:6">
      <c r="A8996" t="s">
        <v>8929</v>
      </c>
      <c r="B8996" t="str">
        <f t="shared" si="355"/>
        <v>0.00012%</v>
      </c>
      <c r="C8996" t="s">
        <v>10</v>
      </c>
      <c r="D8996" t="s">
        <v>10</v>
      </c>
      <c r="E8996" t="str">
        <f>"$ 933"</f>
        <v>$ 933</v>
      </c>
      <c r="F8996">
        <v>16</v>
      </c>
    </row>
    <row r="8997" spans="1:6">
      <c r="A8997" t="s">
        <v>8930</v>
      </c>
      <c r="B8997" t="str">
        <f t="shared" si="355"/>
        <v>0.00012%</v>
      </c>
      <c r="C8997" t="s">
        <v>10</v>
      </c>
      <c r="D8997" t="s">
        <v>10</v>
      </c>
      <c r="E8997" t="str">
        <f>"$ 934"</f>
        <v>$ 934</v>
      </c>
      <c r="F8997">
        <v>529</v>
      </c>
    </row>
    <row r="8998" spans="1:6">
      <c r="A8998" t="s">
        <v>8931</v>
      </c>
      <c r="B8998" t="str">
        <f t="shared" si="355"/>
        <v>0.00012%</v>
      </c>
      <c r="C8998" t="s">
        <v>10</v>
      </c>
      <c r="D8998" t="s">
        <v>10</v>
      </c>
      <c r="E8998" t="str">
        <f>"$ 960"</f>
        <v>$ 960</v>
      </c>
      <c r="F8998">
        <v>413</v>
      </c>
    </row>
    <row r="8999" spans="1:6">
      <c r="A8999" t="s">
        <v>8932</v>
      </c>
      <c r="B8999" t="str">
        <f t="shared" si="355"/>
        <v>0.00012%</v>
      </c>
      <c r="C8999" t="s">
        <v>10</v>
      </c>
      <c r="D8999" t="s">
        <v>10</v>
      </c>
      <c r="E8999" t="str">
        <f>"$ 935"</f>
        <v>$ 935</v>
      </c>
      <c r="F8999">
        <v>329</v>
      </c>
    </row>
    <row r="9000" spans="1:6">
      <c r="A9000" t="s">
        <v>8933</v>
      </c>
      <c r="B9000" t="str">
        <f t="shared" si="355"/>
        <v>0.00012%</v>
      </c>
      <c r="C9000" t="s">
        <v>10</v>
      </c>
      <c r="D9000" t="s">
        <v>10</v>
      </c>
      <c r="E9000" t="str">
        <f>"$ 948"</f>
        <v>$ 948</v>
      </c>
      <c r="F9000">
        <v>137</v>
      </c>
    </row>
    <row r="9001" spans="1:6">
      <c r="A9001" t="s">
        <v>8934</v>
      </c>
      <c r="B9001" t="str">
        <f t="shared" si="355"/>
        <v>0.00012%</v>
      </c>
      <c r="C9001" t="s">
        <v>10</v>
      </c>
      <c r="D9001" t="s">
        <v>10</v>
      </c>
      <c r="E9001" t="str">
        <f>"$ 944"</f>
        <v>$ 944</v>
      </c>
      <c r="F9001">
        <v>661</v>
      </c>
    </row>
    <row r="9002" spans="1:6">
      <c r="A9002" t="s">
        <v>8935</v>
      </c>
      <c r="B9002" t="str">
        <f t="shared" si="355"/>
        <v>0.00012%</v>
      </c>
      <c r="C9002" t="s">
        <v>10</v>
      </c>
      <c r="D9002" t="s">
        <v>10</v>
      </c>
      <c r="E9002" t="str">
        <f>"$ 905"</f>
        <v>$ 905</v>
      </c>
      <c r="F9002">
        <v>564</v>
      </c>
    </row>
    <row r="9003" spans="1:6">
      <c r="A9003" t="s">
        <v>8936</v>
      </c>
      <c r="B9003" t="str">
        <f t="shared" si="355"/>
        <v>0.00012%</v>
      </c>
      <c r="C9003" t="s">
        <v>10</v>
      </c>
      <c r="D9003" t="s">
        <v>10</v>
      </c>
      <c r="E9003" t="str">
        <f>"$ 904"</f>
        <v>$ 904</v>
      </c>
      <c r="F9003">
        <v>33</v>
      </c>
    </row>
    <row r="9004" spans="1:6">
      <c r="A9004" t="s">
        <v>8937</v>
      </c>
      <c r="B9004" t="str">
        <f t="shared" si="355"/>
        <v>0.00012%</v>
      </c>
      <c r="C9004" t="s">
        <v>10</v>
      </c>
      <c r="D9004" t="s">
        <v>10</v>
      </c>
      <c r="E9004" t="str">
        <f>"$ 929"</f>
        <v>$ 929</v>
      </c>
      <c r="F9004">
        <v>56</v>
      </c>
    </row>
    <row r="9005" spans="1:6">
      <c r="A9005" t="s">
        <v>8938</v>
      </c>
      <c r="B9005" t="str">
        <f t="shared" si="355"/>
        <v>0.00012%</v>
      </c>
      <c r="C9005" t="s">
        <v>10</v>
      </c>
      <c r="D9005" t="s">
        <v>10</v>
      </c>
      <c r="E9005" t="str">
        <f>"$ 911"</f>
        <v>$ 911</v>
      </c>
      <c r="F9005">
        <v>134</v>
      </c>
    </row>
    <row r="9006" spans="1:6">
      <c r="A9006" t="s">
        <v>8939</v>
      </c>
      <c r="B9006" t="str">
        <f t="shared" si="355"/>
        <v>0.00012%</v>
      </c>
      <c r="C9006" t="s">
        <v>10</v>
      </c>
      <c r="D9006" t="s">
        <v>10</v>
      </c>
      <c r="E9006" t="str">
        <f>"$ 947"</f>
        <v>$ 947</v>
      </c>
      <c r="F9006">
        <v>667</v>
      </c>
    </row>
    <row r="9007" spans="1:6">
      <c r="A9007" t="s">
        <v>8940</v>
      </c>
      <c r="B9007" t="str">
        <f t="shared" si="355"/>
        <v>0.00012%</v>
      </c>
      <c r="C9007" t="s">
        <v>10</v>
      </c>
      <c r="D9007" t="s">
        <v>10</v>
      </c>
      <c r="E9007" t="str">
        <f>"$ 935"</f>
        <v>$ 935</v>
      </c>
      <c r="F9007">
        <v>332</v>
      </c>
    </row>
    <row r="9008" spans="1:6">
      <c r="A9008" t="s">
        <v>8941</v>
      </c>
      <c r="B9008" t="str">
        <f t="shared" si="355"/>
        <v>0.00012%</v>
      </c>
      <c r="C9008" t="s">
        <v>10</v>
      </c>
      <c r="D9008" t="s">
        <v>10</v>
      </c>
      <c r="E9008" t="str">
        <f>"$ 934"</f>
        <v>$ 934</v>
      </c>
      <c r="F9008">
        <v>376</v>
      </c>
    </row>
    <row r="9009" spans="1:6">
      <c r="A9009" t="s">
        <v>8942</v>
      </c>
      <c r="B9009" t="str">
        <f t="shared" si="355"/>
        <v>0.00012%</v>
      </c>
      <c r="C9009" t="s">
        <v>10</v>
      </c>
      <c r="D9009" t="s">
        <v>10</v>
      </c>
      <c r="E9009" t="str">
        <f>"$ 956"</f>
        <v>$ 956</v>
      </c>
      <c r="F9009">
        <v>703</v>
      </c>
    </row>
    <row r="9010" spans="1:6">
      <c r="A9010" t="s">
        <v>8943</v>
      </c>
      <c r="B9010" t="str">
        <f t="shared" si="355"/>
        <v>0.00012%</v>
      </c>
      <c r="C9010" t="s">
        <v>10</v>
      </c>
      <c r="D9010" t="s">
        <v>10</v>
      </c>
      <c r="E9010" t="str">
        <f>"$ 955"</f>
        <v>$ 955</v>
      </c>
      <c r="F9010">
        <v>137</v>
      </c>
    </row>
    <row r="9011" spans="1:6">
      <c r="A9011" t="s">
        <v>8944</v>
      </c>
      <c r="B9011" t="str">
        <f t="shared" si="355"/>
        <v>0.00012%</v>
      </c>
      <c r="C9011" t="s">
        <v>10</v>
      </c>
      <c r="D9011" t="s">
        <v>10</v>
      </c>
      <c r="E9011" t="str">
        <f>"$ 935"</f>
        <v>$ 935</v>
      </c>
      <c r="F9011">
        <v>16</v>
      </c>
    </row>
    <row r="9012" spans="1:6">
      <c r="A9012" t="s">
        <v>8945</v>
      </c>
      <c r="B9012" t="str">
        <f t="shared" si="355"/>
        <v>0.00012%</v>
      </c>
      <c r="C9012" t="s">
        <v>10</v>
      </c>
      <c r="D9012" t="s">
        <v>10</v>
      </c>
      <c r="E9012" t="str">
        <f>"$ 927"</f>
        <v>$ 927</v>
      </c>
      <c r="F9012">
        <v>1</v>
      </c>
    </row>
    <row r="9013" spans="1:6">
      <c r="A9013" t="s">
        <v>8946</v>
      </c>
      <c r="B9013" t="str">
        <f t="shared" si="355"/>
        <v>0.00012%</v>
      </c>
      <c r="C9013" t="s">
        <v>10</v>
      </c>
      <c r="D9013" t="s">
        <v>10</v>
      </c>
      <c r="E9013" t="str">
        <f>"$ 921"</f>
        <v>$ 921</v>
      </c>
      <c r="F9013">
        <v>33</v>
      </c>
    </row>
    <row r="9014" spans="1:6">
      <c r="A9014" t="s">
        <v>8947</v>
      </c>
      <c r="B9014" t="str">
        <f t="shared" si="355"/>
        <v>0.00012%</v>
      </c>
      <c r="C9014" t="s">
        <v>10</v>
      </c>
      <c r="D9014" t="s">
        <v>10</v>
      </c>
      <c r="E9014" t="str">
        <f>"$ 913"</f>
        <v>$ 913</v>
      </c>
      <c r="F9014">
        <v>393</v>
      </c>
    </row>
    <row r="9015" spans="1:6">
      <c r="A9015" t="s">
        <v>8948</v>
      </c>
      <c r="B9015" t="str">
        <f t="shared" si="355"/>
        <v>0.00012%</v>
      </c>
      <c r="C9015" t="s">
        <v>10</v>
      </c>
      <c r="D9015" t="s">
        <v>10</v>
      </c>
      <c r="E9015" t="str">
        <f>"$ 926"</f>
        <v>$ 926</v>
      </c>
      <c r="F9015">
        <v>578</v>
      </c>
    </row>
    <row r="9016" spans="1:6">
      <c r="A9016" t="s">
        <v>8949</v>
      </c>
      <c r="B9016" t="str">
        <f t="shared" si="355"/>
        <v>0.00012%</v>
      </c>
      <c r="C9016" t="s">
        <v>10</v>
      </c>
      <c r="D9016" t="s">
        <v>10</v>
      </c>
      <c r="E9016" t="str">
        <f>"$ 902"</f>
        <v>$ 902</v>
      </c>
      <c r="F9016">
        <v>640</v>
      </c>
    </row>
    <row r="9017" spans="1:6">
      <c r="A9017" t="s">
        <v>8950</v>
      </c>
      <c r="B9017" t="str">
        <f t="shared" si="355"/>
        <v>0.00012%</v>
      </c>
      <c r="C9017" t="s">
        <v>10</v>
      </c>
      <c r="D9017" t="s">
        <v>10</v>
      </c>
      <c r="E9017" t="str">
        <f>"$ 897"</f>
        <v>$ 897</v>
      </c>
      <c r="F9017">
        <v>815</v>
      </c>
    </row>
    <row r="9018" spans="1:6">
      <c r="A9018" t="s">
        <v>8951</v>
      </c>
      <c r="B9018" t="str">
        <f t="shared" si="355"/>
        <v>0.00012%</v>
      </c>
      <c r="C9018" t="s">
        <v>10</v>
      </c>
      <c r="D9018" t="s">
        <v>10</v>
      </c>
      <c r="E9018" t="str">
        <f>"$ 896"</f>
        <v>$ 896</v>
      </c>
      <c r="F9018">
        <v>557</v>
      </c>
    </row>
    <row r="9019" spans="1:6">
      <c r="A9019" t="s">
        <v>8952</v>
      </c>
      <c r="B9019" t="str">
        <f t="shared" ref="B9019:B9052" si="356">"0.00012%"</f>
        <v>0.00012%</v>
      </c>
      <c r="C9019" t="s">
        <v>10</v>
      </c>
      <c r="D9019" t="s">
        <v>10</v>
      </c>
      <c r="E9019" t="str">
        <f>"$ 913"</f>
        <v>$ 913</v>
      </c>
      <c r="F9019" s="1">
        <v>2881</v>
      </c>
    </row>
    <row r="9020" spans="1:6">
      <c r="A9020" t="s">
        <v>8953</v>
      </c>
      <c r="B9020" t="str">
        <f t="shared" si="356"/>
        <v>0.00012%</v>
      </c>
      <c r="C9020" t="s">
        <v>10</v>
      </c>
      <c r="D9020" t="s">
        <v>10</v>
      </c>
      <c r="E9020" t="str">
        <f>"$ 964"</f>
        <v>$ 964</v>
      </c>
      <c r="F9020" s="1">
        <v>1170</v>
      </c>
    </row>
    <row r="9021" spans="1:6">
      <c r="A9021" t="s">
        <v>8954</v>
      </c>
      <c r="B9021" t="str">
        <f t="shared" si="356"/>
        <v>0.00012%</v>
      </c>
      <c r="C9021" t="s">
        <v>10</v>
      </c>
      <c r="D9021" t="s">
        <v>10</v>
      </c>
      <c r="E9021" t="str">
        <f>"$ 937"</f>
        <v>$ 937</v>
      </c>
      <c r="F9021">
        <v>775</v>
      </c>
    </row>
    <row r="9022" spans="1:6">
      <c r="A9022" t="s">
        <v>8955</v>
      </c>
      <c r="B9022" t="str">
        <f t="shared" si="356"/>
        <v>0.00012%</v>
      </c>
      <c r="C9022" t="s">
        <v>10</v>
      </c>
      <c r="D9022" t="s">
        <v>10</v>
      </c>
      <c r="E9022" t="str">
        <f>"$ 955"</f>
        <v>$ 955</v>
      </c>
      <c r="F9022">
        <v>86</v>
      </c>
    </row>
    <row r="9023" spans="1:6">
      <c r="A9023" t="s">
        <v>8956</v>
      </c>
      <c r="B9023" t="str">
        <f t="shared" si="356"/>
        <v>0.00012%</v>
      </c>
      <c r="C9023" t="s">
        <v>10</v>
      </c>
      <c r="D9023" t="s">
        <v>10</v>
      </c>
      <c r="E9023" t="str">
        <f>"$ 938"</f>
        <v>$ 938</v>
      </c>
      <c r="F9023">
        <v>67</v>
      </c>
    </row>
    <row r="9024" spans="1:6">
      <c r="A9024" t="s">
        <v>8957</v>
      </c>
      <c r="B9024" t="str">
        <f t="shared" si="356"/>
        <v>0.00012%</v>
      </c>
      <c r="C9024" t="s">
        <v>10</v>
      </c>
      <c r="D9024" t="s">
        <v>10</v>
      </c>
      <c r="E9024" t="str">
        <f>"$ 941"</f>
        <v>$ 941</v>
      </c>
      <c r="F9024">
        <v>72</v>
      </c>
    </row>
    <row r="9025" spans="1:6">
      <c r="A9025" t="s">
        <v>7663</v>
      </c>
      <c r="B9025" t="str">
        <f t="shared" si="356"/>
        <v>0.00012%</v>
      </c>
      <c r="C9025" t="s">
        <v>10</v>
      </c>
      <c r="D9025" t="s">
        <v>10</v>
      </c>
      <c r="E9025" t="str">
        <f>"$ 944"</f>
        <v>$ 944</v>
      </c>
      <c r="F9025">
        <v>741</v>
      </c>
    </row>
    <row r="9026" spans="1:6">
      <c r="A9026" t="s">
        <v>8958</v>
      </c>
      <c r="B9026" t="str">
        <f t="shared" si="356"/>
        <v>0.00012%</v>
      </c>
      <c r="C9026" t="s">
        <v>10</v>
      </c>
      <c r="D9026" t="s">
        <v>10</v>
      </c>
      <c r="E9026" t="str">
        <f>"$ 920"</f>
        <v>$ 920</v>
      </c>
      <c r="F9026" s="1">
        <v>1016</v>
      </c>
    </row>
    <row r="9027" spans="1:6">
      <c r="A9027" t="s">
        <v>8959</v>
      </c>
      <c r="B9027" t="str">
        <f t="shared" si="356"/>
        <v>0.00012%</v>
      </c>
      <c r="C9027" t="s">
        <v>10</v>
      </c>
      <c r="D9027" t="s">
        <v>10</v>
      </c>
      <c r="E9027" t="str">
        <f>"$ 936"</f>
        <v>$ 936</v>
      </c>
      <c r="F9027">
        <v>25</v>
      </c>
    </row>
    <row r="9028" spans="1:6">
      <c r="A9028" t="s">
        <v>8960</v>
      </c>
      <c r="B9028" t="str">
        <f t="shared" si="356"/>
        <v>0.00012%</v>
      </c>
      <c r="C9028" t="s">
        <v>10</v>
      </c>
      <c r="D9028" t="s">
        <v>10</v>
      </c>
      <c r="E9028" t="str">
        <f>"$ 931"</f>
        <v>$ 931</v>
      </c>
      <c r="F9028" s="1">
        <v>6714</v>
      </c>
    </row>
    <row r="9029" spans="1:6">
      <c r="A9029" t="s">
        <v>8961</v>
      </c>
      <c r="B9029" t="str">
        <f t="shared" si="356"/>
        <v>0.00012%</v>
      </c>
      <c r="C9029" t="s">
        <v>10</v>
      </c>
      <c r="D9029" t="s">
        <v>10</v>
      </c>
      <c r="E9029" t="str">
        <f>"$ 944"</f>
        <v>$ 944</v>
      </c>
      <c r="F9029">
        <v>416</v>
      </c>
    </row>
    <row r="9030" spans="1:6">
      <c r="A9030" t="s">
        <v>8962</v>
      </c>
      <c r="B9030" t="str">
        <f t="shared" si="356"/>
        <v>0.00012%</v>
      </c>
      <c r="C9030" t="s">
        <v>10</v>
      </c>
      <c r="D9030" t="s">
        <v>10</v>
      </c>
      <c r="E9030" t="str">
        <f>"$ 962"</f>
        <v>$ 962</v>
      </c>
      <c r="F9030" s="1">
        <v>1887</v>
      </c>
    </row>
    <row r="9031" spans="1:6">
      <c r="A9031" t="s">
        <v>8963</v>
      </c>
      <c r="B9031" t="str">
        <f t="shared" si="356"/>
        <v>0.00012%</v>
      </c>
      <c r="C9031" t="s">
        <v>10</v>
      </c>
      <c r="D9031" t="s">
        <v>10</v>
      </c>
      <c r="E9031" t="str">
        <f>"$ 903"</f>
        <v>$ 903</v>
      </c>
      <c r="F9031">
        <v>548</v>
      </c>
    </row>
    <row r="9032" spans="1:6">
      <c r="A9032" t="s">
        <v>8964</v>
      </c>
      <c r="B9032" t="str">
        <f t="shared" si="356"/>
        <v>0.00012%</v>
      </c>
      <c r="C9032" t="s">
        <v>10</v>
      </c>
      <c r="D9032" t="s">
        <v>10</v>
      </c>
      <c r="E9032" t="str">
        <f>"$ 913"</f>
        <v>$ 913</v>
      </c>
      <c r="F9032">
        <v>91</v>
      </c>
    </row>
    <row r="9033" spans="1:6">
      <c r="A9033" t="s">
        <v>8965</v>
      </c>
      <c r="B9033" t="str">
        <f t="shared" si="356"/>
        <v>0.00012%</v>
      </c>
      <c r="C9033" t="s">
        <v>10</v>
      </c>
      <c r="D9033" t="s">
        <v>10</v>
      </c>
      <c r="E9033" t="str">
        <f>"$ 921"</f>
        <v>$ 921</v>
      </c>
      <c r="F9033">
        <v>19</v>
      </c>
    </row>
    <row r="9034" spans="1:6">
      <c r="A9034" t="s">
        <v>8966</v>
      </c>
      <c r="B9034" t="str">
        <f t="shared" si="356"/>
        <v>0.00012%</v>
      </c>
      <c r="C9034" t="s">
        <v>10</v>
      </c>
      <c r="D9034" t="s">
        <v>10</v>
      </c>
      <c r="E9034" t="str">
        <f>"$ 928"</f>
        <v>$ 928</v>
      </c>
      <c r="F9034" s="1">
        <v>3302</v>
      </c>
    </row>
    <row r="9035" spans="1:6">
      <c r="A9035" t="s">
        <v>8967</v>
      </c>
      <c r="B9035" t="str">
        <f t="shared" si="356"/>
        <v>0.00012%</v>
      </c>
      <c r="C9035" t="s">
        <v>10</v>
      </c>
      <c r="D9035" t="s">
        <v>10</v>
      </c>
      <c r="E9035" t="str">
        <f>"$ 925"</f>
        <v>$ 925</v>
      </c>
      <c r="F9035">
        <v>190</v>
      </c>
    </row>
    <row r="9036" spans="1:6">
      <c r="A9036" t="s">
        <v>8968</v>
      </c>
      <c r="B9036" t="str">
        <f t="shared" si="356"/>
        <v>0.00012%</v>
      </c>
      <c r="C9036" t="s">
        <v>10</v>
      </c>
      <c r="D9036" t="s">
        <v>10</v>
      </c>
      <c r="E9036" t="str">
        <f>"$ 965"</f>
        <v>$ 965</v>
      </c>
      <c r="F9036" s="1">
        <v>1182</v>
      </c>
    </row>
    <row r="9037" spans="1:6">
      <c r="A9037" t="s">
        <v>8969</v>
      </c>
      <c r="B9037" t="str">
        <f t="shared" si="356"/>
        <v>0.00012%</v>
      </c>
      <c r="C9037" t="s">
        <v>10</v>
      </c>
      <c r="D9037" t="s">
        <v>10</v>
      </c>
      <c r="E9037" t="str">
        <f>"$ 929"</f>
        <v>$ 929</v>
      </c>
      <c r="F9037" s="1">
        <v>14846</v>
      </c>
    </row>
    <row r="9038" spans="1:6">
      <c r="A9038" t="s">
        <v>8970</v>
      </c>
      <c r="B9038" t="str">
        <f t="shared" si="356"/>
        <v>0.00012%</v>
      </c>
      <c r="C9038" t="s">
        <v>10</v>
      </c>
      <c r="D9038" t="s">
        <v>10</v>
      </c>
      <c r="E9038" t="str">
        <f>"$ 948"</f>
        <v>$ 948</v>
      </c>
      <c r="F9038">
        <v>890</v>
      </c>
    </row>
    <row r="9039" spans="1:6">
      <c r="A9039" t="s">
        <v>8971</v>
      </c>
      <c r="B9039" t="str">
        <f t="shared" si="356"/>
        <v>0.00012%</v>
      </c>
      <c r="C9039" t="s">
        <v>10</v>
      </c>
      <c r="D9039" t="s">
        <v>10</v>
      </c>
      <c r="E9039" t="str">
        <f>"$ 930"</f>
        <v>$ 930</v>
      </c>
      <c r="F9039">
        <v>416</v>
      </c>
    </row>
    <row r="9040" spans="1:6">
      <c r="A9040" t="s">
        <v>8972</v>
      </c>
      <c r="B9040" t="str">
        <f t="shared" si="356"/>
        <v>0.00012%</v>
      </c>
      <c r="C9040" t="s">
        <v>10</v>
      </c>
      <c r="D9040" t="s">
        <v>10</v>
      </c>
      <c r="E9040" t="str">
        <f>"$ 935"</f>
        <v>$ 935</v>
      </c>
      <c r="F9040">
        <v>10</v>
      </c>
    </row>
    <row r="9041" spans="1:6">
      <c r="A9041" t="s">
        <v>8973</v>
      </c>
      <c r="B9041" t="str">
        <f t="shared" si="356"/>
        <v>0.00012%</v>
      </c>
      <c r="C9041" t="s">
        <v>10</v>
      </c>
      <c r="D9041" t="s">
        <v>10</v>
      </c>
      <c r="E9041" t="str">
        <f>"$ 959"</f>
        <v>$ 959</v>
      </c>
      <c r="F9041">
        <v>76</v>
      </c>
    </row>
    <row r="9042" spans="1:6">
      <c r="A9042" t="s">
        <v>8974</v>
      </c>
      <c r="B9042" t="str">
        <f t="shared" si="356"/>
        <v>0.00012%</v>
      </c>
      <c r="C9042" t="s">
        <v>10</v>
      </c>
      <c r="D9042" t="s">
        <v>10</v>
      </c>
      <c r="E9042" t="str">
        <f>"$ 959"</f>
        <v>$ 959</v>
      </c>
      <c r="F9042">
        <v>33</v>
      </c>
    </row>
    <row r="9043" spans="1:6">
      <c r="A9043" t="s">
        <v>8975</v>
      </c>
      <c r="B9043" t="str">
        <f t="shared" si="356"/>
        <v>0.00012%</v>
      </c>
      <c r="C9043" t="s">
        <v>10</v>
      </c>
      <c r="D9043" t="s">
        <v>10</v>
      </c>
      <c r="E9043" t="str">
        <f>"$ 957"</f>
        <v>$ 957</v>
      </c>
      <c r="F9043">
        <v>145</v>
      </c>
    </row>
    <row r="9044" spans="1:6">
      <c r="A9044" t="s">
        <v>8976</v>
      </c>
      <c r="B9044" t="str">
        <f t="shared" si="356"/>
        <v>0.00012%</v>
      </c>
      <c r="C9044" t="s">
        <v>10</v>
      </c>
      <c r="D9044" t="s">
        <v>10</v>
      </c>
      <c r="E9044" t="str">
        <f>"$ 947"</f>
        <v>$ 947</v>
      </c>
      <c r="F9044">
        <v>381</v>
      </c>
    </row>
    <row r="9045" spans="1:6">
      <c r="A9045" t="s">
        <v>8977</v>
      </c>
      <c r="B9045" t="str">
        <f t="shared" si="356"/>
        <v>0.00012%</v>
      </c>
      <c r="C9045" t="s">
        <v>10</v>
      </c>
      <c r="D9045" t="s">
        <v>10</v>
      </c>
      <c r="E9045" t="str">
        <f>"$ 956"</f>
        <v>$ 956</v>
      </c>
      <c r="F9045">
        <v>119</v>
      </c>
    </row>
    <row r="9046" spans="1:6">
      <c r="A9046" t="s">
        <v>8978</v>
      </c>
      <c r="B9046" t="str">
        <f t="shared" si="356"/>
        <v>0.00012%</v>
      </c>
      <c r="C9046" t="s">
        <v>10</v>
      </c>
      <c r="D9046" t="s">
        <v>10</v>
      </c>
      <c r="E9046" t="str">
        <f>"$ 927"</f>
        <v>$ 927</v>
      </c>
      <c r="F9046" s="1">
        <v>2969</v>
      </c>
    </row>
    <row r="9047" spans="1:6">
      <c r="A9047" t="s">
        <v>8979</v>
      </c>
      <c r="B9047" t="str">
        <f t="shared" si="356"/>
        <v>0.00012%</v>
      </c>
      <c r="C9047" t="s">
        <v>10</v>
      </c>
      <c r="D9047" t="s">
        <v>10</v>
      </c>
      <c r="E9047" t="str">
        <f>"$ 920"</f>
        <v>$ 920</v>
      </c>
      <c r="F9047">
        <v>455</v>
      </c>
    </row>
    <row r="9048" spans="1:6">
      <c r="A9048" t="s">
        <v>8980</v>
      </c>
      <c r="B9048" t="str">
        <f t="shared" si="356"/>
        <v>0.00012%</v>
      </c>
      <c r="C9048" t="s">
        <v>10</v>
      </c>
      <c r="D9048" t="s">
        <v>10</v>
      </c>
      <c r="E9048" t="str">
        <f>"$ 957"</f>
        <v>$ 957</v>
      </c>
      <c r="F9048">
        <v>629</v>
      </c>
    </row>
    <row r="9049" spans="1:6">
      <c r="A9049" t="s">
        <v>8981</v>
      </c>
      <c r="B9049" t="str">
        <f t="shared" si="356"/>
        <v>0.00012%</v>
      </c>
      <c r="C9049" t="s">
        <v>10</v>
      </c>
      <c r="D9049" t="s">
        <v>10</v>
      </c>
      <c r="E9049" t="str">
        <f>"$ 911"</f>
        <v>$ 911</v>
      </c>
      <c r="F9049">
        <v>49</v>
      </c>
    </row>
    <row r="9050" spans="1:6">
      <c r="A9050" t="s">
        <v>8982</v>
      </c>
      <c r="B9050" t="str">
        <f t="shared" si="356"/>
        <v>0.00012%</v>
      </c>
      <c r="C9050" t="s">
        <v>10</v>
      </c>
      <c r="D9050" t="s">
        <v>10</v>
      </c>
      <c r="E9050" t="str">
        <f>"$ 917"</f>
        <v>$ 917</v>
      </c>
      <c r="F9050">
        <v>82</v>
      </c>
    </row>
    <row r="9051" spans="1:6">
      <c r="A9051" t="s">
        <v>8983</v>
      </c>
      <c r="B9051" t="str">
        <f t="shared" si="356"/>
        <v>0.00012%</v>
      </c>
      <c r="C9051" t="s">
        <v>10</v>
      </c>
      <c r="D9051" t="s">
        <v>10</v>
      </c>
      <c r="E9051" t="str">
        <f>"$ 911"</f>
        <v>$ 911</v>
      </c>
      <c r="F9051">
        <v>37</v>
      </c>
    </row>
    <row r="9052" spans="1:6">
      <c r="A9052" t="s">
        <v>8984</v>
      </c>
      <c r="B9052" t="str">
        <f t="shared" si="356"/>
        <v>0.00012%</v>
      </c>
      <c r="C9052" t="s">
        <v>10</v>
      </c>
      <c r="D9052" t="s">
        <v>10</v>
      </c>
      <c r="E9052" t="str">
        <f>"$ 946"</f>
        <v>$ 946</v>
      </c>
      <c r="F9052">
        <v>162</v>
      </c>
    </row>
    <row r="9053" spans="1:6">
      <c r="A9053" t="s">
        <v>8985</v>
      </c>
      <c r="B9053" t="str">
        <f t="shared" ref="B9053:B9084" si="357">"0.00011%"</f>
        <v>0.00011%</v>
      </c>
      <c r="C9053" t="s">
        <v>10</v>
      </c>
      <c r="D9053" t="s">
        <v>10</v>
      </c>
      <c r="E9053" t="str">
        <f>"$ 855"</f>
        <v>$ 855</v>
      </c>
      <c r="F9053" s="1">
        <v>4619</v>
      </c>
    </row>
    <row r="9054" spans="1:6">
      <c r="A9054" t="s">
        <v>8986</v>
      </c>
      <c r="B9054" t="str">
        <f t="shared" si="357"/>
        <v>0.00011%</v>
      </c>
      <c r="C9054" t="s">
        <v>10</v>
      </c>
      <c r="D9054" t="s">
        <v>10</v>
      </c>
      <c r="E9054" t="str">
        <f>"$ 879"</f>
        <v>$ 879</v>
      </c>
      <c r="F9054">
        <v>195</v>
      </c>
    </row>
    <row r="9055" spans="1:6">
      <c r="A9055" t="s">
        <v>8987</v>
      </c>
      <c r="B9055" t="str">
        <f t="shared" si="357"/>
        <v>0.00011%</v>
      </c>
      <c r="C9055" t="s">
        <v>10</v>
      </c>
      <c r="D9055" t="s">
        <v>10</v>
      </c>
      <c r="E9055" t="str">
        <f>"$ 815"</f>
        <v>$ 815</v>
      </c>
      <c r="F9055">
        <v>506</v>
      </c>
    </row>
    <row r="9056" spans="1:6">
      <c r="A9056" t="s">
        <v>8988</v>
      </c>
      <c r="B9056" t="str">
        <f t="shared" si="357"/>
        <v>0.00011%</v>
      </c>
      <c r="C9056" t="s">
        <v>10</v>
      </c>
      <c r="D9056" t="s">
        <v>10</v>
      </c>
      <c r="E9056" t="str">
        <f>"$ 850"</f>
        <v>$ 850</v>
      </c>
      <c r="F9056">
        <v>369</v>
      </c>
    </row>
    <row r="9057" spans="1:6">
      <c r="A9057" t="s">
        <v>8579</v>
      </c>
      <c r="B9057" t="str">
        <f t="shared" si="357"/>
        <v>0.00011%</v>
      </c>
      <c r="C9057" t="s">
        <v>10</v>
      </c>
      <c r="D9057" t="s">
        <v>10</v>
      </c>
      <c r="E9057" t="str">
        <f>"$ 870"</f>
        <v>$ 870</v>
      </c>
      <c r="F9057">
        <v>632</v>
      </c>
    </row>
    <row r="9058" spans="1:6">
      <c r="A9058" t="s">
        <v>8989</v>
      </c>
      <c r="B9058" t="str">
        <f t="shared" si="357"/>
        <v>0.00011%</v>
      </c>
      <c r="C9058" t="s">
        <v>10</v>
      </c>
      <c r="D9058" t="s">
        <v>10</v>
      </c>
      <c r="E9058" t="str">
        <f>"$ 883"</f>
        <v>$ 883</v>
      </c>
      <c r="F9058">
        <v>516</v>
      </c>
    </row>
    <row r="9059" spans="1:6">
      <c r="A9059" t="s">
        <v>8990</v>
      </c>
      <c r="B9059" t="str">
        <f t="shared" si="357"/>
        <v>0.00011%</v>
      </c>
      <c r="C9059" t="s">
        <v>10</v>
      </c>
      <c r="D9059" t="s">
        <v>10</v>
      </c>
      <c r="E9059" t="str">
        <f>"$ 842"</f>
        <v>$ 842</v>
      </c>
      <c r="F9059">
        <v>470</v>
      </c>
    </row>
    <row r="9060" spans="1:6">
      <c r="A9060" t="s">
        <v>8991</v>
      </c>
      <c r="B9060" t="str">
        <f t="shared" si="357"/>
        <v>0.00011%</v>
      </c>
      <c r="C9060" t="s">
        <v>10</v>
      </c>
      <c r="D9060" t="s">
        <v>10</v>
      </c>
      <c r="E9060" t="str">
        <f>"$ 845"</f>
        <v>$ 845</v>
      </c>
      <c r="F9060">
        <v>390</v>
      </c>
    </row>
    <row r="9061" spans="1:6">
      <c r="A9061" t="s">
        <v>8992</v>
      </c>
      <c r="B9061" t="str">
        <f t="shared" si="357"/>
        <v>0.00011%</v>
      </c>
      <c r="C9061" t="s">
        <v>10</v>
      </c>
      <c r="D9061" t="s">
        <v>10</v>
      </c>
      <c r="E9061" t="str">
        <f>"$ 822"</f>
        <v>$ 822</v>
      </c>
      <c r="F9061">
        <v>192</v>
      </c>
    </row>
    <row r="9062" spans="1:6">
      <c r="A9062" t="s">
        <v>8993</v>
      </c>
      <c r="B9062" t="str">
        <f t="shared" si="357"/>
        <v>0.00011%</v>
      </c>
      <c r="C9062" t="s">
        <v>10</v>
      </c>
      <c r="D9062" t="s">
        <v>10</v>
      </c>
      <c r="E9062" t="str">
        <f>"$ 877"</f>
        <v>$ 877</v>
      </c>
      <c r="F9062">
        <v>25</v>
      </c>
    </row>
    <row r="9063" spans="1:6">
      <c r="A9063" t="s">
        <v>8994</v>
      </c>
      <c r="B9063" t="str">
        <f t="shared" si="357"/>
        <v>0.00011%</v>
      </c>
      <c r="C9063" t="s">
        <v>10</v>
      </c>
      <c r="D9063" t="s">
        <v>10</v>
      </c>
      <c r="E9063" t="str">
        <f>"$ 872"</f>
        <v>$ 872</v>
      </c>
      <c r="F9063">
        <v>70</v>
      </c>
    </row>
    <row r="9064" spans="1:6">
      <c r="A9064" t="s">
        <v>6473</v>
      </c>
      <c r="B9064" t="str">
        <f t="shared" si="357"/>
        <v>0.00011%</v>
      </c>
      <c r="C9064" t="s">
        <v>10</v>
      </c>
      <c r="D9064" t="s">
        <v>10</v>
      </c>
      <c r="E9064" t="str">
        <f>"$ 856"</f>
        <v>$ 856</v>
      </c>
      <c r="F9064">
        <v>212</v>
      </c>
    </row>
    <row r="9065" spans="1:6">
      <c r="A9065" t="s">
        <v>8995</v>
      </c>
      <c r="B9065" t="str">
        <f t="shared" si="357"/>
        <v>0.00011%</v>
      </c>
      <c r="C9065" t="s">
        <v>10</v>
      </c>
      <c r="D9065" t="s">
        <v>10</v>
      </c>
      <c r="E9065" t="str">
        <f>"$ 859"</f>
        <v>$ 859</v>
      </c>
      <c r="F9065" s="1">
        <v>2274</v>
      </c>
    </row>
    <row r="9066" spans="1:6">
      <c r="A9066" t="s">
        <v>8996</v>
      </c>
      <c r="B9066" t="str">
        <f t="shared" si="357"/>
        <v>0.00011%</v>
      </c>
      <c r="C9066" t="s">
        <v>10</v>
      </c>
      <c r="D9066" t="s">
        <v>10</v>
      </c>
      <c r="E9066" t="str">
        <f>"$ 866"</f>
        <v>$ 866</v>
      </c>
      <c r="F9066" s="1">
        <v>1181</v>
      </c>
    </row>
    <row r="9067" spans="1:6">
      <c r="A9067" t="s">
        <v>8997</v>
      </c>
      <c r="B9067" t="str">
        <f t="shared" si="357"/>
        <v>0.00011%</v>
      </c>
      <c r="C9067" t="s">
        <v>10</v>
      </c>
      <c r="D9067" t="s">
        <v>10</v>
      </c>
      <c r="E9067" t="str">
        <f>"$ 840"</f>
        <v>$ 840</v>
      </c>
      <c r="F9067" s="1">
        <v>1175</v>
      </c>
    </row>
    <row r="9068" spans="1:6">
      <c r="A9068" t="s">
        <v>8998</v>
      </c>
      <c r="B9068" t="str">
        <f t="shared" si="357"/>
        <v>0.00011%</v>
      </c>
      <c r="C9068" t="s">
        <v>10</v>
      </c>
      <c r="D9068" t="s">
        <v>10</v>
      </c>
      <c r="E9068" t="str">
        <f>"$ 840"</f>
        <v>$ 840</v>
      </c>
      <c r="F9068">
        <v>49</v>
      </c>
    </row>
    <row r="9069" spans="1:6">
      <c r="A9069" t="s">
        <v>8999</v>
      </c>
      <c r="B9069" t="str">
        <f t="shared" si="357"/>
        <v>0.00011%</v>
      </c>
      <c r="C9069" t="s">
        <v>10</v>
      </c>
      <c r="D9069" t="s">
        <v>10</v>
      </c>
      <c r="E9069" t="str">
        <f>"$ 832"</f>
        <v>$ 832</v>
      </c>
      <c r="F9069">
        <v>396</v>
      </c>
    </row>
    <row r="9070" spans="1:6">
      <c r="A9070" t="s">
        <v>9000</v>
      </c>
      <c r="B9070" t="str">
        <f t="shared" si="357"/>
        <v>0.00011%</v>
      </c>
      <c r="C9070" t="s">
        <v>10</v>
      </c>
      <c r="D9070" t="s">
        <v>10</v>
      </c>
      <c r="E9070" t="str">
        <f>"$ 834"</f>
        <v>$ 834</v>
      </c>
      <c r="F9070">
        <v>806</v>
      </c>
    </row>
    <row r="9071" spans="1:6">
      <c r="A9071" t="s">
        <v>9001</v>
      </c>
      <c r="B9071" t="str">
        <f t="shared" si="357"/>
        <v>0.00011%</v>
      </c>
      <c r="C9071" t="s">
        <v>10</v>
      </c>
      <c r="D9071" t="s">
        <v>10</v>
      </c>
      <c r="E9071" t="str">
        <f>"$ 867"</f>
        <v>$ 867</v>
      </c>
      <c r="F9071">
        <v>49</v>
      </c>
    </row>
    <row r="9072" spans="1:6">
      <c r="A9072" t="s">
        <v>8838</v>
      </c>
      <c r="B9072" t="str">
        <f t="shared" si="357"/>
        <v>0.00011%</v>
      </c>
      <c r="C9072" t="s">
        <v>10</v>
      </c>
      <c r="D9072" t="s">
        <v>10</v>
      </c>
      <c r="E9072" t="str">
        <f>"$ 872"</f>
        <v>$ 872</v>
      </c>
      <c r="F9072" s="1">
        <v>1369</v>
      </c>
    </row>
    <row r="9073" spans="1:6">
      <c r="A9073" t="s">
        <v>9002</v>
      </c>
      <c r="B9073" t="str">
        <f t="shared" si="357"/>
        <v>0.00011%</v>
      </c>
      <c r="C9073" t="s">
        <v>10</v>
      </c>
      <c r="D9073" t="s">
        <v>10</v>
      </c>
      <c r="E9073" t="str">
        <f>"$ 876"</f>
        <v>$ 876</v>
      </c>
      <c r="F9073">
        <v>467</v>
      </c>
    </row>
    <row r="9074" spans="1:6">
      <c r="A9074" t="s">
        <v>9003</v>
      </c>
      <c r="B9074" t="str">
        <f t="shared" si="357"/>
        <v>0.00011%</v>
      </c>
      <c r="C9074" t="s">
        <v>10</v>
      </c>
      <c r="D9074" t="s">
        <v>10</v>
      </c>
      <c r="E9074" t="str">
        <f>"$ 876"</f>
        <v>$ 876</v>
      </c>
      <c r="F9074">
        <v>421</v>
      </c>
    </row>
    <row r="9075" spans="1:6">
      <c r="A9075" t="s">
        <v>9004</v>
      </c>
      <c r="B9075" t="str">
        <f t="shared" si="357"/>
        <v>0.00011%</v>
      </c>
      <c r="C9075" t="s">
        <v>10</v>
      </c>
      <c r="D9075" t="s">
        <v>10</v>
      </c>
      <c r="E9075" t="str">
        <f>"$ 841"</f>
        <v>$ 841</v>
      </c>
      <c r="F9075">
        <v>614</v>
      </c>
    </row>
    <row r="9076" spans="1:6">
      <c r="A9076" t="s">
        <v>9005</v>
      </c>
      <c r="B9076" t="str">
        <f t="shared" si="357"/>
        <v>0.00011%</v>
      </c>
      <c r="C9076" t="s">
        <v>10</v>
      </c>
      <c r="D9076" t="s">
        <v>10</v>
      </c>
      <c r="E9076" t="str">
        <f>"$ 852"</f>
        <v>$ 852</v>
      </c>
      <c r="F9076">
        <v>60</v>
      </c>
    </row>
    <row r="9077" spans="1:6">
      <c r="A9077" t="s">
        <v>9006</v>
      </c>
      <c r="B9077" t="str">
        <f t="shared" si="357"/>
        <v>0.00011%</v>
      </c>
      <c r="C9077" t="s">
        <v>10</v>
      </c>
      <c r="D9077" t="s">
        <v>10</v>
      </c>
      <c r="E9077" t="str">
        <f>"$ 851"</f>
        <v>$ 851</v>
      </c>
      <c r="F9077">
        <v>16</v>
      </c>
    </row>
    <row r="9078" spans="1:6">
      <c r="A9078" t="s">
        <v>9007</v>
      </c>
      <c r="B9078" t="str">
        <f t="shared" si="357"/>
        <v>0.00011%</v>
      </c>
      <c r="C9078" t="s">
        <v>10</v>
      </c>
      <c r="D9078" t="s">
        <v>10</v>
      </c>
      <c r="E9078" t="str">
        <f>"$ 839"</f>
        <v>$ 839</v>
      </c>
      <c r="F9078">
        <v>387</v>
      </c>
    </row>
    <row r="9079" spans="1:6">
      <c r="A9079" t="s">
        <v>9008</v>
      </c>
      <c r="B9079" t="str">
        <f t="shared" si="357"/>
        <v>0.00011%</v>
      </c>
      <c r="C9079" t="s">
        <v>10</v>
      </c>
      <c r="D9079" t="s">
        <v>10</v>
      </c>
      <c r="E9079" t="str">
        <f>"$ 849"</f>
        <v>$ 849</v>
      </c>
      <c r="F9079">
        <v>56</v>
      </c>
    </row>
    <row r="9080" spans="1:6">
      <c r="A9080" t="s">
        <v>8335</v>
      </c>
      <c r="B9080" t="str">
        <f t="shared" si="357"/>
        <v>0.00011%</v>
      </c>
      <c r="C9080" t="s">
        <v>10</v>
      </c>
      <c r="D9080" t="s">
        <v>10</v>
      </c>
      <c r="E9080" t="str">
        <f>"$ 873"</f>
        <v>$ 873</v>
      </c>
      <c r="F9080">
        <v>227</v>
      </c>
    </row>
    <row r="9081" spans="1:6">
      <c r="A9081" t="s">
        <v>9009</v>
      </c>
      <c r="B9081" t="str">
        <f t="shared" si="357"/>
        <v>0.00011%</v>
      </c>
      <c r="C9081" t="s">
        <v>10</v>
      </c>
      <c r="D9081" t="s">
        <v>10</v>
      </c>
      <c r="E9081" t="str">
        <f>"$ 870"</f>
        <v>$ 870</v>
      </c>
      <c r="F9081">
        <v>297</v>
      </c>
    </row>
    <row r="9082" spans="1:6">
      <c r="A9082" t="s">
        <v>9010</v>
      </c>
      <c r="B9082" t="str">
        <f t="shared" si="357"/>
        <v>0.00011%</v>
      </c>
      <c r="C9082" t="s">
        <v>10</v>
      </c>
      <c r="D9082" t="s">
        <v>10</v>
      </c>
      <c r="E9082" t="str">
        <f>"$ 815"</f>
        <v>$ 815</v>
      </c>
      <c r="F9082">
        <v>853</v>
      </c>
    </row>
    <row r="9083" spans="1:6">
      <c r="A9083" t="s">
        <v>9011</v>
      </c>
      <c r="B9083" t="str">
        <f t="shared" si="357"/>
        <v>0.00011%</v>
      </c>
      <c r="C9083" t="s">
        <v>10</v>
      </c>
      <c r="D9083" t="s">
        <v>10</v>
      </c>
      <c r="E9083" t="str">
        <f>"$ 831"</f>
        <v>$ 831</v>
      </c>
      <c r="F9083" s="1">
        <v>1239</v>
      </c>
    </row>
    <row r="9084" spans="1:6">
      <c r="A9084" t="s">
        <v>9012</v>
      </c>
      <c r="B9084" t="str">
        <f t="shared" si="357"/>
        <v>0.00011%</v>
      </c>
      <c r="C9084" t="s">
        <v>10</v>
      </c>
      <c r="D9084" t="s">
        <v>10</v>
      </c>
      <c r="E9084" t="str">
        <f>"$ 851"</f>
        <v>$ 851</v>
      </c>
      <c r="F9084">
        <v>46</v>
      </c>
    </row>
    <row r="9085" spans="1:6">
      <c r="A9085" t="s">
        <v>8444</v>
      </c>
      <c r="B9085" t="str">
        <f t="shared" ref="B9085:B9116" si="358">"0.00011%"</f>
        <v>0.00011%</v>
      </c>
      <c r="C9085" t="s">
        <v>10</v>
      </c>
      <c r="D9085" t="s">
        <v>10</v>
      </c>
      <c r="E9085" t="str">
        <f>"$ 857"</f>
        <v>$ 857</v>
      </c>
      <c r="F9085">
        <v>693</v>
      </c>
    </row>
    <row r="9086" spans="1:6">
      <c r="A9086" t="s">
        <v>9013</v>
      </c>
      <c r="B9086" t="str">
        <f t="shared" si="358"/>
        <v>0.00011%</v>
      </c>
      <c r="C9086" t="s">
        <v>10</v>
      </c>
      <c r="D9086" t="s">
        <v>10</v>
      </c>
      <c r="E9086" t="str">
        <f>"$ 862"</f>
        <v>$ 862</v>
      </c>
      <c r="F9086">
        <v>82</v>
      </c>
    </row>
    <row r="9087" spans="1:6">
      <c r="A9087" t="s">
        <v>9014</v>
      </c>
      <c r="B9087" t="str">
        <f t="shared" si="358"/>
        <v>0.00011%</v>
      </c>
      <c r="C9087" t="s">
        <v>10</v>
      </c>
      <c r="D9087" t="s">
        <v>10</v>
      </c>
      <c r="E9087" t="str">
        <f>"$ 875"</f>
        <v>$ 875</v>
      </c>
      <c r="F9087">
        <v>16</v>
      </c>
    </row>
    <row r="9088" spans="1:6">
      <c r="A9088" t="s">
        <v>9015</v>
      </c>
      <c r="B9088" t="str">
        <f t="shared" si="358"/>
        <v>0.00011%</v>
      </c>
      <c r="C9088" t="s">
        <v>10</v>
      </c>
      <c r="D9088" t="s">
        <v>10</v>
      </c>
      <c r="E9088" t="str">
        <f>"$ 863"</f>
        <v>$ 863</v>
      </c>
      <c r="F9088" s="1">
        <v>1093</v>
      </c>
    </row>
    <row r="9089" spans="1:6">
      <c r="A9089" t="s">
        <v>9016</v>
      </c>
      <c r="B9089" t="str">
        <f t="shared" si="358"/>
        <v>0.00011%</v>
      </c>
      <c r="C9089" t="s">
        <v>10</v>
      </c>
      <c r="D9089" t="s">
        <v>10</v>
      </c>
      <c r="E9089" t="str">
        <f>"$ 851"</f>
        <v>$ 851</v>
      </c>
      <c r="F9089">
        <v>407</v>
      </c>
    </row>
    <row r="9090" spans="1:6">
      <c r="A9090" t="s">
        <v>9017</v>
      </c>
      <c r="B9090" t="str">
        <f t="shared" si="358"/>
        <v>0.00011%</v>
      </c>
      <c r="C9090" t="s">
        <v>10</v>
      </c>
      <c r="D9090" t="s">
        <v>10</v>
      </c>
      <c r="E9090" t="str">
        <f>"$ 865"</f>
        <v>$ 865</v>
      </c>
      <c r="F9090">
        <v>102</v>
      </c>
    </row>
    <row r="9091" spans="1:6">
      <c r="A9091" t="s">
        <v>9018</v>
      </c>
      <c r="B9091" t="str">
        <f t="shared" si="358"/>
        <v>0.00011%</v>
      </c>
      <c r="C9091" t="s">
        <v>10</v>
      </c>
      <c r="D9091" t="s">
        <v>10</v>
      </c>
      <c r="E9091" t="str">
        <f>"$ 881"</f>
        <v>$ 881</v>
      </c>
      <c r="F9091">
        <v>139</v>
      </c>
    </row>
    <row r="9092" spans="1:6">
      <c r="A9092" t="s">
        <v>9019</v>
      </c>
      <c r="B9092" t="str">
        <f t="shared" si="358"/>
        <v>0.00011%</v>
      </c>
      <c r="C9092" t="s">
        <v>10</v>
      </c>
      <c r="D9092" t="s">
        <v>10</v>
      </c>
      <c r="E9092" t="str">
        <f>"$ 820"</f>
        <v>$ 820</v>
      </c>
      <c r="F9092" s="1">
        <v>1506</v>
      </c>
    </row>
    <row r="9093" spans="1:6">
      <c r="A9093" t="s">
        <v>9020</v>
      </c>
      <c r="B9093" t="str">
        <f t="shared" si="358"/>
        <v>0.00011%</v>
      </c>
      <c r="C9093" t="s">
        <v>10</v>
      </c>
      <c r="D9093" t="s">
        <v>10</v>
      </c>
      <c r="E9093" t="str">
        <f>"$ 820"</f>
        <v>$ 820</v>
      </c>
      <c r="F9093" s="1">
        <v>1929</v>
      </c>
    </row>
    <row r="9094" spans="1:6">
      <c r="A9094" t="s">
        <v>9021</v>
      </c>
      <c r="B9094" t="str">
        <f t="shared" si="358"/>
        <v>0.00011%</v>
      </c>
      <c r="C9094" t="s">
        <v>10</v>
      </c>
      <c r="D9094" t="s">
        <v>10</v>
      </c>
      <c r="E9094" t="str">
        <f>"$ 827"</f>
        <v>$ 827</v>
      </c>
      <c r="F9094" s="1">
        <v>10358</v>
      </c>
    </row>
    <row r="9095" spans="1:6">
      <c r="A9095" t="s">
        <v>7705</v>
      </c>
      <c r="B9095" t="str">
        <f t="shared" si="358"/>
        <v>0.00011%</v>
      </c>
      <c r="C9095" t="s">
        <v>10</v>
      </c>
      <c r="D9095" t="s">
        <v>10</v>
      </c>
      <c r="E9095" t="str">
        <f>"$ 836"</f>
        <v>$ 836</v>
      </c>
      <c r="F9095">
        <v>321</v>
      </c>
    </row>
    <row r="9096" spans="1:6">
      <c r="A9096" t="s">
        <v>9022</v>
      </c>
      <c r="B9096" t="str">
        <f t="shared" si="358"/>
        <v>0.00011%</v>
      </c>
      <c r="C9096" t="s">
        <v>10</v>
      </c>
      <c r="D9096" t="s">
        <v>10</v>
      </c>
      <c r="E9096" t="str">
        <f>"$ 832"</f>
        <v>$ 832</v>
      </c>
      <c r="F9096">
        <v>311</v>
      </c>
    </row>
    <row r="9097" spans="1:6">
      <c r="A9097" t="s">
        <v>9023</v>
      </c>
      <c r="B9097" t="str">
        <f t="shared" si="358"/>
        <v>0.00011%</v>
      </c>
      <c r="C9097" t="s">
        <v>10</v>
      </c>
      <c r="D9097" t="s">
        <v>10</v>
      </c>
      <c r="E9097" t="str">
        <f>"$ 837"</f>
        <v>$ 837</v>
      </c>
      <c r="F9097">
        <v>143</v>
      </c>
    </row>
    <row r="9098" spans="1:6">
      <c r="A9098" t="s">
        <v>9024</v>
      </c>
      <c r="B9098" t="str">
        <f t="shared" si="358"/>
        <v>0.00011%</v>
      </c>
      <c r="C9098" t="s">
        <v>10</v>
      </c>
      <c r="D9098" t="s">
        <v>10</v>
      </c>
      <c r="E9098" t="str">
        <f>"$ 847"</f>
        <v>$ 847</v>
      </c>
      <c r="F9098">
        <v>43</v>
      </c>
    </row>
    <row r="9099" spans="1:6">
      <c r="A9099" t="s">
        <v>9025</v>
      </c>
      <c r="B9099" t="str">
        <f t="shared" si="358"/>
        <v>0.00011%</v>
      </c>
      <c r="C9099" t="s">
        <v>10</v>
      </c>
      <c r="D9099" t="s">
        <v>10</v>
      </c>
      <c r="E9099" t="str">
        <f>"$ 838"</f>
        <v>$ 838</v>
      </c>
      <c r="F9099">
        <v>369</v>
      </c>
    </row>
    <row r="9100" spans="1:6">
      <c r="A9100" t="s">
        <v>9026</v>
      </c>
      <c r="B9100" t="str">
        <f t="shared" si="358"/>
        <v>0.00011%</v>
      </c>
      <c r="C9100" t="s">
        <v>10</v>
      </c>
      <c r="D9100" t="s">
        <v>10</v>
      </c>
      <c r="E9100" t="str">
        <f>"$ 827"</f>
        <v>$ 827</v>
      </c>
      <c r="F9100">
        <v>276</v>
      </c>
    </row>
    <row r="9101" spans="1:6">
      <c r="A9101" t="s">
        <v>9027</v>
      </c>
      <c r="B9101" t="str">
        <f t="shared" si="358"/>
        <v>0.00011%</v>
      </c>
      <c r="C9101" t="s">
        <v>10</v>
      </c>
      <c r="D9101" t="s">
        <v>10</v>
      </c>
      <c r="E9101" t="str">
        <f>"$ 825"</f>
        <v>$ 825</v>
      </c>
      <c r="F9101">
        <v>71</v>
      </c>
    </row>
    <row r="9102" spans="1:6">
      <c r="A9102" t="s">
        <v>9028</v>
      </c>
      <c r="B9102" t="str">
        <f t="shared" si="358"/>
        <v>0.00011%</v>
      </c>
      <c r="C9102" t="s">
        <v>10</v>
      </c>
      <c r="D9102" t="s">
        <v>10</v>
      </c>
      <c r="E9102" t="str">
        <f>"$ 846"</f>
        <v>$ 846</v>
      </c>
      <c r="F9102">
        <v>30</v>
      </c>
    </row>
    <row r="9103" spans="1:6">
      <c r="A9103" t="s">
        <v>9029</v>
      </c>
      <c r="B9103" t="str">
        <f t="shared" si="358"/>
        <v>0.00011%</v>
      </c>
      <c r="C9103" t="s">
        <v>10</v>
      </c>
      <c r="D9103" t="s">
        <v>10</v>
      </c>
      <c r="E9103" t="str">
        <f>"$ 865"</f>
        <v>$ 865</v>
      </c>
      <c r="F9103">
        <v>165</v>
      </c>
    </row>
    <row r="9104" spans="1:6">
      <c r="A9104" t="s">
        <v>7529</v>
      </c>
      <c r="B9104" t="str">
        <f t="shared" si="358"/>
        <v>0.00011%</v>
      </c>
      <c r="C9104" t="s">
        <v>10</v>
      </c>
      <c r="D9104" t="s">
        <v>10</v>
      </c>
      <c r="E9104" t="str">
        <f>"$ 858"</f>
        <v>$ 858</v>
      </c>
      <c r="F9104">
        <v>261</v>
      </c>
    </row>
    <row r="9105" spans="1:6">
      <c r="A9105" t="s">
        <v>9030</v>
      </c>
      <c r="B9105" t="str">
        <f t="shared" si="358"/>
        <v>0.00011%</v>
      </c>
      <c r="C9105" t="s">
        <v>10</v>
      </c>
      <c r="D9105" t="s">
        <v>10</v>
      </c>
      <c r="E9105" t="str">
        <f>"$ 824"</f>
        <v>$ 824</v>
      </c>
      <c r="F9105">
        <v>791</v>
      </c>
    </row>
    <row r="9106" spans="1:6">
      <c r="A9106" t="s">
        <v>9031</v>
      </c>
      <c r="B9106" t="str">
        <f t="shared" si="358"/>
        <v>0.00011%</v>
      </c>
      <c r="C9106" t="s">
        <v>10</v>
      </c>
      <c r="D9106" t="s">
        <v>10</v>
      </c>
      <c r="E9106" t="str">
        <f>"$ 814"</f>
        <v>$ 814</v>
      </c>
      <c r="F9106">
        <v>33</v>
      </c>
    </row>
    <row r="9107" spans="1:6">
      <c r="A9107" t="s">
        <v>9032</v>
      </c>
      <c r="B9107" t="str">
        <f t="shared" si="358"/>
        <v>0.00011%</v>
      </c>
      <c r="C9107" t="s">
        <v>10</v>
      </c>
      <c r="D9107" t="s">
        <v>10</v>
      </c>
      <c r="E9107" t="str">
        <f>"$ 816"</f>
        <v>$ 816</v>
      </c>
      <c r="F9107">
        <v>557</v>
      </c>
    </row>
    <row r="9108" spans="1:6">
      <c r="A9108" t="s">
        <v>9033</v>
      </c>
      <c r="B9108" t="str">
        <f t="shared" si="358"/>
        <v>0.00011%</v>
      </c>
      <c r="C9108" t="s">
        <v>10</v>
      </c>
      <c r="D9108" t="s">
        <v>10</v>
      </c>
      <c r="E9108" t="str">
        <f>"$ 861"</f>
        <v>$ 861</v>
      </c>
      <c r="F9108">
        <v>945</v>
      </c>
    </row>
    <row r="9109" spans="1:6">
      <c r="A9109" t="s">
        <v>9034</v>
      </c>
      <c r="B9109" t="str">
        <f t="shared" si="358"/>
        <v>0.00011%</v>
      </c>
      <c r="C9109" t="s">
        <v>10</v>
      </c>
      <c r="D9109" t="s">
        <v>10</v>
      </c>
      <c r="E9109" t="str">
        <f>"$ 825"</f>
        <v>$ 825</v>
      </c>
      <c r="F9109">
        <v>33</v>
      </c>
    </row>
    <row r="9110" spans="1:6">
      <c r="A9110" t="s">
        <v>9035</v>
      </c>
      <c r="B9110" t="str">
        <f t="shared" si="358"/>
        <v>0.00011%</v>
      </c>
      <c r="C9110" t="s">
        <v>10</v>
      </c>
      <c r="D9110" t="s">
        <v>10</v>
      </c>
      <c r="E9110" t="str">
        <f>"$ 844"</f>
        <v>$ 844</v>
      </c>
      <c r="F9110">
        <v>49</v>
      </c>
    </row>
    <row r="9111" spans="1:6">
      <c r="A9111" t="s">
        <v>9036</v>
      </c>
      <c r="B9111" t="str">
        <f t="shared" si="358"/>
        <v>0.00011%</v>
      </c>
      <c r="C9111" t="s">
        <v>10</v>
      </c>
      <c r="D9111" t="s">
        <v>10</v>
      </c>
      <c r="E9111" t="str">
        <f>"$ 843"</f>
        <v>$ 843</v>
      </c>
      <c r="F9111">
        <v>33</v>
      </c>
    </row>
    <row r="9112" spans="1:6">
      <c r="A9112" t="s">
        <v>9037</v>
      </c>
      <c r="B9112" t="str">
        <f t="shared" si="358"/>
        <v>0.00011%</v>
      </c>
      <c r="C9112" t="s">
        <v>10</v>
      </c>
      <c r="D9112" t="s">
        <v>10</v>
      </c>
      <c r="E9112" t="str">
        <f>"$ 859"</f>
        <v>$ 859</v>
      </c>
      <c r="F9112">
        <v>99</v>
      </c>
    </row>
    <row r="9113" spans="1:6">
      <c r="A9113" t="s">
        <v>9038</v>
      </c>
      <c r="B9113" t="str">
        <f t="shared" si="358"/>
        <v>0.00011%</v>
      </c>
      <c r="C9113" t="s">
        <v>10</v>
      </c>
      <c r="D9113" t="s">
        <v>10</v>
      </c>
      <c r="E9113" t="str">
        <f>"$ 868"</f>
        <v>$ 868</v>
      </c>
      <c r="F9113">
        <v>953</v>
      </c>
    </row>
    <row r="9114" spans="1:6">
      <c r="A9114" t="s">
        <v>9039</v>
      </c>
      <c r="B9114" t="str">
        <f t="shared" si="358"/>
        <v>0.00011%</v>
      </c>
      <c r="C9114" t="s">
        <v>10</v>
      </c>
      <c r="D9114" t="s">
        <v>10</v>
      </c>
      <c r="E9114" t="str">
        <f>"$ 817"</f>
        <v>$ 817</v>
      </c>
      <c r="F9114">
        <v>61</v>
      </c>
    </row>
    <row r="9115" spans="1:6">
      <c r="A9115" t="s">
        <v>9040</v>
      </c>
      <c r="B9115" t="str">
        <f t="shared" si="358"/>
        <v>0.00011%</v>
      </c>
      <c r="C9115" t="s">
        <v>10</v>
      </c>
      <c r="D9115" t="s">
        <v>10</v>
      </c>
      <c r="E9115" t="str">
        <f>"$ 825"</f>
        <v>$ 825</v>
      </c>
      <c r="F9115" s="1">
        <v>1867</v>
      </c>
    </row>
    <row r="9116" spans="1:6">
      <c r="A9116" t="s">
        <v>9041</v>
      </c>
      <c r="B9116" t="str">
        <f t="shared" si="358"/>
        <v>0.00011%</v>
      </c>
      <c r="C9116" t="s">
        <v>10</v>
      </c>
      <c r="D9116" t="s">
        <v>10</v>
      </c>
      <c r="E9116" t="str">
        <f>"$ 870"</f>
        <v>$ 870</v>
      </c>
      <c r="F9116">
        <v>17</v>
      </c>
    </row>
    <row r="9117" spans="1:6">
      <c r="A9117" t="s">
        <v>9042</v>
      </c>
      <c r="B9117" t="str">
        <f t="shared" ref="B9117:B9148" si="359">"0.00011%"</f>
        <v>0.00011%</v>
      </c>
      <c r="C9117" t="s">
        <v>10</v>
      </c>
      <c r="D9117" t="s">
        <v>10</v>
      </c>
      <c r="E9117" t="str">
        <f>"$ 883"</f>
        <v>$ 883</v>
      </c>
      <c r="F9117">
        <v>165</v>
      </c>
    </row>
    <row r="9118" spans="1:6">
      <c r="A9118" t="s">
        <v>9043</v>
      </c>
      <c r="B9118" t="str">
        <f t="shared" si="359"/>
        <v>0.00011%</v>
      </c>
      <c r="C9118" t="s">
        <v>10</v>
      </c>
      <c r="D9118" t="s">
        <v>10</v>
      </c>
      <c r="E9118" t="str">
        <f>"$ 883"</f>
        <v>$ 883</v>
      </c>
      <c r="F9118" s="1">
        <v>1726</v>
      </c>
    </row>
    <row r="9119" spans="1:6">
      <c r="A9119" t="s">
        <v>9044</v>
      </c>
      <c r="B9119" t="str">
        <f t="shared" si="359"/>
        <v>0.00011%</v>
      </c>
      <c r="C9119" t="s">
        <v>10</v>
      </c>
      <c r="D9119" t="s">
        <v>10</v>
      </c>
      <c r="E9119" t="str">
        <f>"$ 868"</f>
        <v>$ 868</v>
      </c>
      <c r="F9119">
        <v>623</v>
      </c>
    </row>
    <row r="9120" spans="1:6">
      <c r="A9120" t="s">
        <v>9045</v>
      </c>
      <c r="B9120" t="str">
        <f t="shared" si="359"/>
        <v>0.00011%</v>
      </c>
      <c r="C9120" t="s">
        <v>10</v>
      </c>
      <c r="D9120" t="s">
        <v>10</v>
      </c>
      <c r="E9120" t="str">
        <f>"$ 876"</f>
        <v>$ 876</v>
      </c>
      <c r="F9120">
        <v>74</v>
      </c>
    </row>
    <row r="9121" spans="1:6">
      <c r="A9121" t="s">
        <v>9046</v>
      </c>
      <c r="B9121" t="str">
        <f t="shared" si="359"/>
        <v>0.00011%</v>
      </c>
      <c r="C9121" t="s">
        <v>10</v>
      </c>
      <c r="D9121" t="s">
        <v>10</v>
      </c>
      <c r="E9121" t="str">
        <f>"$ 818"</f>
        <v>$ 818</v>
      </c>
      <c r="F9121">
        <v>378</v>
      </c>
    </row>
    <row r="9122" spans="1:6">
      <c r="A9122" t="s">
        <v>9047</v>
      </c>
      <c r="B9122" t="str">
        <f t="shared" si="359"/>
        <v>0.00011%</v>
      </c>
      <c r="C9122" t="s">
        <v>10</v>
      </c>
      <c r="D9122" t="s">
        <v>10</v>
      </c>
      <c r="E9122" t="str">
        <f>"$ 815"</f>
        <v>$ 815</v>
      </c>
      <c r="F9122">
        <v>430</v>
      </c>
    </row>
    <row r="9123" spans="1:6">
      <c r="A9123" t="s">
        <v>9048</v>
      </c>
      <c r="B9123" t="str">
        <f t="shared" si="359"/>
        <v>0.00011%</v>
      </c>
      <c r="C9123" t="s">
        <v>10</v>
      </c>
      <c r="D9123" t="s">
        <v>10</v>
      </c>
      <c r="E9123" t="str">
        <f>"$ 846"</f>
        <v>$ 846</v>
      </c>
      <c r="F9123">
        <v>66</v>
      </c>
    </row>
    <row r="9124" spans="1:6">
      <c r="A9124" t="s">
        <v>9049</v>
      </c>
      <c r="B9124" t="str">
        <f t="shared" si="359"/>
        <v>0.00011%</v>
      </c>
      <c r="C9124" t="s">
        <v>10</v>
      </c>
      <c r="D9124" t="s">
        <v>10</v>
      </c>
      <c r="E9124" t="str">
        <f>"$ 814"</f>
        <v>$ 814</v>
      </c>
      <c r="F9124" s="1">
        <v>14020</v>
      </c>
    </row>
    <row r="9125" spans="1:6">
      <c r="A9125" t="s">
        <v>9050</v>
      </c>
      <c r="B9125" t="str">
        <f t="shared" si="359"/>
        <v>0.00011%</v>
      </c>
      <c r="C9125" t="s">
        <v>10</v>
      </c>
      <c r="D9125" t="s">
        <v>10</v>
      </c>
      <c r="E9125" t="str">
        <f>"$ 856"</f>
        <v>$ 856</v>
      </c>
      <c r="F9125">
        <v>291</v>
      </c>
    </row>
    <row r="9126" spans="1:6">
      <c r="A9126" t="s">
        <v>9051</v>
      </c>
      <c r="B9126" t="str">
        <f t="shared" si="359"/>
        <v>0.00011%</v>
      </c>
      <c r="C9126" t="s">
        <v>10</v>
      </c>
      <c r="D9126" t="s">
        <v>10</v>
      </c>
      <c r="E9126" t="str">
        <f>"$ 875"</f>
        <v>$ 875</v>
      </c>
      <c r="F9126">
        <v>298</v>
      </c>
    </row>
    <row r="9127" spans="1:6">
      <c r="A9127" t="s">
        <v>9052</v>
      </c>
      <c r="B9127" t="str">
        <f t="shared" si="359"/>
        <v>0.00011%</v>
      </c>
      <c r="C9127" t="s">
        <v>10</v>
      </c>
      <c r="D9127" t="s">
        <v>10</v>
      </c>
      <c r="E9127" t="str">
        <f>"$ 825"</f>
        <v>$ 825</v>
      </c>
      <c r="F9127">
        <v>136</v>
      </c>
    </row>
    <row r="9128" spans="1:6">
      <c r="A9128" t="s">
        <v>9053</v>
      </c>
      <c r="B9128" t="str">
        <f t="shared" si="359"/>
        <v>0.00011%</v>
      </c>
      <c r="C9128" t="s">
        <v>10</v>
      </c>
      <c r="D9128" t="s">
        <v>10</v>
      </c>
      <c r="E9128" t="str">
        <f>"$ 872"</f>
        <v>$ 872</v>
      </c>
      <c r="F9128">
        <v>80</v>
      </c>
    </row>
    <row r="9129" spans="1:6">
      <c r="A9129" t="s">
        <v>9054</v>
      </c>
      <c r="B9129" t="str">
        <f t="shared" si="359"/>
        <v>0.00011%</v>
      </c>
      <c r="C9129" t="s">
        <v>10</v>
      </c>
      <c r="D9129" t="s">
        <v>10</v>
      </c>
      <c r="E9129" t="str">
        <f>"$ 820"</f>
        <v>$ 820</v>
      </c>
      <c r="F9129">
        <v>514</v>
      </c>
    </row>
    <row r="9130" spans="1:6">
      <c r="A9130" t="s">
        <v>9055</v>
      </c>
      <c r="B9130" t="str">
        <f t="shared" si="359"/>
        <v>0.00011%</v>
      </c>
      <c r="C9130" t="s">
        <v>10</v>
      </c>
      <c r="D9130" t="s">
        <v>10</v>
      </c>
      <c r="E9130" t="str">
        <f>"$ 812"</f>
        <v>$ 812</v>
      </c>
      <c r="F9130">
        <v>385</v>
      </c>
    </row>
    <row r="9131" spans="1:6">
      <c r="A9131" t="s">
        <v>7458</v>
      </c>
      <c r="B9131" t="str">
        <f t="shared" si="359"/>
        <v>0.00011%</v>
      </c>
      <c r="C9131" t="s">
        <v>10</v>
      </c>
      <c r="D9131" t="s">
        <v>10</v>
      </c>
      <c r="E9131" t="str">
        <f>"$ 851"</f>
        <v>$ 851</v>
      </c>
      <c r="F9131">
        <v>192</v>
      </c>
    </row>
    <row r="9132" spans="1:6">
      <c r="A9132" t="s">
        <v>9056</v>
      </c>
      <c r="B9132" t="str">
        <f t="shared" si="359"/>
        <v>0.00011%</v>
      </c>
      <c r="C9132" t="s">
        <v>10</v>
      </c>
      <c r="D9132" t="s">
        <v>10</v>
      </c>
      <c r="E9132" t="str">
        <f>"$ 863"</f>
        <v>$ 863</v>
      </c>
      <c r="F9132">
        <v>4</v>
      </c>
    </row>
    <row r="9133" spans="1:6">
      <c r="A9133" t="s">
        <v>9057</v>
      </c>
      <c r="B9133" t="str">
        <f t="shared" si="359"/>
        <v>0.00011%</v>
      </c>
      <c r="C9133" t="s">
        <v>10</v>
      </c>
      <c r="D9133" t="s">
        <v>10</v>
      </c>
      <c r="E9133" t="str">
        <f>"$ 824"</f>
        <v>$ 824</v>
      </c>
      <c r="F9133">
        <v>33</v>
      </c>
    </row>
    <row r="9134" spans="1:6">
      <c r="A9134" t="s">
        <v>9058</v>
      </c>
      <c r="B9134" t="str">
        <f t="shared" si="359"/>
        <v>0.00011%</v>
      </c>
      <c r="C9134" t="s">
        <v>10</v>
      </c>
      <c r="D9134" t="s">
        <v>10</v>
      </c>
      <c r="E9134" t="str">
        <f>"$ 845"</f>
        <v>$ 845</v>
      </c>
      <c r="F9134">
        <v>357</v>
      </c>
    </row>
    <row r="9135" spans="1:6">
      <c r="A9135" t="s">
        <v>9059</v>
      </c>
      <c r="B9135" t="str">
        <f t="shared" si="359"/>
        <v>0.00011%</v>
      </c>
      <c r="C9135" t="s">
        <v>10</v>
      </c>
      <c r="D9135" t="s">
        <v>10</v>
      </c>
      <c r="E9135" t="str">
        <f>"$ 880"</f>
        <v>$ 880</v>
      </c>
      <c r="F9135">
        <v>420</v>
      </c>
    </row>
    <row r="9136" spans="1:6">
      <c r="A9136" t="s">
        <v>9060</v>
      </c>
      <c r="B9136" t="str">
        <f t="shared" si="359"/>
        <v>0.00011%</v>
      </c>
      <c r="C9136" t="s">
        <v>10</v>
      </c>
      <c r="D9136" t="s">
        <v>10</v>
      </c>
      <c r="E9136" t="str">
        <f>"$ 818"</f>
        <v>$ 818</v>
      </c>
      <c r="F9136">
        <v>34</v>
      </c>
    </row>
    <row r="9137" spans="1:6">
      <c r="A9137" t="s">
        <v>9061</v>
      </c>
      <c r="B9137" t="str">
        <f t="shared" si="359"/>
        <v>0.00011%</v>
      </c>
      <c r="C9137" t="s">
        <v>10</v>
      </c>
      <c r="D9137" t="s">
        <v>10</v>
      </c>
      <c r="E9137" t="str">
        <f>"$ 841"</f>
        <v>$ 841</v>
      </c>
      <c r="F9137">
        <v>49</v>
      </c>
    </row>
    <row r="9138" spans="1:6">
      <c r="A9138" t="s">
        <v>9062</v>
      </c>
      <c r="B9138" t="str">
        <f t="shared" si="359"/>
        <v>0.00011%</v>
      </c>
      <c r="C9138" t="s">
        <v>10</v>
      </c>
      <c r="D9138" t="s">
        <v>10</v>
      </c>
      <c r="E9138" t="str">
        <f>"$ 827"</f>
        <v>$ 827</v>
      </c>
      <c r="F9138">
        <v>84</v>
      </c>
    </row>
    <row r="9139" spans="1:6">
      <c r="A9139" t="s">
        <v>9063</v>
      </c>
      <c r="B9139" t="str">
        <f t="shared" si="359"/>
        <v>0.00011%</v>
      </c>
      <c r="C9139" t="s">
        <v>10</v>
      </c>
      <c r="D9139" t="s">
        <v>10</v>
      </c>
      <c r="E9139" t="str">
        <f>"$ 832"</f>
        <v>$ 832</v>
      </c>
      <c r="F9139" s="1">
        <v>1096</v>
      </c>
    </row>
    <row r="9140" spans="1:6">
      <c r="A9140" t="s">
        <v>9064</v>
      </c>
      <c r="B9140" t="str">
        <f t="shared" si="359"/>
        <v>0.00011%</v>
      </c>
      <c r="C9140" t="s">
        <v>10</v>
      </c>
      <c r="D9140" t="s">
        <v>10</v>
      </c>
      <c r="E9140" t="str">
        <f>"$ 886"</f>
        <v>$ 886</v>
      </c>
      <c r="F9140">
        <v>222</v>
      </c>
    </row>
    <row r="9141" spans="1:6">
      <c r="A9141" t="s">
        <v>9065</v>
      </c>
      <c r="B9141" t="str">
        <f t="shared" si="359"/>
        <v>0.00011%</v>
      </c>
      <c r="C9141" t="s">
        <v>10</v>
      </c>
      <c r="D9141" t="s">
        <v>10</v>
      </c>
      <c r="E9141" t="str">
        <f>"$ 879"</f>
        <v>$ 879</v>
      </c>
      <c r="F9141">
        <v>332</v>
      </c>
    </row>
    <row r="9142" spans="1:6">
      <c r="A9142" t="s">
        <v>9066</v>
      </c>
      <c r="B9142" t="str">
        <f t="shared" si="359"/>
        <v>0.00011%</v>
      </c>
      <c r="C9142" t="s">
        <v>10</v>
      </c>
      <c r="D9142" t="s">
        <v>10</v>
      </c>
      <c r="E9142" t="str">
        <f>"$ 844"</f>
        <v>$ 844</v>
      </c>
      <c r="F9142">
        <v>713</v>
      </c>
    </row>
    <row r="9143" spans="1:6">
      <c r="A9143" t="s">
        <v>9067</v>
      </c>
      <c r="B9143" t="str">
        <f t="shared" si="359"/>
        <v>0.00011%</v>
      </c>
      <c r="C9143" t="s">
        <v>10</v>
      </c>
      <c r="D9143" t="s">
        <v>10</v>
      </c>
      <c r="E9143" t="str">
        <f>"$ 824"</f>
        <v>$ 824</v>
      </c>
      <c r="F9143" s="1">
        <v>10557</v>
      </c>
    </row>
    <row r="9144" spans="1:6">
      <c r="A9144" t="s">
        <v>9068</v>
      </c>
      <c r="B9144" t="str">
        <f t="shared" si="359"/>
        <v>0.00011%</v>
      </c>
      <c r="C9144" t="s">
        <v>10</v>
      </c>
      <c r="D9144" t="s">
        <v>10</v>
      </c>
      <c r="E9144" t="str">
        <f>"$ 816"</f>
        <v>$ 816</v>
      </c>
      <c r="F9144" s="1">
        <v>2578</v>
      </c>
    </row>
    <row r="9145" spans="1:6">
      <c r="A9145" t="s">
        <v>9069</v>
      </c>
      <c r="B9145" t="str">
        <f t="shared" si="359"/>
        <v>0.00011%</v>
      </c>
      <c r="C9145" t="s">
        <v>10</v>
      </c>
      <c r="D9145" t="s">
        <v>10</v>
      </c>
      <c r="E9145" t="str">
        <f>"$ 822"</f>
        <v>$ 822</v>
      </c>
      <c r="F9145">
        <v>551</v>
      </c>
    </row>
    <row r="9146" spans="1:6">
      <c r="A9146" t="s">
        <v>7730</v>
      </c>
      <c r="B9146" t="str">
        <f t="shared" si="359"/>
        <v>0.00011%</v>
      </c>
      <c r="C9146" t="s">
        <v>10</v>
      </c>
      <c r="D9146" t="s">
        <v>10</v>
      </c>
      <c r="E9146" t="str">
        <f>"$ 821"</f>
        <v>$ 821</v>
      </c>
      <c r="F9146">
        <v>455</v>
      </c>
    </row>
    <row r="9147" spans="1:6">
      <c r="A9147" t="s">
        <v>9070</v>
      </c>
      <c r="B9147" t="str">
        <f t="shared" si="359"/>
        <v>0.00011%</v>
      </c>
      <c r="C9147" t="s">
        <v>10</v>
      </c>
      <c r="D9147" t="s">
        <v>10</v>
      </c>
      <c r="E9147" t="str">
        <f>"$ 814"</f>
        <v>$ 814</v>
      </c>
      <c r="F9147">
        <v>398</v>
      </c>
    </row>
    <row r="9148" spans="1:6">
      <c r="A9148" t="s">
        <v>9071</v>
      </c>
      <c r="B9148" t="str">
        <f t="shared" si="359"/>
        <v>0.00011%</v>
      </c>
      <c r="C9148" t="s">
        <v>10</v>
      </c>
      <c r="D9148" t="s">
        <v>10</v>
      </c>
      <c r="E9148" t="str">
        <f>"$ 827"</f>
        <v>$ 827</v>
      </c>
      <c r="F9148">
        <v>220</v>
      </c>
    </row>
    <row r="9149" spans="1:6">
      <c r="A9149" t="s">
        <v>9072</v>
      </c>
      <c r="B9149" t="str">
        <f t="shared" ref="B9149:B9180" si="360">"0.00011%"</f>
        <v>0.00011%</v>
      </c>
      <c r="C9149" t="s">
        <v>10</v>
      </c>
      <c r="D9149" t="s">
        <v>10</v>
      </c>
      <c r="E9149" t="str">
        <f>"$ 886"</f>
        <v>$ 886</v>
      </c>
      <c r="F9149">
        <v>101</v>
      </c>
    </row>
    <row r="9150" spans="1:6">
      <c r="A9150" t="s">
        <v>9073</v>
      </c>
      <c r="B9150" t="str">
        <f t="shared" si="360"/>
        <v>0.00011%</v>
      </c>
      <c r="C9150" t="s">
        <v>10</v>
      </c>
      <c r="D9150" t="s">
        <v>10</v>
      </c>
      <c r="E9150" t="str">
        <f>"$ 848"</f>
        <v>$ 848</v>
      </c>
      <c r="F9150">
        <v>182</v>
      </c>
    </row>
    <row r="9151" spans="1:6">
      <c r="A9151" t="s">
        <v>9074</v>
      </c>
      <c r="B9151" t="str">
        <f t="shared" si="360"/>
        <v>0.00011%</v>
      </c>
      <c r="C9151" t="s">
        <v>10</v>
      </c>
      <c r="D9151" t="s">
        <v>10</v>
      </c>
      <c r="E9151" t="str">
        <f>"$ 868"</f>
        <v>$ 868</v>
      </c>
      <c r="F9151">
        <v>171</v>
      </c>
    </row>
    <row r="9152" spans="1:6">
      <c r="A9152" t="s">
        <v>9075</v>
      </c>
      <c r="B9152" t="str">
        <f t="shared" si="360"/>
        <v>0.00011%</v>
      </c>
      <c r="C9152" t="s">
        <v>10</v>
      </c>
      <c r="D9152" t="s">
        <v>10</v>
      </c>
      <c r="E9152" t="str">
        <f>"$ 864"</f>
        <v>$ 864</v>
      </c>
      <c r="F9152">
        <v>41</v>
      </c>
    </row>
    <row r="9153" spans="1:6">
      <c r="A9153" t="s">
        <v>9076</v>
      </c>
      <c r="B9153" t="str">
        <f t="shared" si="360"/>
        <v>0.00011%</v>
      </c>
      <c r="C9153" t="s">
        <v>10</v>
      </c>
      <c r="D9153" t="s">
        <v>10</v>
      </c>
      <c r="E9153" t="str">
        <f>"$ 855"</f>
        <v>$ 855</v>
      </c>
      <c r="F9153">
        <v>343</v>
      </c>
    </row>
    <row r="9154" spans="1:6">
      <c r="A9154" t="s">
        <v>9077</v>
      </c>
      <c r="B9154" t="str">
        <f t="shared" si="360"/>
        <v>0.00011%</v>
      </c>
      <c r="C9154" t="s">
        <v>10</v>
      </c>
      <c r="D9154" t="s">
        <v>10</v>
      </c>
      <c r="E9154" t="str">
        <f>"$ 864"</f>
        <v>$ 864</v>
      </c>
      <c r="F9154">
        <v>33</v>
      </c>
    </row>
    <row r="9155" spans="1:6">
      <c r="A9155" t="s">
        <v>9078</v>
      </c>
      <c r="B9155" t="str">
        <f t="shared" si="360"/>
        <v>0.00011%</v>
      </c>
      <c r="C9155" t="s">
        <v>10</v>
      </c>
      <c r="D9155" t="s">
        <v>10</v>
      </c>
      <c r="E9155" t="str">
        <f>"$ 831"</f>
        <v>$ 831</v>
      </c>
      <c r="F9155">
        <v>101</v>
      </c>
    </row>
    <row r="9156" spans="1:6">
      <c r="A9156" t="s">
        <v>9079</v>
      </c>
      <c r="B9156" t="str">
        <f t="shared" si="360"/>
        <v>0.00011%</v>
      </c>
      <c r="C9156" t="s">
        <v>10</v>
      </c>
      <c r="D9156" t="s">
        <v>10</v>
      </c>
      <c r="E9156" t="str">
        <f>"$ 831"</f>
        <v>$ 831</v>
      </c>
      <c r="F9156">
        <v>86</v>
      </c>
    </row>
    <row r="9157" spans="1:6">
      <c r="A9157" t="s">
        <v>9080</v>
      </c>
      <c r="B9157" t="str">
        <f t="shared" si="360"/>
        <v>0.00011%</v>
      </c>
      <c r="C9157" t="s">
        <v>10</v>
      </c>
      <c r="D9157" t="s">
        <v>10</v>
      </c>
      <c r="E9157" t="str">
        <f>"$ 831"</f>
        <v>$ 831</v>
      </c>
      <c r="F9157">
        <v>266</v>
      </c>
    </row>
    <row r="9158" spans="1:6">
      <c r="A9158" t="s">
        <v>9081</v>
      </c>
      <c r="B9158" t="str">
        <f t="shared" si="360"/>
        <v>0.00011%</v>
      </c>
      <c r="C9158" t="s">
        <v>10</v>
      </c>
      <c r="D9158" t="s">
        <v>10</v>
      </c>
      <c r="E9158" t="str">
        <f>"$ 833"</f>
        <v>$ 833</v>
      </c>
      <c r="F9158">
        <v>191</v>
      </c>
    </row>
    <row r="9159" spans="1:6">
      <c r="A9159" t="s">
        <v>9082</v>
      </c>
      <c r="B9159" t="str">
        <f t="shared" si="360"/>
        <v>0.00011%</v>
      </c>
      <c r="C9159" t="s">
        <v>10</v>
      </c>
      <c r="D9159" t="s">
        <v>10</v>
      </c>
      <c r="E9159" t="str">
        <f>"$ 833"</f>
        <v>$ 833</v>
      </c>
      <c r="F9159">
        <v>32</v>
      </c>
    </row>
    <row r="9160" spans="1:6">
      <c r="A9160" t="s">
        <v>9083</v>
      </c>
      <c r="B9160" t="str">
        <f t="shared" si="360"/>
        <v>0.00011%</v>
      </c>
      <c r="C9160" t="s">
        <v>10</v>
      </c>
      <c r="D9160" t="s">
        <v>10</v>
      </c>
      <c r="E9160" t="str">
        <f>"$ 842"</f>
        <v>$ 842</v>
      </c>
      <c r="F9160">
        <v>18</v>
      </c>
    </row>
    <row r="9161" spans="1:6">
      <c r="A9161" t="s">
        <v>9084</v>
      </c>
      <c r="B9161" t="str">
        <f t="shared" si="360"/>
        <v>0.00011%</v>
      </c>
      <c r="C9161" t="s">
        <v>10</v>
      </c>
      <c r="D9161" t="s">
        <v>10</v>
      </c>
      <c r="E9161" t="str">
        <f>"$ 840"</f>
        <v>$ 840</v>
      </c>
      <c r="F9161">
        <v>178</v>
      </c>
    </row>
    <row r="9162" spans="1:6">
      <c r="A9162" t="s">
        <v>9085</v>
      </c>
      <c r="B9162" t="str">
        <f t="shared" si="360"/>
        <v>0.00011%</v>
      </c>
      <c r="C9162" t="s">
        <v>10</v>
      </c>
      <c r="D9162" t="s">
        <v>10</v>
      </c>
      <c r="E9162" t="str">
        <f>"$ 865"</f>
        <v>$ 865</v>
      </c>
      <c r="F9162">
        <v>238</v>
      </c>
    </row>
    <row r="9163" spans="1:6">
      <c r="A9163" t="s">
        <v>9086</v>
      </c>
      <c r="B9163" t="str">
        <f t="shared" si="360"/>
        <v>0.00011%</v>
      </c>
      <c r="C9163" t="s">
        <v>10</v>
      </c>
      <c r="D9163" t="s">
        <v>10</v>
      </c>
      <c r="E9163" t="str">
        <f>"$ 886"</f>
        <v>$ 886</v>
      </c>
      <c r="F9163">
        <v>292</v>
      </c>
    </row>
    <row r="9164" spans="1:6">
      <c r="A9164" t="s">
        <v>9087</v>
      </c>
      <c r="B9164" t="str">
        <f t="shared" si="360"/>
        <v>0.00011%</v>
      </c>
      <c r="C9164" t="s">
        <v>10</v>
      </c>
      <c r="D9164" t="s">
        <v>10</v>
      </c>
      <c r="E9164" t="str">
        <f>"$ 880"</f>
        <v>$ 880</v>
      </c>
      <c r="F9164" s="1">
        <v>1301</v>
      </c>
    </row>
    <row r="9165" spans="1:6">
      <c r="A9165" t="s">
        <v>9088</v>
      </c>
      <c r="B9165" t="str">
        <f t="shared" si="360"/>
        <v>0.00011%</v>
      </c>
      <c r="C9165" t="s">
        <v>10</v>
      </c>
      <c r="D9165" t="s">
        <v>10</v>
      </c>
      <c r="E9165" t="str">
        <f>"$ 878"</f>
        <v>$ 878</v>
      </c>
      <c r="F9165">
        <v>929</v>
      </c>
    </row>
    <row r="9166" spans="1:6">
      <c r="A9166" t="s">
        <v>7220</v>
      </c>
      <c r="B9166" t="str">
        <f t="shared" si="360"/>
        <v>0.00011%</v>
      </c>
      <c r="C9166" t="s">
        <v>10</v>
      </c>
      <c r="D9166" t="s">
        <v>10</v>
      </c>
      <c r="E9166" t="str">
        <f>"$ 864"</f>
        <v>$ 864</v>
      </c>
      <c r="F9166">
        <v>95</v>
      </c>
    </row>
    <row r="9167" spans="1:6">
      <c r="A9167" t="s">
        <v>8506</v>
      </c>
      <c r="B9167" t="str">
        <f t="shared" si="360"/>
        <v>0.00011%</v>
      </c>
      <c r="C9167" t="s">
        <v>10</v>
      </c>
      <c r="D9167" t="s">
        <v>10</v>
      </c>
      <c r="E9167" t="str">
        <f>"$ 826"</f>
        <v>$ 826</v>
      </c>
      <c r="F9167">
        <v>211</v>
      </c>
    </row>
    <row r="9168" spans="1:6">
      <c r="A9168" t="s">
        <v>9089</v>
      </c>
      <c r="B9168" t="str">
        <f t="shared" si="360"/>
        <v>0.00011%</v>
      </c>
      <c r="C9168" t="s">
        <v>10</v>
      </c>
      <c r="D9168" t="s">
        <v>10</v>
      </c>
      <c r="E9168" t="str">
        <f>"$ 880"</f>
        <v>$ 880</v>
      </c>
      <c r="F9168">
        <v>152</v>
      </c>
    </row>
    <row r="9169" spans="1:6">
      <c r="A9169" t="s">
        <v>9090</v>
      </c>
      <c r="B9169" t="str">
        <f t="shared" si="360"/>
        <v>0.00011%</v>
      </c>
      <c r="C9169" t="s">
        <v>10</v>
      </c>
      <c r="D9169" t="s">
        <v>10</v>
      </c>
      <c r="E9169" t="str">
        <f>"$ 883"</f>
        <v>$ 883</v>
      </c>
      <c r="F9169">
        <v>7</v>
      </c>
    </row>
    <row r="9170" spans="1:6">
      <c r="A9170" t="s">
        <v>9091</v>
      </c>
      <c r="B9170" t="str">
        <f t="shared" si="360"/>
        <v>0.00011%</v>
      </c>
      <c r="C9170" t="s">
        <v>10</v>
      </c>
      <c r="D9170" t="s">
        <v>10</v>
      </c>
      <c r="E9170" t="str">
        <f>"$ 877"</f>
        <v>$ 877</v>
      </c>
      <c r="F9170">
        <v>33</v>
      </c>
    </row>
    <row r="9171" spans="1:6">
      <c r="A9171" t="s">
        <v>9092</v>
      </c>
      <c r="B9171" t="str">
        <f t="shared" si="360"/>
        <v>0.00011%</v>
      </c>
      <c r="C9171" t="s">
        <v>10</v>
      </c>
      <c r="D9171" t="s">
        <v>10</v>
      </c>
      <c r="E9171" t="str">
        <f>"$ 838"</f>
        <v>$ 838</v>
      </c>
      <c r="F9171">
        <v>66</v>
      </c>
    </row>
    <row r="9172" spans="1:6">
      <c r="A9172" t="s">
        <v>9093</v>
      </c>
      <c r="B9172" t="str">
        <f t="shared" si="360"/>
        <v>0.00011%</v>
      </c>
      <c r="C9172" t="s">
        <v>10</v>
      </c>
      <c r="D9172" t="s">
        <v>10</v>
      </c>
      <c r="E9172" t="str">
        <f>"$ 874"</f>
        <v>$ 874</v>
      </c>
      <c r="F9172">
        <v>33</v>
      </c>
    </row>
    <row r="9173" spans="1:6">
      <c r="A9173" t="s">
        <v>9094</v>
      </c>
      <c r="B9173" t="str">
        <f t="shared" si="360"/>
        <v>0.00011%</v>
      </c>
      <c r="C9173" t="s">
        <v>10</v>
      </c>
      <c r="D9173" t="s">
        <v>10</v>
      </c>
      <c r="E9173" t="str">
        <f>"$ 883"</f>
        <v>$ 883</v>
      </c>
      <c r="F9173">
        <v>66</v>
      </c>
    </row>
    <row r="9174" spans="1:6">
      <c r="A9174" t="s">
        <v>9095</v>
      </c>
      <c r="B9174" t="str">
        <f t="shared" si="360"/>
        <v>0.00011%</v>
      </c>
      <c r="C9174" t="s">
        <v>10</v>
      </c>
      <c r="D9174" t="s">
        <v>10</v>
      </c>
      <c r="E9174" t="str">
        <f>"$ 883"</f>
        <v>$ 883</v>
      </c>
      <c r="F9174">
        <v>118</v>
      </c>
    </row>
    <row r="9175" spans="1:6">
      <c r="A9175" t="s">
        <v>9096</v>
      </c>
      <c r="B9175" t="str">
        <f t="shared" si="360"/>
        <v>0.00011%</v>
      </c>
      <c r="C9175" t="s">
        <v>10</v>
      </c>
      <c r="D9175" t="s">
        <v>10</v>
      </c>
      <c r="E9175" t="str">
        <f>"$ 846"</f>
        <v>$ 846</v>
      </c>
      <c r="F9175">
        <v>66</v>
      </c>
    </row>
    <row r="9176" spans="1:6">
      <c r="A9176" t="s">
        <v>9097</v>
      </c>
      <c r="B9176" t="str">
        <f t="shared" si="360"/>
        <v>0.00011%</v>
      </c>
      <c r="C9176" t="s">
        <v>10</v>
      </c>
      <c r="D9176" t="s">
        <v>10</v>
      </c>
      <c r="E9176" t="str">
        <f>"$ 812"</f>
        <v>$ 812</v>
      </c>
      <c r="F9176">
        <v>366</v>
      </c>
    </row>
    <row r="9177" spans="1:6">
      <c r="A9177" t="s">
        <v>9098</v>
      </c>
      <c r="B9177" t="str">
        <f t="shared" si="360"/>
        <v>0.00011%</v>
      </c>
      <c r="C9177" t="s">
        <v>10</v>
      </c>
      <c r="D9177" t="s">
        <v>10</v>
      </c>
      <c r="E9177" t="str">
        <f>"$ 886"</f>
        <v>$ 886</v>
      </c>
      <c r="F9177" s="1">
        <v>1485</v>
      </c>
    </row>
    <row r="9178" spans="1:6">
      <c r="A9178" t="s">
        <v>9099</v>
      </c>
      <c r="B9178" t="str">
        <f t="shared" si="360"/>
        <v>0.00011%</v>
      </c>
      <c r="C9178" t="s">
        <v>10</v>
      </c>
      <c r="D9178" t="s">
        <v>10</v>
      </c>
      <c r="E9178" t="str">
        <f>"$ 812"</f>
        <v>$ 812</v>
      </c>
      <c r="F9178">
        <v>724</v>
      </c>
    </row>
    <row r="9179" spans="1:6">
      <c r="A9179" t="s">
        <v>9100</v>
      </c>
      <c r="B9179" t="str">
        <f t="shared" si="360"/>
        <v>0.00011%</v>
      </c>
      <c r="C9179" t="s">
        <v>10</v>
      </c>
      <c r="D9179" t="s">
        <v>10</v>
      </c>
      <c r="E9179" t="str">
        <f>"$ 820"</f>
        <v>$ 820</v>
      </c>
      <c r="F9179" s="1">
        <v>1650</v>
      </c>
    </row>
    <row r="9180" spans="1:6">
      <c r="A9180" t="s">
        <v>9101</v>
      </c>
      <c r="B9180" t="str">
        <f t="shared" si="360"/>
        <v>0.00011%</v>
      </c>
      <c r="C9180" t="s">
        <v>10</v>
      </c>
      <c r="D9180" t="s">
        <v>10</v>
      </c>
      <c r="E9180" t="str">
        <f>"$ 864"</f>
        <v>$ 864</v>
      </c>
      <c r="F9180">
        <v>148</v>
      </c>
    </row>
    <row r="9181" spans="1:6">
      <c r="A9181" t="s">
        <v>9102</v>
      </c>
      <c r="B9181" t="str">
        <f t="shared" ref="B9181:B9212" si="361">"0.00011%"</f>
        <v>0.00011%</v>
      </c>
      <c r="C9181" t="s">
        <v>10</v>
      </c>
      <c r="D9181" t="s">
        <v>10</v>
      </c>
      <c r="E9181" t="str">
        <f>"$ 881"</f>
        <v>$ 881</v>
      </c>
      <c r="F9181">
        <v>66</v>
      </c>
    </row>
    <row r="9182" spans="1:6">
      <c r="A9182" t="s">
        <v>9103</v>
      </c>
      <c r="B9182" t="str">
        <f t="shared" si="361"/>
        <v>0.00011%</v>
      </c>
      <c r="C9182" t="s">
        <v>10</v>
      </c>
      <c r="D9182" t="s">
        <v>10</v>
      </c>
      <c r="E9182" t="str">
        <f>"$ 817"</f>
        <v>$ 817</v>
      </c>
      <c r="F9182">
        <v>33</v>
      </c>
    </row>
    <row r="9183" spans="1:6">
      <c r="A9183" t="s">
        <v>9104</v>
      </c>
      <c r="B9183" t="str">
        <f t="shared" si="361"/>
        <v>0.00011%</v>
      </c>
      <c r="C9183" t="s">
        <v>10</v>
      </c>
      <c r="D9183" t="s">
        <v>10</v>
      </c>
      <c r="E9183" t="str">
        <f>"$ 817"</f>
        <v>$ 817</v>
      </c>
      <c r="F9183">
        <v>135</v>
      </c>
    </row>
    <row r="9184" spans="1:6">
      <c r="A9184" t="s">
        <v>9105</v>
      </c>
      <c r="B9184" t="str">
        <f t="shared" si="361"/>
        <v>0.00011%</v>
      </c>
      <c r="C9184" t="s">
        <v>10</v>
      </c>
      <c r="D9184" t="s">
        <v>10</v>
      </c>
      <c r="E9184" t="str">
        <f>"$ 848"</f>
        <v>$ 848</v>
      </c>
      <c r="F9184" s="1">
        <v>1184</v>
      </c>
    </row>
    <row r="9185" spans="1:6">
      <c r="A9185" t="s">
        <v>9106</v>
      </c>
      <c r="B9185" t="str">
        <f t="shared" si="361"/>
        <v>0.00011%</v>
      </c>
      <c r="C9185" t="s">
        <v>10</v>
      </c>
      <c r="D9185" t="s">
        <v>10</v>
      </c>
      <c r="E9185" t="str">
        <f>"$ 849"</f>
        <v>$ 849</v>
      </c>
      <c r="F9185">
        <v>803</v>
      </c>
    </row>
    <row r="9186" spans="1:6">
      <c r="A9186" t="s">
        <v>9107</v>
      </c>
      <c r="B9186" t="str">
        <f t="shared" si="361"/>
        <v>0.00011%</v>
      </c>
      <c r="C9186" t="s">
        <v>10</v>
      </c>
      <c r="D9186" t="s">
        <v>10</v>
      </c>
      <c r="E9186" t="str">
        <f>"$ 871"</f>
        <v>$ 871</v>
      </c>
      <c r="F9186" s="1">
        <v>5064</v>
      </c>
    </row>
    <row r="9187" spans="1:6">
      <c r="A9187" t="s">
        <v>9108</v>
      </c>
      <c r="B9187" t="str">
        <f t="shared" si="361"/>
        <v>0.00011%</v>
      </c>
      <c r="C9187" t="s">
        <v>10</v>
      </c>
      <c r="D9187" t="s">
        <v>10</v>
      </c>
      <c r="E9187" t="str">
        <f>"$ 869"</f>
        <v>$ 869</v>
      </c>
      <c r="F9187">
        <v>33</v>
      </c>
    </row>
    <row r="9188" spans="1:6">
      <c r="A9188" t="s">
        <v>9109</v>
      </c>
      <c r="B9188" t="str">
        <f t="shared" si="361"/>
        <v>0.00011%</v>
      </c>
      <c r="C9188" t="s">
        <v>10</v>
      </c>
      <c r="D9188" t="s">
        <v>10</v>
      </c>
      <c r="E9188" t="str">
        <f>"$ 830"</f>
        <v>$ 830</v>
      </c>
      <c r="F9188">
        <v>113</v>
      </c>
    </row>
    <row r="9189" spans="1:6">
      <c r="A9189" t="s">
        <v>9110</v>
      </c>
      <c r="B9189" t="str">
        <f t="shared" si="361"/>
        <v>0.00011%</v>
      </c>
      <c r="C9189" t="s">
        <v>10</v>
      </c>
      <c r="D9189" t="s">
        <v>10</v>
      </c>
      <c r="E9189" t="str">
        <f>"$ 874"</f>
        <v>$ 874</v>
      </c>
      <c r="F9189">
        <v>16</v>
      </c>
    </row>
    <row r="9190" spans="1:6">
      <c r="A9190" t="s">
        <v>9111</v>
      </c>
      <c r="B9190" t="str">
        <f t="shared" si="361"/>
        <v>0.00011%</v>
      </c>
      <c r="C9190" t="s">
        <v>10</v>
      </c>
      <c r="D9190" t="s">
        <v>10</v>
      </c>
      <c r="E9190" t="str">
        <f>"$ 862"</f>
        <v>$ 862</v>
      </c>
      <c r="F9190">
        <v>347</v>
      </c>
    </row>
    <row r="9191" spans="1:6">
      <c r="A9191" t="s">
        <v>9112</v>
      </c>
      <c r="B9191" t="str">
        <f t="shared" si="361"/>
        <v>0.00011%</v>
      </c>
      <c r="C9191" t="s">
        <v>10</v>
      </c>
      <c r="D9191" t="s">
        <v>10</v>
      </c>
      <c r="E9191" t="str">
        <f>"$ 852"</f>
        <v>$ 852</v>
      </c>
      <c r="F9191">
        <v>280</v>
      </c>
    </row>
    <row r="9192" spans="1:6">
      <c r="A9192" t="s">
        <v>9113</v>
      </c>
      <c r="B9192" t="str">
        <f t="shared" si="361"/>
        <v>0.00011%</v>
      </c>
      <c r="C9192" t="s">
        <v>10</v>
      </c>
      <c r="D9192" t="s">
        <v>10</v>
      </c>
      <c r="E9192" t="str">
        <f>"$ 846"</f>
        <v>$ 846</v>
      </c>
      <c r="F9192">
        <v>627</v>
      </c>
    </row>
    <row r="9193" spans="1:6">
      <c r="A9193" t="s">
        <v>9114</v>
      </c>
      <c r="B9193" t="str">
        <f t="shared" si="361"/>
        <v>0.00011%</v>
      </c>
      <c r="C9193" t="s">
        <v>10</v>
      </c>
      <c r="D9193" t="s">
        <v>10</v>
      </c>
      <c r="E9193" t="str">
        <f>"$ 859"</f>
        <v>$ 859</v>
      </c>
      <c r="F9193" s="1">
        <v>5192</v>
      </c>
    </row>
    <row r="9194" spans="1:6">
      <c r="A9194" t="s">
        <v>9115</v>
      </c>
      <c r="B9194" t="str">
        <f t="shared" si="361"/>
        <v>0.00011%</v>
      </c>
      <c r="C9194" t="s">
        <v>10</v>
      </c>
      <c r="D9194" t="s">
        <v>10</v>
      </c>
      <c r="E9194" t="str">
        <f>"$ 850"</f>
        <v>$ 850</v>
      </c>
      <c r="F9194">
        <v>161</v>
      </c>
    </row>
    <row r="9195" spans="1:6">
      <c r="A9195" t="s">
        <v>9116</v>
      </c>
      <c r="B9195" t="str">
        <f t="shared" si="361"/>
        <v>0.00011%</v>
      </c>
      <c r="C9195" t="s">
        <v>10</v>
      </c>
      <c r="D9195" t="s">
        <v>10</v>
      </c>
      <c r="E9195" t="str">
        <f>"$ 867"</f>
        <v>$ 867</v>
      </c>
      <c r="F9195">
        <v>567</v>
      </c>
    </row>
    <row r="9196" spans="1:6">
      <c r="A9196" t="s">
        <v>9117</v>
      </c>
      <c r="B9196" t="str">
        <f t="shared" si="361"/>
        <v>0.00011%</v>
      </c>
      <c r="C9196" t="s">
        <v>10</v>
      </c>
      <c r="D9196" t="s">
        <v>10</v>
      </c>
      <c r="E9196" t="str">
        <f>"$ 852"</f>
        <v>$ 852</v>
      </c>
      <c r="F9196">
        <v>491</v>
      </c>
    </row>
    <row r="9197" spans="1:6">
      <c r="A9197" t="s">
        <v>9118</v>
      </c>
      <c r="B9197" t="str">
        <f t="shared" si="361"/>
        <v>0.00011%</v>
      </c>
      <c r="C9197" t="s">
        <v>10</v>
      </c>
      <c r="D9197" t="s">
        <v>10</v>
      </c>
      <c r="E9197" t="str">
        <f>"$ 884"</f>
        <v>$ 884</v>
      </c>
      <c r="F9197">
        <v>8</v>
      </c>
    </row>
    <row r="9198" spans="1:6">
      <c r="A9198" t="s">
        <v>9119</v>
      </c>
      <c r="B9198" t="str">
        <f t="shared" si="361"/>
        <v>0.00011%</v>
      </c>
      <c r="C9198" t="s">
        <v>10</v>
      </c>
      <c r="D9198" t="s">
        <v>10</v>
      </c>
      <c r="E9198" t="str">
        <f>"$ 818"</f>
        <v>$ 818</v>
      </c>
      <c r="F9198">
        <v>699</v>
      </c>
    </row>
    <row r="9199" spans="1:6">
      <c r="A9199" t="s">
        <v>9120</v>
      </c>
      <c r="B9199" t="str">
        <f t="shared" si="361"/>
        <v>0.00011%</v>
      </c>
      <c r="C9199" t="s">
        <v>10</v>
      </c>
      <c r="D9199" t="s">
        <v>10</v>
      </c>
      <c r="E9199" t="str">
        <f>"$ 832"</f>
        <v>$ 832</v>
      </c>
      <c r="F9199">
        <v>33</v>
      </c>
    </row>
    <row r="9200" spans="1:6">
      <c r="A9200" t="s">
        <v>9121</v>
      </c>
      <c r="B9200" t="str">
        <f t="shared" si="361"/>
        <v>0.00011%</v>
      </c>
      <c r="C9200" t="s">
        <v>10</v>
      </c>
      <c r="D9200" t="s">
        <v>10</v>
      </c>
      <c r="E9200" t="str">
        <f>"$ 819"</f>
        <v>$ 819</v>
      </c>
      <c r="F9200">
        <v>497</v>
      </c>
    </row>
    <row r="9201" spans="1:6">
      <c r="A9201" t="s">
        <v>9122</v>
      </c>
      <c r="B9201" t="str">
        <f t="shared" si="361"/>
        <v>0.00011%</v>
      </c>
      <c r="C9201" t="s">
        <v>10</v>
      </c>
      <c r="D9201" t="s">
        <v>10</v>
      </c>
      <c r="E9201" t="str">
        <f>"$ 823"</f>
        <v>$ 823</v>
      </c>
      <c r="F9201" s="1">
        <v>1135</v>
      </c>
    </row>
    <row r="9202" spans="1:6">
      <c r="A9202" t="s">
        <v>9123</v>
      </c>
      <c r="B9202" t="str">
        <f t="shared" si="361"/>
        <v>0.00011%</v>
      </c>
      <c r="C9202" t="s">
        <v>10</v>
      </c>
      <c r="D9202" t="s">
        <v>10</v>
      </c>
      <c r="E9202" t="str">
        <f>"$ 854"</f>
        <v>$ 854</v>
      </c>
      <c r="F9202">
        <v>414</v>
      </c>
    </row>
    <row r="9203" spans="1:6">
      <c r="A9203" t="s">
        <v>9124</v>
      </c>
      <c r="B9203" t="str">
        <f t="shared" si="361"/>
        <v>0.00011%</v>
      </c>
      <c r="C9203" t="s">
        <v>10</v>
      </c>
      <c r="D9203" t="s">
        <v>10</v>
      </c>
      <c r="E9203" t="str">
        <f>"$ 852"</f>
        <v>$ 852</v>
      </c>
      <c r="F9203">
        <v>60</v>
      </c>
    </row>
    <row r="9204" spans="1:6">
      <c r="A9204" t="s">
        <v>9125</v>
      </c>
      <c r="B9204" t="str">
        <f t="shared" si="361"/>
        <v>0.00011%</v>
      </c>
      <c r="C9204" t="s">
        <v>10</v>
      </c>
      <c r="D9204" t="s">
        <v>10</v>
      </c>
      <c r="E9204" t="str">
        <f>"$ 857"</f>
        <v>$ 857</v>
      </c>
      <c r="F9204" s="1">
        <v>1411</v>
      </c>
    </row>
    <row r="9205" spans="1:6">
      <c r="A9205" t="s">
        <v>9126</v>
      </c>
      <c r="B9205" t="str">
        <f t="shared" si="361"/>
        <v>0.00011%</v>
      </c>
      <c r="C9205" t="s">
        <v>10</v>
      </c>
      <c r="D9205" t="s">
        <v>10</v>
      </c>
      <c r="E9205" t="str">
        <f>"$ 860"</f>
        <v>$ 860</v>
      </c>
      <c r="F9205">
        <v>16</v>
      </c>
    </row>
    <row r="9206" spans="1:6">
      <c r="A9206" t="s">
        <v>9127</v>
      </c>
      <c r="B9206" t="str">
        <f t="shared" si="361"/>
        <v>0.00011%</v>
      </c>
      <c r="C9206" t="s">
        <v>10</v>
      </c>
      <c r="D9206" t="s">
        <v>10</v>
      </c>
      <c r="E9206" t="str">
        <f>"$ 863"</f>
        <v>$ 863</v>
      </c>
      <c r="F9206">
        <v>34</v>
      </c>
    </row>
    <row r="9207" spans="1:6">
      <c r="A9207" t="s">
        <v>9128</v>
      </c>
      <c r="B9207" t="str">
        <f t="shared" si="361"/>
        <v>0.00011%</v>
      </c>
      <c r="C9207" t="s">
        <v>10</v>
      </c>
      <c r="D9207" t="s">
        <v>10</v>
      </c>
      <c r="E9207" t="str">
        <f>"$ 817"</f>
        <v>$ 817</v>
      </c>
      <c r="F9207" s="1">
        <v>1545</v>
      </c>
    </row>
    <row r="9208" spans="1:6">
      <c r="A9208" t="s">
        <v>9129</v>
      </c>
      <c r="B9208" t="str">
        <f t="shared" si="361"/>
        <v>0.00011%</v>
      </c>
      <c r="C9208" t="s">
        <v>10</v>
      </c>
      <c r="D9208" t="s">
        <v>10</v>
      </c>
      <c r="E9208" t="str">
        <f>"$ 814"</f>
        <v>$ 814</v>
      </c>
      <c r="F9208">
        <v>15</v>
      </c>
    </row>
    <row r="9209" spans="1:6">
      <c r="A9209" t="s">
        <v>9130</v>
      </c>
      <c r="B9209" t="str">
        <f t="shared" si="361"/>
        <v>0.00011%</v>
      </c>
      <c r="C9209" t="s">
        <v>10</v>
      </c>
      <c r="D9209" t="s">
        <v>10</v>
      </c>
      <c r="E9209" t="str">
        <f>"$ 831"</f>
        <v>$ 831</v>
      </c>
      <c r="F9209">
        <v>75</v>
      </c>
    </row>
    <row r="9210" spans="1:6">
      <c r="A9210" t="s">
        <v>9131</v>
      </c>
      <c r="B9210" t="str">
        <f t="shared" si="361"/>
        <v>0.00011%</v>
      </c>
      <c r="C9210" t="s">
        <v>10</v>
      </c>
      <c r="D9210" t="s">
        <v>10</v>
      </c>
      <c r="E9210" t="str">
        <f>"$ 833"</f>
        <v>$ 833</v>
      </c>
      <c r="F9210">
        <v>29</v>
      </c>
    </row>
    <row r="9211" spans="1:6">
      <c r="A9211" t="s">
        <v>9132</v>
      </c>
      <c r="B9211" t="str">
        <f t="shared" si="361"/>
        <v>0.00011%</v>
      </c>
      <c r="C9211" t="s">
        <v>10</v>
      </c>
      <c r="D9211" t="s">
        <v>10</v>
      </c>
      <c r="E9211" t="str">
        <f>"$ 850"</f>
        <v>$ 850</v>
      </c>
      <c r="F9211">
        <v>23</v>
      </c>
    </row>
    <row r="9212" spans="1:6">
      <c r="A9212" t="s">
        <v>9133</v>
      </c>
      <c r="B9212" t="str">
        <f t="shared" si="361"/>
        <v>0.00011%</v>
      </c>
      <c r="C9212" t="s">
        <v>10</v>
      </c>
      <c r="D9212" t="s">
        <v>10</v>
      </c>
      <c r="E9212" t="str">
        <f>"$ 849"</f>
        <v>$ 849</v>
      </c>
      <c r="F9212">
        <v>33</v>
      </c>
    </row>
    <row r="9213" spans="1:6">
      <c r="A9213" t="s">
        <v>9134</v>
      </c>
      <c r="B9213" t="str">
        <f t="shared" ref="B9213:B9246" si="362">"0.00011%"</f>
        <v>0.00011%</v>
      </c>
      <c r="C9213" t="s">
        <v>10</v>
      </c>
      <c r="D9213" t="s">
        <v>10</v>
      </c>
      <c r="E9213" t="str">
        <f>"$ 849"</f>
        <v>$ 849</v>
      </c>
      <c r="F9213">
        <v>455</v>
      </c>
    </row>
    <row r="9214" spans="1:6">
      <c r="A9214" t="s">
        <v>9135</v>
      </c>
      <c r="B9214" t="str">
        <f t="shared" si="362"/>
        <v>0.00011%</v>
      </c>
      <c r="C9214" t="s">
        <v>10</v>
      </c>
      <c r="D9214" t="s">
        <v>10</v>
      </c>
      <c r="E9214" t="str">
        <f>"$ 830"</f>
        <v>$ 830</v>
      </c>
      <c r="F9214">
        <v>39</v>
      </c>
    </row>
    <row r="9215" spans="1:6">
      <c r="A9215" t="s">
        <v>9136</v>
      </c>
      <c r="B9215" t="str">
        <f t="shared" si="362"/>
        <v>0.00011%</v>
      </c>
      <c r="C9215" t="s">
        <v>10</v>
      </c>
      <c r="D9215" t="s">
        <v>10</v>
      </c>
      <c r="E9215" t="str">
        <f>"$ 830"</f>
        <v>$ 830</v>
      </c>
      <c r="F9215">
        <v>516</v>
      </c>
    </row>
    <row r="9216" spans="1:6">
      <c r="A9216" t="s">
        <v>9137</v>
      </c>
      <c r="B9216" t="str">
        <f t="shared" si="362"/>
        <v>0.00011%</v>
      </c>
      <c r="C9216" t="s">
        <v>10</v>
      </c>
      <c r="D9216" t="s">
        <v>10</v>
      </c>
      <c r="E9216" t="str">
        <f>"$ 847"</f>
        <v>$ 847</v>
      </c>
      <c r="F9216">
        <v>377</v>
      </c>
    </row>
    <row r="9217" spans="1:6">
      <c r="A9217" t="s">
        <v>7493</v>
      </c>
      <c r="B9217" t="str">
        <f t="shared" si="362"/>
        <v>0.00011%</v>
      </c>
      <c r="C9217" t="s">
        <v>10</v>
      </c>
      <c r="D9217" t="s">
        <v>10</v>
      </c>
      <c r="E9217" t="str">
        <f>"$ 839"</f>
        <v>$ 839</v>
      </c>
      <c r="F9217">
        <v>347</v>
      </c>
    </row>
    <row r="9218" spans="1:6">
      <c r="A9218" t="s">
        <v>9138</v>
      </c>
      <c r="B9218" t="str">
        <f t="shared" si="362"/>
        <v>0.00011%</v>
      </c>
      <c r="C9218" t="s">
        <v>10</v>
      </c>
      <c r="D9218" t="s">
        <v>10</v>
      </c>
      <c r="E9218" t="str">
        <f>"$ 862"</f>
        <v>$ 862</v>
      </c>
      <c r="F9218">
        <v>622</v>
      </c>
    </row>
    <row r="9219" spans="1:6">
      <c r="A9219" t="s">
        <v>9139</v>
      </c>
      <c r="B9219" t="str">
        <f t="shared" si="362"/>
        <v>0.00011%</v>
      </c>
      <c r="C9219" t="s">
        <v>10</v>
      </c>
      <c r="D9219" t="s">
        <v>10</v>
      </c>
      <c r="E9219" t="str">
        <f>"$ 883"</f>
        <v>$ 883</v>
      </c>
      <c r="F9219">
        <v>523</v>
      </c>
    </row>
    <row r="9220" spans="1:6">
      <c r="A9220" t="s">
        <v>9140</v>
      </c>
      <c r="B9220" t="str">
        <f t="shared" si="362"/>
        <v>0.00011%</v>
      </c>
      <c r="C9220" t="s">
        <v>10</v>
      </c>
      <c r="D9220" t="s">
        <v>10</v>
      </c>
      <c r="E9220" t="str">
        <f>"$ 876"</f>
        <v>$ 876</v>
      </c>
      <c r="F9220" s="1">
        <v>13307</v>
      </c>
    </row>
    <row r="9221" spans="1:6">
      <c r="A9221" t="s">
        <v>9141</v>
      </c>
      <c r="B9221" t="str">
        <f t="shared" si="362"/>
        <v>0.00011%</v>
      </c>
      <c r="C9221" t="s">
        <v>10</v>
      </c>
      <c r="D9221" t="s">
        <v>10</v>
      </c>
      <c r="E9221" t="str">
        <f>"$ 873"</f>
        <v>$ 873</v>
      </c>
      <c r="F9221">
        <v>49</v>
      </c>
    </row>
    <row r="9222" spans="1:6">
      <c r="A9222" t="s">
        <v>9142</v>
      </c>
      <c r="B9222" t="str">
        <f t="shared" si="362"/>
        <v>0.00011%</v>
      </c>
      <c r="C9222" t="s">
        <v>10</v>
      </c>
      <c r="D9222" t="s">
        <v>10</v>
      </c>
      <c r="E9222" t="str">
        <f>"$ 813"</f>
        <v>$ 813</v>
      </c>
      <c r="F9222">
        <v>962</v>
      </c>
    </row>
    <row r="9223" spans="1:6">
      <c r="A9223" t="s">
        <v>9143</v>
      </c>
      <c r="B9223" t="str">
        <f t="shared" si="362"/>
        <v>0.00011%</v>
      </c>
      <c r="C9223" t="s">
        <v>10</v>
      </c>
      <c r="D9223" t="s">
        <v>10</v>
      </c>
      <c r="E9223" t="str">
        <f>"$ 811"</f>
        <v>$ 811</v>
      </c>
      <c r="F9223">
        <v>495</v>
      </c>
    </row>
    <row r="9224" spans="1:6">
      <c r="A9224" t="s">
        <v>9144</v>
      </c>
      <c r="B9224" t="str">
        <f t="shared" si="362"/>
        <v>0.00011%</v>
      </c>
      <c r="C9224" t="s">
        <v>10</v>
      </c>
      <c r="D9224" t="s">
        <v>10</v>
      </c>
      <c r="E9224" t="str">
        <f>"$ 838"</f>
        <v>$ 838</v>
      </c>
      <c r="F9224">
        <v>620</v>
      </c>
    </row>
    <row r="9225" spans="1:6">
      <c r="A9225" t="s">
        <v>9145</v>
      </c>
      <c r="B9225" t="str">
        <f t="shared" si="362"/>
        <v>0.00011%</v>
      </c>
      <c r="C9225" t="s">
        <v>10</v>
      </c>
      <c r="D9225" t="s">
        <v>10</v>
      </c>
      <c r="E9225" t="str">
        <f>"$ 863"</f>
        <v>$ 863</v>
      </c>
      <c r="F9225">
        <v>91</v>
      </c>
    </row>
    <row r="9226" spans="1:6">
      <c r="A9226" t="s">
        <v>9146</v>
      </c>
      <c r="B9226" t="str">
        <f t="shared" si="362"/>
        <v>0.00011%</v>
      </c>
      <c r="C9226" t="s">
        <v>10</v>
      </c>
      <c r="D9226" t="s">
        <v>10</v>
      </c>
      <c r="E9226" t="str">
        <f>"$ 816"</f>
        <v>$ 816</v>
      </c>
      <c r="F9226">
        <v>82</v>
      </c>
    </row>
    <row r="9227" spans="1:6">
      <c r="A9227" t="s">
        <v>9147</v>
      </c>
      <c r="B9227" t="str">
        <f t="shared" si="362"/>
        <v>0.00011%</v>
      </c>
      <c r="C9227" t="s">
        <v>10</v>
      </c>
      <c r="D9227" t="s">
        <v>10</v>
      </c>
      <c r="E9227" t="str">
        <f>"$ 832"</f>
        <v>$ 832</v>
      </c>
      <c r="F9227">
        <v>647</v>
      </c>
    </row>
    <row r="9228" spans="1:6">
      <c r="A9228" t="s">
        <v>9148</v>
      </c>
      <c r="B9228" t="str">
        <f t="shared" si="362"/>
        <v>0.00011%</v>
      </c>
      <c r="C9228" t="s">
        <v>10</v>
      </c>
      <c r="D9228" t="s">
        <v>10</v>
      </c>
      <c r="E9228" t="str">
        <f>"$ 834"</f>
        <v>$ 834</v>
      </c>
      <c r="F9228">
        <v>363</v>
      </c>
    </row>
    <row r="9229" spans="1:6">
      <c r="A9229" t="s">
        <v>9149</v>
      </c>
      <c r="B9229" t="str">
        <f t="shared" si="362"/>
        <v>0.00011%</v>
      </c>
      <c r="C9229" t="s">
        <v>10</v>
      </c>
      <c r="D9229" t="s">
        <v>10</v>
      </c>
      <c r="E9229" t="str">
        <f>"$ 865"</f>
        <v>$ 865</v>
      </c>
      <c r="F9229">
        <v>318</v>
      </c>
    </row>
    <row r="9230" spans="1:6">
      <c r="A9230" t="s">
        <v>9150</v>
      </c>
      <c r="B9230" t="str">
        <f t="shared" si="362"/>
        <v>0.00011%</v>
      </c>
      <c r="C9230" t="s">
        <v>10</v>
      </c>
      <c r="D9230" t="s">
        <v>10</v>
      </c>
      <c r="E9230" t="str">
        <f>"$ 861"</f>
        <v>$ 861</v>
      </c>
      <c r="F9230">
        <v>648</v>
      </c>
    </row>
    <row r="9231" spans="1:6">
      <c r="A9231" t="s">
        <v>9151</v>
      </c>
      <c r="B9231" t="str">
        <f t="shared" si="362"/>
        <v>0.00011%</v>
      </c>
      <c r="C9231" t="s">
        <v>10</v>
      </c>
      <c r="D9231" t="s">
        <v>10</v>
      </c>
      <c r="E9231" t="str">
        <f>"$ 852"</f>
        <v>$ 852</v>
      </c>
      <c r="F9231">
        <v>416</v>
      </c>
    </row>
    <row r="9232" spans="1:6">
      <c r="A9232" t="s">
        <v>9152</v>
      </c>
      <c r="B9232" t="str">
        <f t="shared" si="362"/>
        <v>0.00011%</v>
      </c>
      <c r="C9232" t="s">
        <v>10</v>
      </c>
      <c r="D9232" t="s">
        <v>10</v>
      </c>
      <c r="E9232" t="str">
        <f>"$ 859"</f>
        <v>$ 859</v>
      </c>
      <c r="F9232">
        <v>203</v>
      </c>
    </row>
    <row r="9233" spans="1:6">
      <c r="A9233" t="s">
        <v>9153</v>
      </c>
      <c r="B9233" t="str">
        <f t="shared" si="362"/>
        <v>0.00011%</v>
      </c>
      <c r="C9233" t="s">
        <v>10</v>
      </c>
      <c r="D9233" t="s">
        <v>10</v>
      </c>
      <c r="E9233" t="str">
        <f>"$ 874"</f>
        <v>$ 874</v>
      </c>
      <c r="F9233">
        <v>84</v>
      </c>
    </row>
    <row r="9234" spans="1:6">
      <c r="A9234" t="s">
        <v>9154</v>
      </c>
      <c r="B9234" t="str">
        <f t="shared" si="362"/>
        <v>0.00011%</v>
      </c>
      <c r="C9234" t="s">
        <v>10</v>
      </c>
      <c r="D9234" t="s">
        <v>10</v>
      </c>
      <c r="E9234" t="str">
        <f>"$ 870"</f>
        <v>$ 870</v>
      </c>
      <c r="F9234">
        <v>88</v>
      </c>
    </row>
    <row r="9235" spans="1:6">
      <c r="A9235" t="s">
        <v>9155</v>
      </c>
      <c r="B9235" t="str">
        <f t="shared" si="362"/>
        <v>0.00011%</v>
      </c>
      <c r="C9235" t="s">
        <v>10</v>
      </c>
      <c r="D9235" t="s">
        <v>10</v>
      </c>
      <c r="E9235" t="str">
        <f>"$ 830"</f>
        <v>$ 830</v>
      </c>
      <c r="F9235">
        <v>345</v>
      </c>
    </row>
    <row r="9236" spans="1:6">
      <c r="A9236" t="s">
        <v>9156</v>
      </c>
      <c r="B9236" t="str">
        <f t="shared" si="362"/>
        <v>0.00011%</v>
      </c>
      <c r="C9236" t="s">
        <v>10</v>
      </c>
      <c r="D9236" t="s">
        <v>10</v>
      </c>
      <c r="E9236" t="str">
        <f>"$ 825"</f>
        <v>$ 825</v>
      </c>
      <c r="F9236">
        <v>157</v>
      </c>
    </row>
    <row r="9237" spans="1:6">
      <c r="A9237" t="s">
        <v>9157</v>
      </c>
      <c r="B9237" t="str">
        <f t="shared" si="362"/>
        <v>0.00011%</v>
      </c>
      <c r="C9237" t="s">
        <v>10</v>
      </c>
      <c r="D9237" t="s">
        <v>10</v>
      </c>
      <c r="E9237" t="str">
        <f>"$ 869"</f>
        <v>$ 869</v>
      </c>
      <c r="F9237">
        <v>38</v>
      </c>
    </row>
    <row r="9238" spans="1:6">
      <c r="A9238" t="s">
        <v>9158</v>
      </c>
      <c r="B9238" t="str">
        <f t="shared" si="362"/>
        <v>0.00011%</v>
      </c>
      <c r="C9238" t="s">
        <v>10</v>
      </c>
      <c r="D9238" t="s">
        <v>10</v>
      </c>
      <c r="E9238" t="str">
        <f>"$ 885"</f>
        <v>$ 885</v>
      </c>
      <c r="F9238" s="1">
        <v>1185</v>
      </c>
    </row>
    <row r="9239" spans="1:6">
      <c r="A9239" t="s">
        <v>9159</v>
      </c>
      <c r="B9239" t="str">
        <f t="shared" si="362"/>
        <v>0.00011%</v>
      </c>
      <c r="C9239" t="s">
        <v>10</v>
      </c>
      <c r="D9239" t="s">
        <v>10</v>
      </c>
      <c r="E9239" t="str">
        <f>"$ 868"</f>
        <v>$ 868</v>
      </c>
      <c r="F9239">
        <v>763</v>
      </c>
    </row>
    <row r="9240" spans="1:6">
      <c r="A9240" t="s">
        <v>9160</v>
      </c>
      <c r="B9240" t="str">
        <f t="shared" si="362"/>
        <v>0.00011%</v>
      </c>
      <c r="C9240" t="s">
        <v>10</v>
      </c>
      <c r="D9240" t="s">
        <v>10</v>
      </c>
      <c r="E9240" t="str">
        <f>"$ 821"</f>
        <v>$ 821</v>
      </c>
      <c r="F9240" s="1">
        <v>1973</v>
      </c>
    </row>
    <row r="9241" spans="1:6">
      <c r="A9241" t="s">
        <v>9161</v>
      </c>
      <c r="B9241" t="str">
        <f t="shared" si="362"/>
        <v>0.00011%</v>
      </c>
      <c r="C9241" t="s">
        <v>10</v>
      </c>
      <c r="D9241" t="s">
        <v>10</v>
      </c>
      <c r="E9241" t="str">
        <f>"$ 868"</f>
        <v>$ 868</v>
      </c>
      <c r="F9241">
        <v>934</v>
      </c>
    </row>
    <row r="9242" spans="1:6">
      <c r="A9242" t="s">
        <v>9162</v>
      </c>
      <c r="B9242" t="str">
        <f t="shared" si="362"/>
        <v>0.00011%</v>
      </c>
      <c r="C9242" t="s">
        <v>10</v>
      </c>
      <c r="D9242" t="s">
        <v>10</v>
      </c>
      <c r="E9242" t="str">
        <f>"$ 877"</f>
        <v>$ 877</v>
      </c>
      <c r="F9242">
        <v>156</v>
      </c>
    </row>
    <row r="9243" spans="1:6">
      <c r="A9243" t="s">
        <v>9163</v>
      </c>
      <c r="B9243" t="str">
        <f t="shared" si="362"/>
        <v>0.00011%</v>
      </c>
      <c r="C9243" t="s">
        <v>10</v>
      </c>
      <c r="D9243" t="s">
        <v>10</v>
      </c>
      <c r="E9243" t="str">
        <f>"$ 871"</f>
        <v>$ 871</v>
      </c>
      <c r="F9243">
        <v>163</v>
      </c>
    </row>
    <row r="9244" spans="1:6">
      <c r="A9244" t="s">
        <v>9164</v>
      </c>
      <c r="B9244" t="str">
        <f t="shared" si="362"/>
        <v>0.00011%</v>
      </c>
      <c r="C9244" t="s">
        <v>10</v>
      </c>
      <c r="D9244" t="s">
        <v>10</v>
      </c>
      <c r="E9244" t="str">
        <f>"$ 831"</f>
        <v>$ 831</v>
      </c>
      <c r="F9244">
        <v>33</v>
      </c>
    </row>
    <row r="9245" spans="1:6">
      <c r="A9245" t="s">
        <v>9165</v>
      </c>
      <c r="B9245" t="str">
        <f t="shared" si="362"/>
        <v>0.00011%</v>
      </c>
      <c r="C9245" t="s">
        <v>10</v>
      </c>
      <c r="D9245" t="s">
        <v>10</v>
      </c>
      <c r="E9245" t="str">
        <f>"$ 844"</f>
        <v>$ 844</v>
      </c>
      <c r="F9245">
        <v>448</v>
      </c>
    </row>
    <row r="9246" spans="1:6">
      <c r="A9246" t="s">
        <v>9166</v>
      </c>
      <c r="B9246" t="str">
        <f t="shared" si="362"/>
        <v>0.00011%</v>
      </c>
      <c r="C9246" t="s">
        <v>10</v>
      </c>
      <c r="D9246" t="s">
        <v>10</v>
      </c>
      <c r="E9246" t="str">
        <f>"$ 841"</f>
        <v>$ 841</v>
      </c>
      <c r="F9246">
        <v>144</v>
      </c>
    </row>
    <row r="9247" spans="1:6">
      <c r="A9247" t="s">
        <v>9167</v>
      </c>
      <c r="B9247" t="str">
        <f t="shared" ref="B9247:B9278" si="363">"0.00010%"</f>
        <v>0.00010%</v>
      </c>
      <c r="C9247" t="s">
        <v>10</v>
      </c>
      <c r="D9247" t="s">
        <v>10</v>
      </c>
      <c r="E9247" t="str">
        <f>"$ 795"</f>
        <v>$ 795</v>
      </c>
      <c r="F9247">
        <v>2</v>
      </c>
    </row>
    <row r="9248" spans="1:6">
      <c r="A9248" t="s">
        <v>9168</v>
      </c>
      <c r="B9248" t="str">
        <f t="shared" si="363"/>
        <v>0.00010%</v>
      </c>
      <c r="C9248" t="s">
        <v>10</v>
      </c>
      <c r="D9248" t="s">
        <v>10</v>
      </c>
      <c r="E9248" t="str">
        <f>"$ 797"</f>
        <v>$ 797</v>
      </c>
      <c r="F9248">
        <v>53</v>
      </c>
    </row>
    <row r="9249" spans="1:6">
      <c r="A9249" t="s">
        <v>9169</v>
      </c>
      <c r="B9249" t="str">
        <f t="shared" si="363"/>
        <v>0.00010%</v>
      </c>
      <c r="C9249" t="s">
        <v>10</v>
      </c>
      <c r="D9249" t="s">
        <v>10</v>
      </c>
      <c r="E9249" t="str">
        <f>"$ 756"</f>
        <v>$ 756</v>
      </c>
      <c r="F9249" s="1">
        <v>2035</v>
      </c>
    </row>
    <row r="9250" spans="1:6">
      <c r="A9250" t="s">
        <v>9170</v>
      </c>
      <c r="B9250" t="str">
        <f t="shared" si="363"/>
        <v>0.00010%</v>
      </c>
      <c r="C9250" t="s">
        <v>10</v>
      </c>
      <c r="D9250" t="s">
        <v>10</v>
      </c>
      <c r="E9250" t="str">
        <f>"$ 759"</f>
        <v>$ 759</v>
      </c>
      <c r="F9250">
        <v>573</v>
      </c>
    </row>
    <row r="9251" spans="1:6">
      <c r="A9251" t="s">
        <v>9170</v>
      </c>
      <c r="B9251" t="str">
        <f t="shared" si="363"/>
        <v>0.00010%</v>
      </c>
      <c r="C9251" t="s">
        <v>10</v>
      </c>
      <c r="D9251" t="s">
        <v>10</v>
      </c>
      <c r="E9251" t="str">
        <f>"$ 792"</f>
        <v>$ 792</v>
      </c>
      <c r="F9251">
        <v>598</v>
      </c>
    </row>
    <row r="9252" spans="1:6">
      <c r="A9252" t="s">
        <v>9171</v>
      </c>
      <c r="B9252" t="str">
        <f t="shared" si="363"/>
        <v>0.00010%</v>
      </c>
      <c r="C9252" t="s">
        <v>10</v>
      </c>
      <c r="D9252" t="s">
        <v>10</v>
      </c>
      <c r="E9252" t="str">
        <f>"$ 788"</f>
        <v>$ 788</v>
      </c>
      <c r="F9252">
        <v>219</v>
      </c>
    </row>
    <row r="9253" spans="1:6">
      <c r="A9253" t="s">
        <v>9172</v>
      </c>
      <c r="B9253" t="str">
        <f t="shared" si="363"/>
        <v>0.00010%</v>
      </c>
      <c r="C9253" t="s">
        <v>10</v>
      </c>
      <c r="D9253" t="s">
        <v>10</v>
      </c>
      <c r="E9253" t="str">
        <f>"$ 759"</f>
        <v>$ 759</v>
      </c>
      <c r="F9253">
        <v>728</v>
      </c>
    </row>
    <row r="9254" spans="1:6">
      <c r="A9254" t="s">
        <v>9173</v>
      </c>
      <c r="B9254" t="str">
        <f t="shared" si="363"/>
        <v>0.00010%</v>
      </c>
      <c r="C9254" t="s">
        <v>10</v>
      </c>
      <c r="D9254" t="s">
        <v>10</v>
      </c>
      <c r="E9254" t="str">
        <f>"$ 778"</f>
        <v>$ 778</v>
      </c>
      <c r="F9254">
        <v>649</v>
      </c>
    </row>
    <row r="9255" spans="1:6">
      <c r="A9255" t="s">
        <v>9174</v>
      </c>
      <c r="B9255" t="str">
        <f t="shared" si="363"/>
        <v>0.00010%</v>
      </c>
      <c r="C9255" t="s">
        <v>10</v>
      </c>
      <c r="D9255" t="s">
        <v>10</v>
      </c>
      <c r="E9255" t="str">
        <f>"$ 746"</f>
        <v>$ 746</v>
      </c>
      <c r="F9255">
        <v>65</v>
      </c>
    </row>
    <row r="9256" spans="1:6">
      <c r="A9256" t="s">
        <v>9175</v>
      </c>
      <c r="B9256" t="str">
        <f t="shared" si="363"/>
        <v>0.00010%</v>
      </c>
      <c r="C9256" t="s">
        <v>10</v>
      </c>
      <c r="D9256" t="s">
        <v>10</v>
      </c>
      <c r="E9256" t="str">
        <f>"$ 748"</f>
        <v>$ 748</v>
      </c>
      <c r="F9256">
        <v>387</v>
      </c>
    </row>
    <row r="9257" spans="1:6">
      <c r="A9257" t="s">
        <v>9176</v>
      </c>
      <c r="B9257" t="str">
        <f t="shared" si="363"/>
        <v>0.00010%</v>
      </c>
      <c r="C9257" t="s">
        <v>10</v>
      </c>
      <c r="D9257" t="s">
        <v>10</v>
      </c>
      <c r="E9257" t="str">
        <f>"$ 794"</f>
        <v>$ 794</v>
      </c>
      <c r="F9257">
        <v>258</v>
      </c>
    </row>
    <row r="9258" spans="1:6">
      <c r="A9258" t="s">
        <v>9177</v>
      </c>
      <c r="B9258" t="str">
        <f t="shared" si="363"/>
        <v>0.00010%</v>
      </c>
      <c r="C9258" t="s">
        <v>10</v>
      </c>
      <c r="D9258" t="s">
        <v>10</v>
      </c>
      <c r="E9258" t="str">
        <f>"$ 764"</f>
        <v>$ 764</v>
      </c>
      <c r="F9258">
        <v>33</v>
      </c>
    </row>
    <row r="9259" spans="1:6">
      <c r="A9259" t="s">
        <v>8584</v>
      </c>
      <c r="B9259" t="str">
        <f t="shared" si="363"/>
        <v>0.00010%</v>
      </c>
      <c r="C9259" t="s">
        <v>10</v>
      </c>
      <c r="D9259" t="s">
        <v>10</v>
      </c>
      <c r="E9259" t="str">
        <f>"$ 736"</f>
        <v>$ 736</v>
      </c>
      <c r="F9259">
        <v>240</v>
      </c>
    </row>
    <row r="9260" spans="1:6">
      <c r="A9260" t="s">
        <v>9178</v>
      </c>
      <c r="B9260" t="str">
        <f t="shared" si="363"/>
        <v>0.00010%</v>
      </c>
      <c r="C9260" t="s">
        <v>10</v>
      </c>
      <c r="D9260" t="s">
        <v>10</v>
      </c>
      <c r="E9260" t="str">
        <f>"$ 738"</f>
        <v>$ 738</v>
      </c>
      <c r="F9260">
        <v>333</v>
      </c>
    </row>
    <row r="9261" spans="1:6">
      <c r="A9261" t="s">
        <v>9179</v>
      </c>
      <c r="B9261" t="str">
        <f t="shared" si="363"/>
        <v>0.00010%</v>
      </c>
      <c r="C9261" t="s">
        <v>10</v>
      </c>
      <c r="D9261" t="s">
        <v>10</v>
      </c>
      <c r="E9261" t="str">
        <f>"$ 741"</f>
        <v>$ 741</v>
      </c>
      <c r="F9261">
        <v>622</v>
      </c>
    </row>
    <row r="9262" spans="1:6">
      <c r="A9262" t="s">
        <v>9180</v>
      </c>
      <c r="B9262" t="str">
        <f t="shared" si="363"/>
        <v>0.00010%</v>
      </c>
      <c r="C9262" t="s">
        <v>10</v>
      </c>
      <c r="D9262" t="s">
        <v>10</v>
      </c>
      <c r="E9262" t="str">
        <f>"$ 749"</f>
        <v>$ 749</v>
      </c>
      <c r="F9262">
        <v>367</v>
      </c>
    </row>
    <row r="9263" spans="1:6">
      <c r="A9263" t="s">
        <v>9181</v>
      </c>
      <c r="B9263" t="str">
        <f t="shared" si="363"/>
        <v>0.00010%</v>
      </c>
      <c r="C9263" t="s">
        <v>10</v>
      </c>
      <c r="D9263" t="s">
        <v>10</v>
      </c>
      <c r="E9263" t="str">
        <f>"$ 798"</f>
        <v>$ 798</v>
      </c>
      <c r="F9263">
        <v>270</v>
      </c>
    </row>
    <row r="9264" spans="1:6">
      <c r="A9264" t="s">
        <v>9182</v>
      </c>
      <c r="B9264" t="str">
        <f t="shared" si="363"/>
        <v>0.00010%</v>
      </c>
      <c r="C9264" t="s">
        <v>10</v>
      </c>
      <c r="D9264" t="s">
        <v>10</v>
      </c>
      <c r="E9264" t="str">
        <f>"$ 807"</f>
        <v>$ 807</v>
      </c>
      <c r="F9264">
        <v>445</v>
      </c>
    </row>
    <row r="9265" spans="1:6">
      <c r="A9265" t="s">
        <v>9183</v>
      </c>
      <c r="B9265" t="str">
        <f t="shared" si="363"/>
        <v>0.00010%</v>
      </c>
      <c r="C9265" t="s">
        <v>10</v>
      </c>
      <c r="D9265" t="s">
        <v>10</v>
      </c>
      <c r="E9265" t="str">
        <f>"$ 810"</f>
        <v>$ 810</v>
      </c>
      <c r="F9265" s="1">
        <v>1164</v>
      </c>
    </row>
    <row r="9266" spans="1:6">
      <c r="A9266" t="s">
        <v>9184</v>
      </c>
      <c r="B9266" t="str">
        <f t="shared" si="363"/>
        <v>0.00010%</v>
      </c>
      <c r="C9266" t="s">
        <v>10</v>
      </c>
      <c r="D9266" t="s">
        <v>10</v>
      </c>
      <c r="E9266" t="str">
        <f>"$ 747"</f>
        <v>$ 747</v>
      </c>
      <c r="F9266" s="1">
        <v>6598</v>
      </c>
    </row>
    <row r="9267" spans="1:6">
      <c r="A9267" t="s">
        <v>9185</v>
      </c>
      <c r="B9267" t="str">
        <f t="shared" si="363"/>
        <v>0.00010%</v>
      </c>
      <c r="C9267" t="s">
        <v>10</v>
      </c>
      <c r="D9267" t="s">
        <v>10</v>
      </c>
      <c r="E9267" t="str">
        <f>"$ 771"</f>
        <v>$ 771</v>
      </c>
      <c r="F9267">
        <v>775</v>
      </c>
    </row>
    <row r="9268" spans="1:6">
      <c r="A9268" t="s">
        <v>9186</v>
      </c>
      <c r="B9268" t="str">
        <f t="shared" si="363"/>
        <v>0.00010%</v>
      </c>
      <c r="C9268" t="s">
        <v>10</v>
      </c>
      <c r="D9268" t="s">
        <v>10</v>
      </c>
      <c r="E9268" t="str">
        <f>"$ 806"</f>
        <v>$ 806</v>
      </c>
      <c r="F9268">
        <v>681</v>
      </c>
    </row>
    <row r="9269" spans="1:6">
      <c r="A9269" t="s">
        <v>9187</v>
      </c>
      <c r="B9269" t="str">
        <f t="shared" si="363"/>
        <v>0.00010%</v>
      </c>
      <c r="C9269" t="s">
        <v>10</v>
      </c>
      <c r="D9269" t="s">
        <v>10</v>
      </c>
      <c r="E9269" t="str">
        <f>"$ 745"</f>
        <v>$ 745</v>
      </c>
      <c r="F9269" s="1">
        <v>18082</v>
      </c>
    </row>
    <row r="9270" spans="1:6">
      <c r="A9270" t="s">
        <v>9188</v>
      </c>
      <c r="B9270" t="str">
        <f t="shared" si="363"/>
        <v>0.00010%</v>
      </c>
      <c r="C9270" t="s">
        <v>10</v>
      </c>
      <c r="D9270" t="s">
        <v>10</v>
      </c>
      <c r="E9270" t="str">
        <f>"$ 759"</f>
        <v>$ 759</v>
      </c>
      <c r="F9270">
        <v>33</v>
      </c>
    </row>
    <row r="9271" spans="1:6">
      <c r="A9271" t="s">
        <v>9189</v>
      </c>
      <c r="B9271" t="str">
        <f t="shared" si="363"/>
        <v>0.00010%</v>
      </c>
      <c r="C9271" t="s">
        <v>10</v>
      </c>
      <c r="D9271" t="s">
        <v>10</v>
      </c>
      <c r="E9271" t="str">
        <f>"$ 740"</f>
        <v>$ 740</v>
      </c>
      <c r="F9271">
        <v>476</v>
      </c>
    </row>
    <row r="9272" spans="1:6">
      <c r="A9272" t="s">
        <v>9190</v>
      </c>
      <c r="B9272" t="str">
        <f t="shared" si="363"/>
        <v>0.00010%</v>
      </c>
      <c r="C9272" t="s">
        <v>10</v>
      </c>
      <c r="D9272" t="s">
        <v>10</v>
      </c>
      <c r="E9272" t="str">
        <f>"$ 744"</f>
        <v>$ 744</v>
      </c>
      <c r="F9272" s="1">
        <v>1823</v>
      </c>
    </row>
    <row r="9273" spans="1:6">
      <c r="A9273" t="s">
        <v>9191</v>
      </c>
      <c r="B9273" t="str">
        <f t="shared" si="363"/>
        <v>0.00010%</v>
      </c>
      <c r="C9273" t="s">
        <v>10</v>
      </c>
      <c r="D9273" t="s">
        <v>10</v>
      </c>
      <c r="E9273" t="str">
        <f>"$ 759"</f>
        <v>$ 759</v>
      </c>
      <c r="F9273">
        <v>49</v>
      </c>
    </row>
    <row r="9274" spans="1:6">
      <c r="A9274" t="s">
        <v>9192</v>
      </c>
      <c r="B9274" t="str">
        <f t="shared" si="363"/>
        <v>0.00010%</v>
      </c>
      <c r="C9274" t="s">
        <v>10</v>
      </c>
      <c r="D9274" t="s">
        <v>10</v>
      </c>
      <c r="E9274" t="str">
        <f>"$ 780"</f>
        <v>$ 780</v>
      </c>
      <c r="F9274">
        <v>339</v>
      </c>
    </row>
    <row r="9275" spans="1:6">
      <c r="A9275" t="s">
        <v>9193</v>
      </c>
      <c r="B9275" t="str">
        <f t="shared" si="363"/>
        <v>0.00010%</v>
      </c>
      <c r="C9275" t="s">
        <v>10</v>
      </c>
      <c r="D9275" t="s">
        <v>10</v>
      </c>
      <c r="E9275" t="str">
        <f>"$ 776"</f>
        <v>$ 776</v>
      </c>
      <c r="F9275">
        <v>82</v>
      </c>
    </row>
    <row r="9276" spans="1:6">
      <c r="A9276" t="s">
        <v>9194</v>
      </c>
      <c r="B9276" t="str">
        <f t="shared" si="363"/>
        <v>0.00010%</v>
      </c>
      <c r="C9276" t="s">
        <v>10</v>
      </c>
      <c r="D9276" t="s">
        <v>10</v>
      </c>
      <c r="E9276" t="str">
        <f>"$ 764"</f>
        <v>$ 764</v>
      </c>
      <c r="F9276" s="1">
        <v>1005</v>
      </c>
    </row>
    <row r="9277" spans="1:6">
      <c r="A9277" t="s">
        <v>9195</v>
      </c>
      <c r="B9277" t="str">
        <f t="shared" si="363"/>
        <v>0.00010%</v>
      </c>
      <c r="C9277" t="s">
        <v>10</v>
      </c>
      <c r="D9277" t="s">
        <v>10</v>
      </c>
      <c r="E9277" t="str">
        <f>"$ 764"</f>
        <v>$ 764</v>
      </c>
      <c r="F9277">
        <v>66</v>
      </c>
    </row>
    <row r="9278" spans="1:6">
      <c r="A9278" t="s">
        <v>9196</v>
      </c>
      <c r="B9278" t="str">
        <f t="shared" si="363"/>
        <v>0.00010%</v>
      </c>
      <c r="C9278" t="s">
        <v>10</v>
      </c>
      <c r="D9278" t="s">
        <v>10</v>
      </c>
      <c r="E9278" t="str">
        <f>"$ 775"</f>
        <v>$ 775</v>
      </c>
      <c r="F9278">
        <v>552</v>
      </c>
    </row>
    <row r="9279" spans="1:6">
      <c r="A9279" t="s">
        <v>9197</v>
      </c>
      <c r="B9279" t="str">
        <f t="shared" ref="B9279:B9310" si="364">"0.00010%"</f>
        <v>0.00010%</v>
      </c>
      <c r="C9279" t="s">
        <v>10</v>
      </c>
      <c r="D9279" t="s">
        <v>10</v>
      </c>
      <c r="E9279" t="str">
        <f>"$ 751"</f>
        <v>$ 751</v>
      </c>
      <c r="F9279">
        <v>262</v>
      </c>
    </row>
    <row r="9280" spans="1:6">
      <c r="A9280" t="s">
        <v>7610</v>
      </c>
      <c r="B9280" t="str">
        <f t="shared" si="364"/>
        <v>0.00010%</v>
      </c>
      <c r="C9280" t="s">
        <v>10</v>
      </c>
      <c r="D9280" t="s">
        <v>10</v>
      </c>
      <c r="E9280" t="str">
        <f>"$ 735"</f>
        <v>$ 735</v>
      </c>
      <c r="F9280">
        <v>232</v>
      </c>
    </row>
    <row r="9281" spans="1:6">
      <c r="A9281" t="s">
        <v>9198</v>
      </c>
      <c r="B9281" t="str">
        <f t="shared" si="364"/>
        <v>0.00010%</v>
      </c>
      <c r="C9281" t="s">
        <v>10</v>
      </c>
      <c r="D9281" t="s">
        <v>10</v>
      </c>
      <c r="E9281" t="str">
        <f>"$ 735"</f>
        <v>$ 735</v>
      </c>
      <c r="F9281">
        <v>33</v>
      </c>
    </row>
    <row r="9282" spans="1:6">
      <c r="A9282" t="s">
        <v>9199</v>
      </c>
      <c r="B9282" t="str">
        <f t="shared" si="364"/>
        <v>0.00010%</v>
      </c>
      <c r="C9282" t="s">
        <v>10</v>
      </c>
      <c r="D9282" t="s">
        <v>10</v>
      </c>
      <c r="E9282" t="str">
        <f>"$ 752"</f>
        <v>$ 752</v>
      </c>
      <c r="F9282">
        <v>46</v>
      </c>
    </row>
    <row r="9283" spans="1:6">
      <c r="A9283" t="s">
        <v>9200</v>
      </c>
      <c r="B9283" t="str">
        <f t="shared" si="364"/>
        <v>0.00010%</v>
      </c>
      <c r="C9283" t="s">
        <v>10</v>
      </c>
      <c r="D9283" t="s">
        <v>10</v>
      </c>
      <c r="E9283" t="str">
        <f>"$ 785"</f>
        <v>$ 785</v>
      </c>
      <c r="F9283">
        <v>156</v>
      </c>
    </row>
    <row r="9284" spans="1:6">
      <c r="A9284" t="s">
        <v>9201</v>
      </c>
      <c r="B9284" t="str">
        <f t="shared" si="364"/>
        <v>0.00010%</v>
      </c>
      <c r="C9284" t="s">
        <v>10</v>
      </c>
      <c r="D9284" t="s">
        <v>10</v>
      </c>
      <c r="E9284" t="str">
        <f>"$ 810"</f>
        <v>$ 810</v>
      </c>
      <c r="F9284">
        <v>296</v>
      </c>
    </row>
    <row r="9285" spans="1:6">
      <c r="A9285" t="s">
        <v>9202</v>
      </c>
      <c r="B9285" t="str">
        <f t="shared" si="364"/>
        <v>0.00010%</v>
      </c>
      <c r="C9285" t="s">
        <v>10</v>
      </c>
      <c r="D9285" t="s">
        <v>10</v>
      </c>
      <c r="E9285" t="str">
        <f>"$ 767"</f>
        <v>$ 767</v>
      </c>
      <c r="F9285">
        <v>82</v>
      </c>
    </row>
    <row r="9286" spans="1:6">
      <c r="A9286" t="s">
        <v>9203</v>
      </c>
      <c r="B9286" t="str">
        <f t="shared" si="364"/>
        <v>0.00010%</v>
      </c>
      <c r="C9286" t="s">
        <v>10</v>
      </c>
      <c r="D9286" t="s">
        <v>10</v>
      </c>
      <c r="E9286" t="str">
        <f>"$ 749"</f>
        <v>$ 749</v>
      </c>
      <c r="F9286">
        <v>487</v>
      </c>
    </row>
    <row r="9287" spans="1:6">
      <c r="A9287" t="s">
        <v>9204</v>
      </c>
      <c r="B9287" t="str">
        <f t="shared" si="364"/>
        <v>0.00010%</v>
      </c>
      <c r="C9287" t="s">
        <v>10</v>
      </c>
      <c r="D9287" t="s">
        <v>10</v>
      </c>
      <c r="E9287" t="str">
        <f>"$ 765"</f>
        <v>$ 765</v>
      </c>
      <c r="F9287" s="1">
        <v>6397</v>
      </c>
    </row>
    <row r="9288" spans="1:6">
      <c r="A9288" t="s">
        <v>9205</v>
      </c>
      <c r="B9288" t="str">
        <f t="shared" si="364"/>
        <v>0.00010%</v>
      </c>
      <c r="C9288" t="s">
        <v>10</v>
      </c>
      <c r="D9288" t="s">
        <v>10</v>
      </c>
      <c r="E9288" t="str">
        <f>"$ 756"</f>
        <v>$ 756</v>
      </c>
      <c r="F9288">
        <v>49</v>
      </c>
    </row>
    <row r="9289" spans="1:6">
      <c r="A9289" t="s">
        <v>9206</v>
      </c>
      <c r="B9289" t="str">
        <f t="shared" si="364"/>
        <v>0.00010%</v>
      </c>
      <c r="C9289" t="s">
        <v>10</v>
      </c>
      <c r="D9289" t="s">
        <v>10</v>
      </c>
      <c r="E9289" t="str">
        <f>"$ 803"</f>
        <v>$ 803</v>
      </c>
      <c r="F9289">
        <v>164</v>
      </c>
    </row>
    <row r="9290" spans="1:6">
      <c r="A9290" t="s">
        <v>9207</v>
      </c>
      <c r="B9290" t="str">
        <f t="shared" si="364"/>
        <v>0.00010%</v>
      </c>
      <c r="C9290" t="s">
        <v>10</v>
      </c>
      <c r="D9290" t="s">
        <v>10</v>
      </c>
      <c r="E9290" t="str">
        <f>"$ 734"</f>
        <v>$ 734</v>
      </c>
      <c r="F9290">
        <v>412</v>
      </c>
    </row>
    <row r="9291" spans="1:6">
      <c r="A9291" t="s">
        <v>9208</v>
      </c>
      <c r="B9291" t="str">
        <f t="shared" si="364"/>
        <v>0.00010%</v>
      </c>
      <c r="C9291" t="s">
        <v>10</v>
      </c>
      <c r="D9291" t="s">
        <v>10</v>
      </c>
      <c r="E9291" t="str">
        <f>"$ 785"</f>
        <v>$ 785</v>
      </c>
      <c r="F9291">
        <v>77</v>
      </c>
    </row>
    <row r="9292" spans="1:6">
      <c r="A9292" t="s">
        <v>9209</v>
      </c>
      <c r="B9292" t="str">
        <f t="shared" si="364"/>
        <v>0.00010%</v>
      </c>
      <c r="C9292" t="s">
        <v>10</v>
      </c>
      <c r="D9292" t="s">
        <v>10</v>
      </c>
      <c r="E9292" t="str">
        <f>"$ 788"</f>
        <v>$ 788</v>
      </c>
      <c r="F9292">
        <v>160</v>
      </c>
    </row>
    <row r="9293" spans="1:6">
      <c r="A9293" t="s">
        <v>9210</v>
      </c>
      <c r="B9293" t="str">
        <f t="shared" si="364"/>
        <v>0.00010%</v>
      </c>
      <c r="C9293" t="s">
        <v>10</v>
      </c>
      <c r="D9293" t="s">
        <v>10</v>
      </c>
      <c r="E9293" t="str">
        <f>"$ 770"</f>
        <v>$ 770</v>
      </c>
      <c r="F9293">
        <v>107</v>
      </c>
    </row>
    <row r="9294" spans="1:6">
      <c r="A9294" t="s">
        <v>9211</v>
      </c>
      <c r="B9294" t="str">
        <f t="shared" si="364"/>
        <v>0.00010%</v>
      </c>
      <c r="C9294" t="s">
        <v>10</v>
      </c>
      <c r="D9294" t="s">
        <v>10</v>
      </c>
      <c r="E9294" t="str">
        <f>"$ 775"</f>
        <v>$ 775</v>
      </c>
      <c r="F9294">
        <v>33</v>
      </c>
    </row>
    <row r="9295" spans="1:6">
      <c r="A9295" t="s">
        <v>9212</v>
      </c>
      <c r="B9295" t="str">
        <f t="shared" si="364"/>
        <v>0.00010%</v>
      </c>
      <c r="C9295" t="s">
        <v>10</v>
      </c>
      <c r="D9295" t="s">
        <v>10</v>
      </c>
      <c r="E9295" t="str">
        <f>"$ 748"</f>
        <v>$ 748</v>
      </c>
      <c r="F9295">
        <v>72</v>
      </c>
    </row>
    <row r="9296" spans="1:6">
      <c r="A9296" t="s">
        <v>9213</v>
      </c>
      <c r="B9296" t="str">
        <f t="shared" si="364"/>
        <v>0.00010%</v>
      </c>
      <c r="C9296" t="s">
        <v>10</v>
      </c>
      <c r="D9296" t="s">
        <v>10</v>
      </c>
      <c r="E9296" t="str">
        <f>"$ 745"</f>
        <v>$ 745</v>
      </c>
      <c r="F9296" s="1">
        <v>1256</v>
      </c>
    </row>
    <row r="9297" spans="1:6">
      <c r="A9297" t="s">
        <v>9214</v>
      </c>
      <c r="B9297" t="str">
        <f t="shared" si="364"/>
        <v>0.00010%</v>
      </c>
      <c r="C9297" t="s">
        <v>10</v>
      </c>
      <c r="D9297" t="s">
        <v>10</v>
      </c>
      <c r="E9297" t="str">
        <f>"$ 778"</f>
        <v>$ 778</v>
      </c>
      <c r="F9297">
        <v>446</v>
      </c>
    </row>
    <row r="9298" spans="1:6">
      <c r="A9298" t="s">
        <v>9215</v>
      </c>
      <c r="B9298" t="str">
        <f t="shared" si="364"/>
        <v>0.00010%</v>
      </c>
      <c r="C9298" t="s">
        <v>10</v>
      </c>
      <c r="D9298" t="s">
        <v>10</v>
      </c>
      <c r="E9298" t="str">
        <f>"$ 792"</f>
        <v>$ 792</v>
      </c>
      <c r="F9298">
        <v>160</v>
      </c>
    </row>
    <row r="9299" spans="1:6">
      <c r="A9299" t="s">
        <v>9216</v>
      </c>
      <c r="B9299" t="str">
        <f t="shared" si="364"/>
        <v>0.00010%</v>
      </c>
      <c r="C9299" t="s">
        <v>10</v>
      </c>
      <c r="D9299" t="s">
        <v>10</v>
      </c>
      <c r="E9299" t="str">
        <f>"$ 798"</f>
        <v>$ 798</v>
      </c>
      <c r="F9299" s="1">
        <v>1169</v>
      </c>
    </row>
    <row r="9300" spans="1:6">
      <c r="A9300" t="s">
        <v>9217</v>
      </c>
      <c r="B9300" t="str">
        <f t="shared" si="364"/>
        <v>0.00010%</v>
      </c>
      <c r="C9300" t="s">
        <v>10</v>
      </c>
      <c r="D9300" t="s">
        <v>10</v>
      </c>
      <c r="E9300" t="str">
        <f>"$ 757"</f>
        <v>$ 757</v>
      </c>
      <c r="F9300">
        <v>612</v>
      </c>
    </row>
    <row r="9301" spans="1:6">
      <c r="A9301" t="s">
        <v>9218</v>
      </c>
      <c r="B9301" t="str">
        <f t="shared" si="364"/>
        <v>0.00010%</v>
      </c>
      <c r="C9301" t="s">
        <v>10</v>
      </c>
      <c r="D9301" t="s">
        <v>10</v>
      </c>
      <c r="E9301" t="str">
        <f>"$ 760"</f>
        <v>$ 760</v>
      </c>
      <c r="F9301">
        <v>33</v>
      </c>
    </row>
    <row r="9302" spans="1:6">
      <c r="A9302" t="s">
        <v>9219</v>
      </c>
      <c r="B9302" t="str">
        <f t="shared" si="364"/>
        <v>0.00010%</v>
      </c>
      <c r="C9302" t="s">
        <v>10</v>
      </c>
      <c r="D9302" t="s">
        <v>10</v>
      </c>
      <c r="E9302" t="str">
        <f>"$ 759"</f>
        <v>$ 759</v>
      </c>
      <c r="F9302">
        <v>82</v>
      </c>
    </row>
    <row r="9303" spans="1:6">
      <c r="A9303" t="s">
        <v>9220</v>
      </c>
      <c r="B9303" t="str">
        <f t="shared" si="364"/>
        <v>0.00010%</v>
      </c>
      <c r="C9303" t="s">
        <v>10</v>
      </c>
      <c r="D9303" t="s">
        <v>10</v>
      </c>
      <c r="E9303" t="str">
        <f>"$ 791"</f>
        <v>$ 791</v>
      </c>
      <c r="F9303">
        <v>49</v>
      </c>
    </row>
    <row r="9304" spans="1:6">
      <c r="A9304" t="s">
        <v>9221</v>
      </c>
      <c r="B9304" t="str">
        <f t="shared" si="364"/>
        <v>0.00010%</v>
      </c>
      <c r="C9304" t="s">
        <v>10</v>
      </c>
      <c r="D9304" t="s">
        <v>10</v>
      </c>
      <c r="E9304" t="str">
        <f>"$ 773"</f>
        <v>$ 773</v>
      </c>
      <c r="F9304">
        <v>66</v>
      </c>
    </row>
    <row r="9305" spans="1:6">
      <c r="A9305" t="s">
        <v>9222</v>
      </c>
      <c r="B9305" t="str">
        <f t="shared" si="364"/>
        <v>0.00010%</v>
      </c>
      <c r="C9305" t="s">
        <v>10</v>
      </c>
      <c r="D9305" t="s">
        <v>10</v>
      </c>
      <c r="E9305" t="str">
        <f>"$ 749"</f>
        <v>$ 749</v>
      </c>
      <c r="F9305">
        <v>33</v>
      </c>
    </row>
    <row r="9306" spans="1:6">
      <c r="A9306" t="s">
        <v>9223</v>
      </c>
      <c r="B9306" t="str">
        <f t="shared" si="364"/>
        <v>0.00010%</v>
      </c>
      <c r="C9306" t="s">
        <v>10</v>
      </c>
      <c r="D9306" t="s">
        <v>10</v>
      </c>
      <c r="E9306" t="str">
        <f>"$ 752"</f>
        <v>$ 752</v>
      </c>
      <c r="F9306">
        <v>33</v>
      </c>
    </row>
    <row r="9307" spans="1:6">
      <c r="A9307" t="s">
        <v>9224</v>
      </c>
      <c r="B9307" t="str">
        <f t="shared" si="364"/>
        <v>0.00010%</v>
      </c>
      <c r="C9307" t="s">
        <v>10</v>
      </c>
      <c r="D9307" t="s">
        <v>10</v>
      </c>
      <c r="E9307" t="str">
        <f>"$ 765"</f>
        <v>$ 765</v>
      </c>
      <c r="F9307">
        <v>794</v>
      </c>
    </row>
    <row r="9308" spans="1:6">
      <c r="A9308" t="s">
        <v>9225</v>
      </c>
      <c r="B9308" t="str">
        <f t="shared" si="364"/>
        <v>0.00010%</v>
      </c>
      <c r="C9308" t="s">
        <v>10</v>
      </c>
      <c r="D9308" t="s">
        <v>10</v>
      </c>
      <c r="E9308" t="str">
        <f>"$ 804"</f>
        <v>$ 804</v>
      </c>
      <c r="F9308">
        <v>239</v>
      </c>
    </row>
    <row r="9309" spans="1:6">
      <c r="A9309" t="s">
        <v>9226</v>
      </c>
      <c r="B9309" t="str">
        <f t="shared" si="364"/>
        <v>0.00010%</v>
      </c>
      <c r="C9309" t="s">
        <v>10</v>
      </c>
      <c r="D9309" t="s">
        <v>10</v>
      </c>
      <c r="E9309" t="str">
        <f>"$ 789"</f>
        <v>$ 789</v>
      </c>
      <c r="F9309">
        <v>277</v>
      </c>
    </row>
    <row r="9310" spans="1:6">
      <c r="A9310" t="s">
        <v>9227</v>
      </c>
      <c r="B9310" t="str">
        <f t="shared" si="364"/>
        <v>0.00010%</v>
      </c>
      <c r="C9310" t="s">
        <v>10</v>
      </c>
      <c r="D9310" t="s">
        <v>10</v>
      </c>
      <c r="E9310" t="str">
        <f>"$ 799"</f>
        <v>$ 799</v>
      </c>
      <c r="F9310">
        <v>169</v>
      </c>
    </row>
    <row r="9311" spans="1:6">
      <c r="A9311" t="s">
        <v>9228</v>
      </c>
      <c r="B9311" t="str">
        <f t="shared" ref="B9311:B9342" si="365">"0.00010%"</f>
        <v>0.00010%</v>
      </c>
      <c r="C9311" t="s">
        <v>10</v>
      </c>
      <c r="D9311" t="s">
        <v>10</v>
      </c>
      <c r="E9311" t="str">
        <f>"$ 795"</f>
        <v>$ 795</v>
      </c>
      <c r="F9311">
        <v>82</v>
      </c>
    </row>
    <row r="9312" spans="1:6">
      <c r="A9312" t="s">
        <v>9229</v>
      </c>
      <c r="B9312" t="str">
        <f t="shared" si="365"/>
        <v>0.00010%</v>
      </c>
      <c r="C9312" t="s">
        <v>10</v>
      </c>
      <c r="D9312" t="s">
        <v>10</v>
      </c>
      <c r="E9312" t="str">
        <f>"$ 765"</f>
        <v>$ 765</v>
      </c>
      <c r="F9312">
        <v>280</v>
      </c>
    </row>
    <row r="9313" spans="1:6">
      <c r="A9313" t="s">
        <v>9230</v>
      </c>
      <c r="B9313" t="str">
        <f t="shared" si="365"/>
        <v>0.00010%</v>
      </c>
      <c r="C9313" t="s">
        <v>10</v>
      </c>
      <c r="D9313" t="s">
        <v>10</v>
      </c>
      <c r="E9313" t="str">
        <f>"$ 779"</f>
        <v>$ 779</v>
      </c>
      <c r="F9313">
        <v>30</v>
      </c>
    </row>
    <row r="9314" spans="1:6">
      <c r="A9314" t="s">
        <v>9231</v>
      </c>
      <c r="B9314" t="str">
        <f t="shared" si="365"/>
        <v>0.00010%</v>
      </c>
      <c r="C9314" t="s">
        <v>10</v>
      </c>
      <c r="D9314" t="s">
        <v>10</v>
      </c>
      <c r="E9314" t="str">
        <f>"$ 779"</f>
        <v>$ 779</v>
      </c>
      <c r="F9314">
        <v>102</v>
      </c>
    </row>
    <row r="9315" spans="1:6">
      <c r="A9315" t="s">
        <v>9232</v>
      </c>
      <c r="B9315" t="str">
        <f t="shared" si="365"/>
        <v>0.00010%</v>
      </c>
      <c r="C9315" t="s">
        <v>10</v>
      </c>
      <c r="D9315" t="s">
        <v>10</v>
      </c>
      <c r="E9315" t="str">
        <f>"$ 772"</f>
        <v>$ 772</v>
      </c>
      <c r="F9315">
        <v>49</v>
      </c>
    </row>
    <row r="9316" spans="1:6">
      <c r="A9316" t="s">
        <v>9233</v>
      </c>
      <c r="B9316" t="str">
        <f t="shared" si="365"/>
        <v>0.00010%</v>
      </c>
      <c r="C9316" t="s">
        <v>10</v>
      </c>
      <c r="D9316" t="s">
        <v>10</v>
      </c>
      <c r="E9316" t="str">
        <f>"$ 771"</f>
        <v>$ 771</v>
      </c>
      <c r="F9316">
        <v>193</v>
      </c>
    </row>
    <row r="9317" spans="1:6">
      <c r="A9317" t="s">
        <v>9234</v>
      </c>
      <c r="B9317" t="str">
        <f t="shared" si="365"/>
        <v>0.00010%</v>
      </c>
      <c r="C9317" t="s">
        <v>10</v>
      </c>
      <c r="D9317" t="s">
        <v>10</v>
      </c>
      <c r="E9317" t="str">
        <f>"$ 793"</f>
        <v>$ 793</v>
      </c>
      <c r="F9317" s="1">
        <v>1122</v>
      </c>
    </row>
    <row r="9318" spans="1:6">
      <c r="A9318" t="s">
        <v>9235</v>
      </c>
      <c r="B9318" t="str">
        <f t="shared" si="365"/>
        <v>0.00010%</v>
      </c>
      <c r="C9318" t="s">
        <v>10</v>
      </c>
      <c r="D9318" t="s">
        <v>10</v>
      </c>
      <c r="E9318" t="str">
        <f>"$ 780"</f>
        <v>$ 780</v>
      </c>
      <c r="F9318">
        <v>147</v>
      </c>
    </row>
    <row r="9319" spans="1:6">
      <c r="A9319" t="s">
        <v>9236</v>
      </c>
      <c r="B9319" t="str">
        <f t="shared" si="365"/>
        <v>0.00010%</v>
      </c>
      <c r="C9319" t="s">
        <v>10</v>
      </c>
      <c r="D9319" t="s">
        <v>10</v>
      </c>
      <c r="E9319" t="str">
        <f>"$ 779"</f>
        <v>$ 779</v>
      </c>
      <c r="F9319">
        <v>388</v>
      </c>
    </row>
    <row r="9320" spans="1:6">
      <c r="A9320" t="s">
        <v>9237</v>
      </c>
      <c r="B9320" t="str">
        <f t="shared" si="365"/>
        <v>0.00010%</v>
      </c>
      <c r="C9320" t="s">
        <v>10</v>
      </c>
      <c r="D9320" t="s">
        <v>10</v>
      </c>
      <c r="E9320" t="str">
        <f>"$ 742"</f>
        <v>$ 742</v>
      </c>
      <c r="F9320">
        <v>339</v>
      </c>
    </row>
    <row r="9321" spans="1:6">
      <c r="A9321" t="s">
        <v>9238</v>
      </c>
      <c r="B9321" t="str">
        <f t="shared" si="365"/>
        <v>0.00010%</v>
      </c>
      <c r="C9321" t="s">
        <v>10</v>
      </c>
      <c r="D9321" t="s">
        <v>10</v>
      </c>
      <c r="E9321" t="str">
        <f>"$ 806"</f>
        <v>$ 806</v>
      </c>
      <c r="F9321" s="1">
        <v>53643</v>
      </c>
    </row>
    <row r="9322" spans="1:6">
      <c r="A9322" t="s">
        <v>9239</v>
      </c>
      <c r="B9322" t="str">
        <f t="shared" si="365"/>
        <v>0.00010%</v>
      </c>
      <c r="C9322" t="s">
        <v>10</v>
      </c>
      <c r="D9322" t="s">
        <v>10</v>
      </c>
      <c r="E9322" t="str">
        <f>"$ 745"</f>
        <v>$ 745</v>
      </c>
      <c r="F9322">
        <v>33</v>
      </c>
    </row>
    <row r="9323" spans="1:6">
      <c r="A9323" t="s">
        <v>9240</v>
      </c>
      <c r="B9323" t="str">
        <f t="shared" si="365"/>
        <v>0.00010%</v>
      </c>
      <c r="C9323" t="s">
        <v>10</v>
      </c>
      <c r="D9323" t="s">
        <v>10</v>
      </c>
      <c r="E9323" t="str">
        <f>"$ 786"</f>
        <v>$ 786</v>
      </c>
      <c r="F9323" s="1">
        <v>2572</v>
      </c>
    </row>
    <row r="9324" spans="1:6">
      <c r="A9324" t="s">
        <v>9241</v>
      </c>
      <c r="B9324" t="str">
        <f t="shared" si="365"/>
        <v>0.00010%</v>
      </c>
      <c r="C9324" t="s">
        <v>10</v>
      </c>
      <c r="D9324" t="s">
        <v>10</v>
      </c>
      <c r="E9324" t="str">
        <f>"$ 741"</f>
        <v>$ 741</v>
      </c>
      <c r="F9324">
        <v>43</v>
      </c>
    </row>
    <row r="9325" spans="1:6">
      <c r="A9325" t="s">
        <v>9242</v>
      </c>
      <c r="B9325" t="str">
        <f t="shared" si="365"/>
        <v>0.00010%</v>
      </c>
      <c r="C9325" t="s">
        <v>10</v>
      </c>
      <c r="D9325" t="s">
        <v>10</v>
      </c>
      <c r="E9325" t="str">
        <f>"$ 802"</f>
        <v>$ 802</v>
      </c>
      <c r="F9325">
        <v>5</v>
      </c>
    </row>
    <row r="9326" spans="1:6">
      <c r="A9326" t="s">
        <v>9243</v>
      </c>
      <c r="B9326" t="str">
        <f t="shared" si="365"/>
        <v>0.00010%</v>
      </c>
      <c r="C9326" t="s">
        <v>10</v>
      </c>
      <c r="D9326" t="s">
        <v>10</v>
      </c>
      <c r="E9326" t="str">
        <f>"$ 785"</f>
        <v>$ 785</v>
      </c>
      <c r="F9326">
        <v>477</v>
      </c>
    </row>
    <row r="9327" spans="1:6">
      <c r="A9327" t="s">
        <v>9244</v>
      </c>
      <c r="B9327" t="str">
        <f t="shared" si="365"/>
        <v>0.00010%</v>
      </c>
      <c r="C9327" t="s">
        <v>10</v>
      </c>
      <c r="D9327" t="s">
        <v>10</v>
      </c>
      <c r="E9327" t="str">
        <f>"$ 795"</f>
        <v>$ 795</v>
      </c>
      <c r="F9327">
        <v>85</v>
      </c>
    </row>
    <row r="9328" spans="1:6">
      <c r="A9328" t="s">
        <v>9245</v>
      </c>
      <c r="B9328" t="str">
        <f t="shared" si="365"/>
        <v>0.00010%</v>
      </c>
      <c r="C9328" t="s">
        <v>10</v>
      </c>
      <c r="D9328" t="s">
        <v>10</v>
      </c>
      <c r="E9328" t="str">
        <f>"$ 768"</f>
        <v>$ 768</v>
      </c>
      <c r="F9328">
        <v>280</v>
      </c>
    </row>
    <row r="9329" spans="1:6">
      <c r="A9329" t="s">
        <v>9246</v>
      </c>
      <c r="B9329" t="str">
        <f t="shared" si="365"/>
        <v>0.00010%</v>
      </c>
      <c r="C9329" t="s">
        <v>10</v>
      </c>
      <c r="D9329" t="s">
        <v>10</v>
      </c>
      <c r="E9329" t="str">
        <f>"$ 745"</f>
        <v>$ 745</v>
      </c>
      <c r="F9329" s="1">
        <v>17815</v>
      </c>
    </row>
    <row r="9330" spans="1:6">
      <c r="A9330" t="s">
        <v>9247</v>
      </c>
      <c r="B9330" t="str">
        <f t="shared" si="365"/>
        <v>0.00010%</v>
      </c>
      <c r="C9330" t="s">
        <v>10</v>
      </c>
      <c r="D9330" t="s">
        <v>10</v>
      </c>
      <c r="E9330" t="str">
        <f>"$ 756"</f>
        <v>$ 756</v>
      </c>
      <c r="F9330">
        <v>978</v>
      </c>
    </row>
    <row r="9331" spans="1:6">
      <c r="A9331" t="s">
        <v>9248</v>
      </c>
      <c r="B9331" t="str">
        <f t="shared" si="365"/>
        <v>0.00010%</v>
      </c>
      <c r="C9331" t="s">
        <v>10</v>
      </c>
      <c r="D9331" t="s">
        <v>10</v>
      </c>
      <c r="E9331" t="str">
        <f>"$ 750"</f>
        <v>$ 750</v>
      </c>
      <c r="F9331">
        <v>46</v>
      </c>
    </row>
    <row r="9332" spans="1:6">
      <c r="A9332" t="s">
        <v>9249</v>
      </c>
      <c r="B9332" t="str">
        <f t="shared" si="365"/>
        <v>0.00010%</v>
      </c>
      <c r="C9332" t="s">
        <v>10</v>
      </c>
      <c r="D9332" t="s">
        <v>10</v>
      </c>
      <c r="E9332" t="str">
        <f>"$ 809"</f>
        <v>$ 809</v>
      </c>
      <c r="F9332" s="1">
        <v>1307</v>
      </c>
    </row>
    <row r="9333" spans="1:6">
      <c r="A9333" t="s">
        <v>9250</v>
      </c>
      <c r="B9333" t="str">
        <f t="shared" si="365"/>
        <v>0.00010%</v>
      </c>
      <c r="C9333" t="s">
        <v>10</v>
      </c>
      <c r="D9333" t="s">
        <v>10</v>
      </c>
      <c r="E9333" t="str">
        <f>"$ 745"</f>
        <v>$ 745</v>
      </c>
      <c r="F9333">
        <v>905</v>
      </c>
    </row>
    <row r="9334" spans="1:6">
      <c r="A9334" t="s">
        <v>9251</v>
      </c>
      <c r="B9334" t="str">
        <f t="shared" si="365"/>
        <v>0.00010%</v>
      </c>
      <c r="C9334" t="s">
        <v>10</v>
      </c>
      <c r="D9334" t="s">
        <v>10</v>
      </c>
      <c r="E9334" t="str">
        <f>"$ 788"</f>
        <v>$ 788</v>
      </c>
      <c r="F9334">
        <v>49</v>
      </c>
    </row>
    <row r="9335" spans="1:6">
      <c r="A9335" t="s">
        <v>9252</v>
      </c>
      <c r="B9335" t="str">
        <f t="shared" si="365"/>
        <v>0.00010%</v>
      </c>
      <c r="C9335" t="s">
        <v>10</v>
      </c>
      <c r="D9335" t="s">
        <v>10</v>
      </c>
      <c r="E9335" t="str">
        <f>"$ 746"</f>
        <v>$ 746</v>
      </c>
      <c r="F9335">
        <v>339</v>
      </c>
    </row>
    <row r="9336" spans="1:6">
      <c r="A9336" t="s">
        <v>9253</v>
      </c>
      <c r="B9336" t="str">
        <f t="shared" si="365"/>
        <v>0.00010%</v>
      </c>
      <c r="C9336" t="s">
        <v>10</v>
      </c>
      <c r="D9336" t="s">
        <v>10</v>
      </c>
      <c r="E9336" t="str">
        <f>"$ 808"</f>
        <v>$ 808</v>
      </c>
      <c r="F9336">
        <v>132</v>
      </c>
    </row>
    <row r="9337" spans="1:6">
      <c r="A9337" t="s">
        <v>9254</v>
      </c>
      <c r="B9337" t="str">
        <f t="shared" si="365"/>
        <v>0.00010%</v>
      </c>
      <c r="C9337" t="s">
        <v>10</v>
      </c>
      <c r="D9337" t="s">
        <v>10</v>
      </c>
      <c r="E9337" t="str">
        <f>"$ 804"</f>
        <v>$ 804</v>
      </c>
      <c r="F9337">
        <v>47</v>
      </c>
    </row>
    <row r="9338" spans="1:6">
      <c r="A9338" t="s">
        <v>9255</v>
      </c>
      <c r="B9338" t="str">
        <f t="shared" si="365"/>
        <v>0.00010%</v>
      </c>
      <c r="C9338" t="s">
        <v>10</v>
      </c>
      <c r="D9338" t="s">
        <v>10</v>
      </c>
      <c r="E9338" t="str">
        <f>"$ 736"</f>
        <v>$ 736</v>
      </c>
      <c r="F9338">
        <v>352</v>
      </c>
    </row>
    <row r="9339" spans="1:6">
      <c r="A9339" t="s">
        <v>9256</v>
      </c>
      <c r="B9339" t="str">
        <f t="shared" si="365"/>
        <v>0.00010%</v>
      </c>
      <c r="C9339" t="s">
        <v>10</v>
      </c>
      <c r="D9339" t="s">
        <v>10</v>
      </c>
      <c r="E9339" t="str">
        <f>"$ 748"</f>
        <v>$ 748</v>
      </c>
      <c r="F9339">
        <v>33</v>
      </c>
    </row>
    <row r="9340" spans="1:6">
      <c r="A9340" t="s">
        <v>9257</v>
      </c>
      <c r="B9340" t="str">
        <f t="shared" si="365"/>
        <v>0.00010%</v>
      </c>
      <c r="C9340" t="s">
        <v>10</v>
      </c>
      <c r="D9340" t="s">
        <v>10</v>
      </c>
      <c r="E9340" t="str">
        <f>"$ 746"</f>
        <v>$ 746</v>
      </c>
      <c r="F9340">
        <v>44</v>
      </c>
    </row>
    <row r="9341" spans="1:6">
      <c r="A9341" t="s">
        <v>9258</v>
      </c>
      <c r="B9341" t="str">
        <f t="shared" si="365"/>
        <v>0.00010%</v>
      </c>
      <c r="C9341" t="s">
        <v>10</v>
      </c>
      <c r="D9341" t="s">
        <v>10</v>
      </c>
      <c r="E9341" t="str">
        <f>"$ 782"</f>
        <v>$ 782</v>
      </c>
      <c r="F9341">
        <v>34</v>
      </c>
    </row>
    <row r="9342" spans="1:6">
      <c r="A9342" t="s">
        <v>9259</v>
      </c>
      <c r="B9342" t="str">
        <f t="shared" si="365"/>
        <v>0.00010%</v>
      </c>
      <c r="C9342" t="s">
        <v>10</v>
      </c>
      <c r="D9342" t="s">
        <v>10</v>
      </c>
      <c r="E9342" t="str">
        <f>"$ 756"</f>
        <v>$ 756</v>
      </c>
      <c r="F9342">
        <v>133</v>
      </c>
    </row>
    <row r="9343" spans="1:6">
      <c r="A9343" t="s">
        <v>9260</v>
      </c>
      <c r="B9343" t="str">
        <f t="shared" ref="B9343:B9374" si="366">"0.00010%"</f>
        <v>0.00010%</v>
      </c>
      <c r="C9343" t="s">
        <v>10</v>
      </c>
      <c r="D9343" t="s">
        <v>10</v>
      </c>
      <c r="E9343" t="str">
        <f>"$ 783"</f>
        <v>$ 783</v>
      </c>
      <c r="F9343">
        <v>599</v>
      </c>
    </row>
    <row r="9344" spans="1:6">
      <c r="A9344" t="s">
        <v>9261</v>
      </c>
      <c r="B9344" t="str">
        <f t="shared" si="366"/>
        <v>0.00010%</v>
      </c>
      <c r="C9344" t="s">
        <v>10</v>
      </c>
      <c r="D9344" t="s">
        <v>10</v>
      </c>
      <c r="E9344" t="str">
        <f>"$ 774"</f>
        <v>$ 774</v>
      </c>
      <c r="F9344">
        <v>114</v>
      </c>
    </row>
    <row r="9345" spans="1:6">
      <c r="A9345" t="s">
        <v>9081</v>
      </c>
      <c r="B9345" t="str">
        <f t="shared" si="366"/>
        <v>0.00010%</v>
      </c>
      <c r="C9345" t="s">
        <v>10</v>
      </c>
      <c r="D9345" t="s">
        <v>10</v>
      </c>
      <c r="E9345" t="str">
        <f>"$ 766"</f>
        <v>$ 766</v>
      </c>
      <c r="F9345">
        <v>176</v>
      </c>
    </row>
    <row r="9346" spans="1:6">
      <c r="A9346" t="s">
        <v>9262</v>
      </c>
      <c r="B9346" t="str">
        <f t="shared" si="366"/>
        <v>0.00010%</v>
      </c>
      <c r="C9346" t="s">
        <v>10</v>
      </c>
      <c r="D9346" t="s">
        <v>10</v>
      </c>
      <c r="E9346" t="str">
        <f>"$ 795"</f>
        <v>$ 795</v>
      </c>
      <c r="F9346">
        <v>671</v>
      </c>
    </row>
    <row r="9347" spans="1:6">
      <c r="A9347" t="s">
        <v>9263</v>
      </c>
      <c r="B9347" t="str">
        <f t="shared" si="366"/>
        <v>0.00010%</v>
      </c>
      <c r="C9347" t="s">
        <v>10</v>
      </c>
      <c r="D9347" t="s">
        <v>10</v>
      </c>
      <c r="E9347" t="str">
        <f>"$ 792"</f>
        <v>$ 792</v>
      </c>
      <c r="F9347">
        <v>101</v>
      </c>
    </row>
    <row r="9348" spans="1:6">
      <c r="A9348" t="s">
        <v>9264</v>
      </c>
      <c r="B9348" t="str">
        <f t="shared" si="366"/>
        <v>0.00010%</v>
      </c>
      <c r="C9348" t="s">
        <v>10</v>
      </c>
      <c r="D9348" t="s">
        <v>10</v>
      </c>
      <c r="E9348" t="str">
        <f>"$ 756"</f>
        <v>$ 756</v>
      </c>
      <c r="F9348">
        <v>100</v>
      </c>
    </row>
    <row r="9349" spans="1:6">
      <c r="A9349" t="s">
        <v>9265</v>
      </c>
      <c r="B9349" t="str">
        <f t="shared" si="366"/>
        <v>0.00010%</v>
      </c>
      <c r="C9349" t="s">
        <v>10</v>
      </c>
      <c r="D9349" t="s">
        <v>10</v>
      </c>
      <c r="E9349" t="str">
        <f>"$ 764"</f>
        <v>$ 764</v>
      </c>
      <c r="F9349">
        <v>611</v>
      </c>
    </row>
    <row r="9350" spans="1:6">
      <c r="A9350" t="s">
        <v>9266</v>
      </c>
      <c r="B9350" t="str">
        <f t="shared" si="366"/>
        <v>0.00010%</v>
      </c>
      <c r="C9350" t="s">
        <v>10</v>
      </c>
      <c r="D9350" t="s">
        <v>10</v>
      </c>
      <c r="E9350" t="str">
        <f>"$ 743"</f>
        <v>$ 743</v>
      </c>
      <c r="F9350">
        <v>79</v>
      </c>
    </row>
    <row r="9351" spans="1:6">
      <c r="A9351" t="s">
        <v>9267</v>
      </c>
      <c r="B9351" t="str">
        <f t="shared" si="366"/>
        <v>0.00010%</v>
      </c>
      <c r="C9351" t="s">
        <v>10</v>
      </c>
      <c r="D9351" t="s">
        <v>10</v>
      </c>
      <c r="E9351" t="str">
        <f>"$ 751"</f>
        <v>$ 751</v>
      </c>
      <c r="F9351">
        <v>359</v>
      </c>
    </row>
    <row r="9352" spans="1:6">
      <c r="A9352" t="s">
        <v>9268</v>
      </c>
      <c r="B9352" t="str">
        <f t="shared" si="366"/>
        <v>0.00010%</v>
      </c>
      <c r="C9352" t="s">
        <v>10</v>
      </c>
      <c r="D9352" t="s">
        <v>10</v>
      </c>
      <c r="E9352" t="str">
        <f>"$ 759"</f>
        <v>$ 759</v>
      </c>
      <c r="F9352">
        <v>341</v>
      </c>
    </row>
    <row r="9353" spans="1:6">
      <c r="A9353" t="s">
        <v>9269</v>
      </c>
      <c r="B9353" t="str">
        <f t="shared" si="366"/>
        <v>0.00010%</v>
      </c>
      <c r="C9353" t="s">
        <v>10</v>
      </c>
      <c r="D9353" t="s">
        <v>10</v>
      </c>
      <c r="E9353" t="str">
        <f>"$ 760"</f>
        <v>$ 760</v>
      </c>
      <c r="F9353">
        <v>16</v>
      </c>
    </row>
    <row r="9354" spans="1:6">
      <c r="A9354" t="s">
        <v>9270</v>
      </c>
      <c r="B9354" t="str">
        <f t="shared" si="366"/>
        <v>0.00010%</v>
      </c>
      <c r="C9354" t="s">
        <v>10</v>
      </c>
      <c r="D9354" t="s">
        <v>10</v>
      </c>
      <c r="E9354" t="str">
        <f>"$ 806"</f>
        <v>$ 806</v>
      </c>
      <c r="F9354">
        <v>646</v>
      </c>
    </row>
    <row r="9355" spans="1:6">
      <c r="A9355" t="s">
        <v>9271</v>
      </c>
      <c r="B9355" t="str">
        <f t="shared" si="366"/>
        <v>0.00010%</v>
      </c>
      <c r="C9355" t="s">
        <v>10</v>
      </c>
      <c r="D9355" t="s">
        <v>10</v>
      </c>
      <c r="E9355" t="str">
        <f>"$ 738"</f>
        <v>$ 738</v>
      </c>
      <c r="F9355">
        <v>862</v>
      </c>
    </row>
    <row r="9356" spans="1:6">
      <c r="A9356" t="s">
        <v>9272</v>
      </c>
      <c r="B9356" t="str">
        <f t="shared" si="366"/>
        <v>0.00010%</v>
      </c>
      <c r="C9356" t="s">
        <v>10</v>
      </c>
      <c r="D9356" t="s">
        <v>10</v>
      </c>
      <c r="E9356" t="str">
        <f>"$ 735"</f>
        <v>$ 735</v>
      </c>
      <c r="F9356">
        <v>103</v>
      </c>
    </row>
    <row r="9357" spans="1:6">
      <c r="A9357" t="s">
        <v>9273</v>
      </c>
      <c r="B9357" t="str">
        <f t="shared" si="366"/>
        <v>0.00010%</v>
      </c>
      <c r="C9357" t="s">
        <v>10</v>
      </c>
      <c r="D9357" t="s">
        <v>10</v>
      </c>
      <c r="E9357" t="str">
        <f>"$ 807"</f>
        <v>$ 807</v>
      </c>
      <c r="F9357">
        <v>49</v>
      </c>
    </row>
    <row r="9358" spans="1:6">
      <c r="A9358" t="s">
        <v>9274</v>
      </c>
      <c r="B9358" t="str">
        <f t="shared" si="366"/>
        <v>0.00010%</v>
      </c>
      <c r="C9358" t="s">
        <v>10</v>
      </c>
      <c r="D9358" t="s">
        <v>10</v>
      </c>
      <c r="E9358" t="str">
        <f>"$ 759"</f>
        <v>$ 759</v>
      </c>
      <c r="F9358">
        <v>466</v>
      </c>
    </row>
    <row r="9359" spans="1:6">
      <c r="A9359" t="s">
        <v>9275</v>
      </c>
      <c r="B9359" t="str">
        <f t="shared" si="366"/>
        <v>0.00010%</v>
      </c>
      <c r="C9359" t="s">
        <v>10</v>
      </c>
      <c r="D9359" t="s">
        <v>10</v>
      </c>
      <c r="E9359" t="str">
        <f>"$ 753"</f>
        <v>$ 753</v>
      </c>
      <c r="F9359">
        <v>731</v>
      </c>
    </row>
    <row r="9360" spans="1:6">
      <c r="A9360" t="s">
        <v>9276</v>
      </c>
      <c r="B9360" t="str">
        <f t="shared" si="366"/>
        <v>0.00010%</v>
      </c>
      <c r="C9360" t="s">
        <v>10</v>
      </c>
      <c r="D9360" t="s">
        <v>10</v>
      </c>
      <c r="E9360" t="str">
        <f>"$ 786"</f>
        <v>$ 786</v>
      </c>
      <c r="F9360" s="1">
        <v>5292</v>
      </c>
    </row>
    <row r="9361" spans="1:6">
      <c r="A9361" t="s">
        <v>9277</v>
      </c>
      <c r="B9361" t="str">
        <f t="shared" si="366"/>
        <v>0.00010%</v>
      </c>
      <c r="C9361" t="s">
        <v>10</v>
      </c>
      <c r="D9361" t="s">
        <v>10</v>
      </c>
      <c r="E9361" t="str">
        <f>"$ 809"</f>
        <v>$ 809</v>
      </c>
      <c r="F9361">
        <v>287</v>
      </c>
    </row>
    <row r="9362" spans="1:6">
      <c r="A9362" t="s">
        <v>9278</v>
      </c>
      <c r="B9362" t="str">
        <f t="shared" si="366"/>
        <v>0.00010%</v>
      </c>
      <c r="C9362" t="s">
        <v>10</v>
      </c>
      <c r="D9362" t="s">
        <v>10</v>
      </c>
      <c r="E9362" t="str">
        <f>"$ 794"</f>
        <v>$ 794</v>
      </c>
      <c r="F9362">
        <v>95</v>
      </c>
    </row>
    <row r="9363" spans="1:6">
      <c r="A9363" t="s">
        <v>9279</v>
      </c>
      <c r="B9363" t="str">
        <f t="shared" si="366"/>
        <v>0.00010%</v>
      </c>
      <c r="C9363" t="s">
        <v>10</v>
      </c>
      <c r="D9363" t="s">
        <v>10</v>
      </c>
      <c r="E9363" t="str">
        <f>"$ 768"</f>
        <v>$ 768</v>
      </c>
      <c r="F9363" s="1">
        <v>10075</v>
      </c>
    </row>
    <row r="9364" spans="1:6">
      <c r="A9364" t="s">
        <v>9280</v>
      </c>
      <c r="B9364" t="str">
        <f t="shared" si="366"/>
        <v>0.00010%</v>
      </c>
      <c r="C9364" t="s">
        <v>10</v>
      </c>
      <c r="D9364" t="s">
        <v>10</v>
      </c>
      <c r="E9364" t="str">
        <f>"$ 763"</f>
        <v>$ 763</v>
      </c>
      <c r="F9364">
        <v>16</v>
      </c>
    </row>
    <row r="9365" spans="1:6">
      <c r="A9365" t="s">
        <v>9281</v>
      </c>
      <c r="B9365" t="str">
        <f t="shared" si="366"/>
        <v>0.00010%</v>
      </c>
      <c r="C9365" t="s">
        <v>10</v>
      </c>
      <c r="D9365" t="s">
        <v>10</v>
      </c>
      <c r="E9365" t="str">
        <f>"$ 734"</f>
        <v>$ 734</v>
      </c>
      <c r="F9365">
        <v>591</v>
      </c>
    </row>
    <row r="9366" spans="1:6">
      <c r="A9366" t="s">
        <v>9282</v>
      </c>
      <c r="B9366" t="str">
        <f t="shared" si="366"/>
        <v>0.00010%</v>
      </c>
      <c r="C9366" t="s">
        <v>10</v>
      </c>
      <c r="D9366" t="s">
        <v>10</v>
      </c>
      <c r="E9366" t="str">
        <f>"$ 734"</f>
        <v>$ 734</v>
      </c>
      <c r="F9366">
        <v>182</v>
      </c>
    </row>
    <row r="9367" spans="1:6">
      <c r="A9367" t="s">
        <v>9283</v>
      </c>
      <c r="B9367" t="str">
        <f t="shared" si="366"/>
        <v>0.00010%</v>
      </c>
      <c r="C9367" t="s">
        <v>10</v>
      </c>
      <c r="D9367" t="s">
        <v>10</v>
      </c>
      <c r="E9367" t="str">
        <f>"$ 743"</f>
        <v>$ 743</v>
      </c>
      <c r="F9367">
        <v>364</v>
      </c>
    </row>
    <row r="9368" spans="1:6">
      <c r="A9368" t="s">
        <v>9284</v>
      </c>
      <c r="B9368" t="str">
        <f t="shared" si="366"/>
        <v>0.00010%</v>
      </c>
      <c r="C9368" t="s">
        <v>10</v>
      </c>
      <c r="D9368" t="s">
        <v>10</v>
      </c>
      <c r="E9368" t="str">
        <f>"$ 781"</f>
        <v>$ 781</v>
      </c>
      <c r="F9368">
        <v>335</v>
      </c>
    </row>
    <row r="9369" spans="1:6">
      <c r="A9369" t="s">
        <v>9285</v>
      </c>
      <c r="B9369" t="str">
        <f t="shared" si="366"/>
        <v>0.00010%</v>
      </c>
      <c r="C9369" t="s">
        <v>10</v>
      </c>
      <c r="D9369" t="s">
        <v>10</v>
      </c>
      <c r="E9369" t="str">
        <f>"$ 773"</f>
        <v>$ 773</v>
      </c>
      <c r="F9369">
        <v>99</v>
      </c>
    </row>
    <row r="9370" spans="1:6">
      <c r="A9370" t="s">
        <v>9286</v>
      </c>
      <c r="B9370" t="str">
        <f t="shared" si="366"/>
        <v>0.00010%</v>
      </c>
      <c r="C9370" t="s">
        <v>10</v>
      </c>
      <c r="D9370" t="s">
        <v>10</v>
      </c>
      <c r="E9370" t="str">
        <f>"$ 756"</f>
        <v>$ 756</v>
      </c>
      <c r="F9370" s="1">
        <v>1056</v>
      </c>
    </row>
    <row r="9371" spans="1:6">
      <c r="A9371" t="s">
        <v>9287</v>
      </c>
      <c r="B9371" t="str">
        <f t="shared" si="366"/>
        <v>0.00010%</v>
      </c>
      <c r="C9371" t="s">
        <v>10</v>
      </c>
      <c r="D9371" t="s">
        <v>10</v>
      </c>
      <c r="E9371" t="str">
        <f>"$ 781"</f>
        <v>$ 781</v>
      </c>
      <c r="F9371">
        <v>537</v>
      </c>
    </row>
    <row r="9372" spans="1:6">
      <c r="A9372" t="s">
        <v>9288</v>
      </c>
      <c r="B9372" t="str">
        <f t="shared" si="366"/>
        <v>0.00010%</v>
      </c>
      <c r="C9372" t="s">
        <v>10</v>
      </c>
      <c r="D9372" t="s">
        <v>10</v>
      </c>
      <c r="E9372" t="str">
        <f>"$ 810"</f>
        <v>$ 810</v>
      </c>
      <c r="F9372" s="1">
        <v>1058</v>
      </c>
    </row>
    <row r="9373" spans="1:6">
      <c r="A9373" t="s">
        <v>9289</v>
      </c>
      <c r="B9373" t="str">
        <f t="shared" si="366"/>
        <v>0.00010%</v>
      </c>
      <c r="C9373" t="s">
        <v>10</v>
      </c>
      <c r="D9373" t="s">
        <v>10</v>
      </c>
      <c r="E9373" t="str">
        <f>"$ 801"</f>
        <v>$ 801</v>
      </c>
      <c r="F9373" s="1">
        <v>3959</v>
      </c>
    </row>
    <row r="9374" spans="1:6">
      <c r="A9374" t="s">
        <v>9290</v>
      </c>
      <c r="B9374" t="str">
        <f t="shared" si="366"/>
        <v>0.00010%</v>
      </c>
      <c r="C9374" t="s">
        <v>10</v>
      </c>
      <c r="D9374" t="s">
        <v>10</v>
      </c>
      <c r="E9374" t="str">
        <f>"$ 799"</f>
        <v>$ 799</v>
      </c>
      <c r="F9374" s="1">
        <v>1600</v>
      </c>
    </row>
    <row r="9375" spans="1:6">
      <c r="A9375" t="s">
        <v>9291</v>
      </c>
      <c r="B9375" t="str">
        <f t="shared" ref="B9375:B9406" si="367">"0.00010%"</f>
        <v>0.00010%</v>
      </c>
      <c r="C9375" t="s">
        <v>10</v>
      </c>
      <c r="D9375" t="s">
        <v>10</v>
      </c>
      <c r="E9375" t="str">
        <f>"$ 783"</f>
        <v>$ 783</v>
      </c>
      <c r="F9375">
        <v>24</v>
      </c>
    </row>
    <row r="9376" spans="1:6">
      <c r="A9376" t="s">
        <v>9292</v>
      </c>
      <c r="B9376" t="str">
        <f t="shared" si="367"/>
        <v>0.00010%</v>
      </c>
      <c r="C9376" t="s">
        <v>10</v>
      </c>
      <c r="D9376" t="s">
        <v>10</v>
      </c>
      <c r="E9376" t="str">
        <f>"$ 793"</f>
        <v>$ 793</v>
      </c>
      <c r="F9376">
        <v>25</v>
      </c>
    </row>
    <row r="9377" spans="1:6">
      <c r="A9377" t="s">
        <v>9293</v>
      </c>
      <c r="B9377" t="str">
        <f t="shared" si="367"/>
        <v>0.00010%</v>
      </c>
      <c r="C9377" t="s">
        <v>10</v>
      </c>
      <c r="D9377" t="s">
        <v>10</v>
      </c>
      <c r="E9377" t="str">
        <f>"$ 788"</f>
        <v>$ 788</v>
      </c>
      <c r="F9377">
        <v>354</v>
      </c>
    </row>
    <row r="9378" spans="1:6">
      <c r="A9378" t="s">
        <v>9294</v>
      </c>
      <c r="B9378" t="str">
        <f t="shared" si="367"/>
        <v>0.00010%</v>
      </c>
      <c r="C9378" t="s">
        <v>10</v>
      </c>
      <c r="D9378" t="s">
        <v>10</v>
      </c>
      <c r="E9378" t="str">
        <f>"$ 791"</f>
        <v>$ 791</v>
      </c>
      <c r="F9378">
        <v>41</v>
      </c>
    </row>
    <row r="9379" spans="1:6">
      <c r="A9379" t="s">
        <v>9295</v>
      </c>
      <c r="B9379" t="str">
        <f t="shared" si="367"/>
        <v>0.00010%</v>
      </c>
      <c r="C9379" t="s">
        <v>10</v>
      </c>
      <c r="D9379" t="s">
        <v>10</v>
      </c>
      <c r="E9379" t="str">
        <f>"$ 791"</f>
        <v>$ 791</v>
      </c>
      <c r="F9379">
        <v>32</v>
      </c>
    </row>
    <row r="9380" spans="1:6">
      <c r="A9380" t="s">
        <v>9296</v>
      </c>
      <c r="B9380" t="str">
        <f t="shared" si="367"/>
        <v>0.00010%</v>
      </c>
      <c r="C9380" t="s">
        <v>10</v>
      </c>
      <c r="D9380" t="s">
        <v>10</v>
      </c>
      <c r="E9380" t="str">
        <f>"$ 772"</f>
        <v>$ 772</v>
      </c>
      <c r="F9380">
        <v>627</v>
      </c>
    </row>
    <row r="9381" spans="1:6">
      <c r="A9381" t="s">
        <v>9297</v>
      </c>
      <c r="B9381" t="str">
        <f t="shared" si="367"/>
        <v>0.00010%</v>
      </c>
      <c r="C9381" t="s">
        <v>10</v>
      </c>
      <c r="D9381" t="s">
        <v>10</v>
      </c>
      <c r="E9381" t="str">
        <f>"$ 758"</f>
        <v>$ 758</v>
      </c>
      <c r="F9381">
        <v>33</v>
      </c>
    </row>
    <row r="9382" spans="1:6">
      <c r="A9382" t="s">
        <v>9298</v>
      </c>
      <c r="B9382" t="str">
        <f t="shared" si="367"/>
        <v>0.00010%</v>
      </c>
      <c r="C9382" t="s">
        <v>10</v>
      </c>
      <c r="D9382" t="s">
        <v>10</v>
      </c>
      <c r="E9382" t="str">
        <f>"$ 743"</f>
        <v>$ 743</v>
      </c>
      <c r="F9382" s="1">
        <v>2733</v>
      </c>
    </row>
    <row r="9383" spans="1:6">
      <c r="A9383" t="s">
        <v>9299</v>
      </c>
      <c r="B9383" t="str">
        <f t="shared" si="367"/>
        <v>0.00010%</v>
      </c>
      <c r="C9383" t="s">
        <v>10</v>
      </c>
      <c r="D9383" t="s">
        <v>10</v>
      </c>
      <c r="E9383" t="str">
        <f>"$ 803"</f>
        <v>$ 803</v>
      </c>
      <c r="F9383">
        <v>24</v>
      </c>
    </row>
    <row r="9384" spans="1:6">
      <c r="A9384" t="s">
        <v>9300</v>
      </c>
      <c r="B9384" t="str">
        <f t="shared" si="367"/>
        <v>0.00010%</v>
      </c>
      <c r="C9384" t="s">
        <v>10</v>
      </c>
      <c r="D9384" t="s">
        <v>10</v>
      </c>
      <c r="E9384" t="str">
        <f>"$ 803"</f>
        <v>$ 803</v>
      </c>
      <c r="F9384">
        <v>19</v>
      </c>
    </row>
    <row r="9385" spans="1:6">
      <c r="A9385" t="s">
        <v>9301</v>
      </c>
      <c r="B9385" t="str">
        <f t="shared" si="367"/>
        <v>0.00010%</v>
      </c>
      <c r="C9385" t="s">
        <v>10</v>
      </c>
      <c r="D9385" t="s">
        <v>10</v>
      </c>
      <c r="E9385" t="str">
        <f>"$ 748"</f>
        <v>$ 748</v>
      </c>
      <c r="F9385">
        <v>789</v>
      </c>
    </row>
    <row r="9386" spans="1:6">
      <c r="A9386" t="s">
        <v>9302</v>
      </c>
      <c r="B9386" t="str">
        <f t="shared" si="367"/>
        <v>0.00010%</v>
      </c>
      <c r="C9386" t="s">
        <v>10</v>
      </c>
      <c r="D9386" t="s">
        <v>10</v>
      </c>
      <c r="E9386" t="str">
        <f>"$ 751"</f>
        <v>$ 751</v>
      </c>
      <c r="F9386">
        <v>396</v>
      </c>
    </row>
    <row r="9387" spans="1:6">
      <c r="A9387" t="s">
        <v>9303</v>
      </c>
      <c r="B9387" t="str">
        <f t="shared" si="367"/>
        <v>0.00010%</v>
      </c>
      <c r="C9387" t="s">
        <v>10</v>
      </c>
      <c r="D9387" t="s">
        <v>10</v>
      </c>
      <c r="E9387" t="str">
        <f>"$ 775"</f>
        <v>$ 775</v>
      </c>
      <c r="F9387">
        <v>217</v>
      </c>
    </row>
    <row r="9388" spans="1:6">
      <c r="A9388" t="s">
        <v>9304</v>
      </c>
      <c r="B9388" t="str">
        <f t="shared" si="367"/>
        <v>0.00010%</v>
      </c>
      <c r="C9388" t="s">
        <v>10</v>
      </c>
      <c r="D9388" t="s">
        <v>10</v>
      </c>
      <c r="E9388" t="str">
        <f>"$ 788"</f>
        <v>$ 788</v>
      </c>
      <c r="F9388">
        <v>438</v>
      </c>
    </row>
    <row r="9389" spans="1:6">
      <c r="A9389" t="s">
        <v>9305</v>
      </c>
      <c r="B9389" t="str">
        <f t="shared" si="367"/>
        <v>0.00010%</v>
      </c>
      <c r="C9389" t="s">
        <v>10</v>
      </c>
      <c r="D9389" t="s">
        <v>10</v>
      </c>
      <c r="E9389" t="str">
        <f>"$ 794"</f>
        <v>$ 794</v>
      </c>
      <c r="F9389" s="1">
        <v>2017</v>
      </c>
    </row>
    <row r="9390" spans="1:6">
      <c r="A9390" t="s">
        <v>9306</v>
      </c>
      <c r="B9390" t="str">
        <f t="shared" si="367"/>
        <v>0.00010%</v>
      </c>
      <c r="C9390" t="s">
        <v>10</v>
      </c>
      <c r="D9390" t="s">
        <v>10</v>
      </c>
      <c r="E9390" t="str">
        <f>"$ 796"</f>
        <v>$ 796</v>
      </c>
      <c r="F9390" s="1">
        <v>1776</v>
      </c>
    </row>
    <row r="9391" spans="1:6">
      <c r="A9391" t="s">
        <v>9307</v>
      </c>
      <c r="B9391" t="str">
        <f t="shared" si="367"/>
        <v>0.00010%</v>
      </c>
      <c r="C9391" t="s">
        <v>10</v>
      </c>
      <c r="D9391" t="s">
        <v>10</v>
      </c>
      <c r="E9391" t="str">
        <f>"$ 739"</f>
        <v>$ 739</v>
      </c>
      <c r="F9391">
        <v>616</v>
      </c>
    </row>
    <row r="9392" spans="1:6">
      <c r="A9392" t="s">
        <v>9308</v>
      </c>
      <c r="B9392" t="str">
        <f t="shared" si="367"/>
        <v>0.00010%</v>
      </c>
      <c r="C9392" t="s">
        <v>10</v>
      </c>
      <c r="D9392" t="s">
        <v>10</v>
      </c>
      <c r="E9392" t="str">
        <f>"$ 746"</f>
        <v>$ 746</v>
      </c>
      <c r="F9392">
        <v>733</v>
      </c>
    </row>
    <row r="9393" spans="1:6">
      <c r="A9393" t="s">
        <v>9309</v>
      </c>
      <c r="B9393" t="str">
        <f t="shared" si="367"/>
        <v>0.00010%</v>
      </c>
      <c r="C9393" t="s">
        <v>10</v>
      </c>
      <c r="D9393" t="s">
        <v>10</v>
      </c>
      <c r="E9393" t="str">
        <f>"$ 766"</f>
        <v>$ 766</v>
      </c>
      <c r="F9393">
        <v>264</v>
      </c>
    </row>
    <row r="9394" spans="1:6">
      <c r="A9394" t="s">
        <v>9310</v>
      </c>
      <c r="B9394" t="str">
        <f t="shared" si="367"/>
        <v>0.00010%</v>
      </c>
      <c r="C9394" t="s">
        <v>10</v>
      </c>
      <c r="D9394" t="s">
        <v>10</v>
      </c>
      <c r="E9394" t="str">
        <f>"$ 779"</f>
        <v>$ 779</v>
      </c>
      <c r="F9394">
        <v>31</v>
      </c>
    </row>
    <row r="9395" spans="1:6">
      <c r="A9395" t="s">
        <v>9311</v>
      </c>
      <c r="B9395" t="str">
        <f t="shared" si="367"/>
        <v>0.00010%</v>
      </c>
      <c r="C9395" t="s">
        <v>10</v>
      </c>
      <c r="D9395" t="s">
        <v>10</v>
      </c>
      <c r="E9395" t="str">
        <f>"$ 807"</f>
        <v>$ 807</v>
      </c>
      <c r="F9395">
        <v>15</v>
      </c>
    </row>
    <row r="9396" spans="1:6">
      <c r="A9396" t="s">
        <v>9312</v>
      </c>
      <c r="B9396" t="str">
        <f t="shared" si="367"/>
        <v>0.00010%</v>
      </c>
      <c r="C9396" t="s">
        <v>10</v>
      </c>
      <c r="D9396" t="s">
        <v>10</v>
      </c>
      <c r="E9396" t="str">
        <f>"$ 748"</f>
        <v>$ 748</v>
      </c>
      <c r="F9396">
        <v>169</v>
      </c>
    </row>
    <row r="9397" spans="1:6">
      <c r="A9397" t="s">
        <v>9313</v>
      </c>
      <c r="B9397" t="str">
        <f t="shared" si="367"/>
        <v>0.00010%</v>
      </c>
      <c r="C9397" t="s">
        <v>10</v>
      </c>
      <c r="D9397" t="s">
        <v>10</v>
      </c>
      <c r="E9397" t="str">
        <f>"$ 810"</f>
        <v>$ 810</v>
      </c>
      <c r="F9397" s="1">
        <v>3968</v>
      </c>
    </row>
    <row r="9398" spans="1:6">
      <c r="A9398" t="s">
        <v>9314</v>
      </c>
      <c r="B9398" t="str">
        <f t="shared" si="367"/>
        <v>0.00010%</v>
      </c>
      <c r="C9398" t="s">
        <v>10</v>
      </c>
      <c r="D9398" t="s">
        <v>10</v>
      </c>
      <c r="E9398" t="str">
        <f>"$ 806"</f>
        <v>$ 806</v>
      </c>
      <c r="F9398">
        <v>599</v>
      </c>
    </row>
    <row r="9399" spans="1:6">
      <c r="A9399" t="s">
        <v>8971</v>
      </c>
      <c r="B9399" t="str">
        <f t="shared" si="367"/>
        <v>0.00010%</v>
      </c>
      <c r="C9399" t="s">
        <v>10</v>
      </c>
      <c r="D9399" t="s">
        <v>10</v>
      </c>
      <c r="E9399" t="str">
        <f>"$ 745"</f>
        <v>$ 745</v>
      </c>
      <c r="F9399">
        <v>333</v>
      </c>
    </row>
    <row r="9400" spans="1:6">
      <c r="A9400" t="s">
        <v>9315</v>
      </c>
      <c r="B9400" t="str">
        <f t="shared" si="367"/>
        <v>0.00010%</v>
      </c>
      <c r="C9400" t="s">
        <v>10</v>
      </c>
      <c r="D9400" t="s">
        <v>10</v>
      </c>
      <c r="E9400" t="str">
        <f>"$ 778"</f>
        <v>$ 778</v>
      </c>
      <c r="F9400">
        <v>975</v>
      </c>
    </row>
    <row r="9401" spans="1:6">
      <c r="A9401" t="s">
        <v>9316</v>
      </c>
      <c r="B9401" t="str">
        <f t="shared" si="367"/>
        <v>0.00010%</v>
      </c>
      <c r="C9401" t="s">
        <v>10</v>
      </c>
      <c r="D9401" t="s">
        <v>10</v>
      </c>
      <c r="E9401" t="str">
        <f>"$ 769"</f>
        <v>$ 769</v>
      </c>
      <c r="F9401">
        <v>352</v>
      </c>
    </row>
    <row r="9402" spans="1:6">
      <c r="A9402" t="s">
        <v>9317</v>
      </c>
      <c r="B9402" t="str">
        <f t="shared" si="367"/>
        <v>0.00010%</v>
      </c>
      <c r="C9402" t="s">
        <v>10</v>
      </c>
      <c r="D9402" t="s">
        <v>10</v>
      </c>
      <c r="E9402" t="str">
        <f>"$ 758"</f>
        <v>$ 758</v>
      </c>
      <c r="F9402">
        <v>10</v>
      </c>
    </row>
    <row r="9403" spans="1:6">
      <c r="A9403" t="s">
        <v>9318</v>
      </c>
      <c r="B9403" t="str">
        <f t="shared" si="367"/>
        <v>0.00010%</v>
      </c>
      <c r="C9403" t="s">
        <v>10</v>
      </c>
      <c r="D9403" t="s">
        <v>10</v>
      </c>
      <c r="E9403" t="str">
        <f>"$ 753"</f>
        <v>$ 753</v>
      </c>
      <c r="F9403">
        <v>63</v>
      </c>
    </row>
    <row r="9404" spans="1:6">
      <c r="A9404" t="s">
        <v>9319</v>
      </c>
      <c r="B9404" t="str">
        <f t="shared" si="367"/>
        <v>0.00010%</v>
      </c>
      <c r="C9404" t="s">
        <v>10</v>
      </c>
      <c r="D9404" t="s">
        <v>10</v>
      </c>
      <c r="E9404" t="str">
        <f>"$ 759"</f>
        <v>$ 759</v>
      </c>
      <c r="F9404">
        <v>339</v>
      </c>
    </row>
    <row r="9405" spans="1:6">
      <c r="A9405" t="s">
        <v>9320</v>
      </c>
      <c r="B9405" t="str">
        <f t="shared" si="367"/>
        <v>0.00010%</v>
      </c>
      <c r="C9405" t="s">
        <v>10</v>
      </c>
      <c r="D9405" t="s">
        <v>10</v>
      </c>
      <c r="E9405" t="str">
        <f>"$ 805"</f>
        <v>$ 805</v>
      </c>
      <c r="F9405">
        <v>66</v>
      </c>
    </row>
    <row r="9406" spans="1:6">
      <c r="A9406" t="s">
        <v>9321</v>
      </c>
      <c r="B9406" t="str">
        <f t="shared" si="367"/>
        <v>0.00010%</v>
      </c>
      <c r="C9406" t="s">
        <v>10</v>
      </c>
      <c r="D9406" t="s">
        <v>10</v>
      </c>
      <c r="E9406" t="str">
        <f>"$ 774"</f>
        <v>$ 774</v>
      </c>
      <c r="F9406">
        <v>383</v>
      </c>
    </row>
    <row r="9407" spans="1:6">
      <c r="A9407" t="s">
        <v>9322</v>
      </c>
      <c r="B9407" t="str">
        <f t="shared" ref="B9407:B9418" si="368">"0.00010%"</f>
        <v>0.00010%</v>
      </c>
      <c r="C9407" t="s">
        <v>10</v>
      </c>
      <c r="D9407" t="s">
        <v>10</v>
      </c>
      <c r="E9407" t="str">
        <f>"$ 787"</f>
        <v>$ 787</v>
      </c>
      <c r="F9407">
        <v>346</v>
      </c>
    </row>
    <row r="9408" spans="1:6">
      <c r="A9408" t="s">
        <v>9323</v>
      </c>
      <c r="B9408" t="str">
        <f t="shared" si="368"/>
        <v>0.00010%</v>
      </c>
      <c r="C9408" t="s">
        <v>10</v>
      </c>
      <c r="D9408" t="s">
        <v>10</v>
      </c>
      <c r="E9408" t="str">
        <f>"$ 804"</f>
        <v>$ 804</v>
      </c>
      <c r="F9408">
        <v>225</v>
      </c>
    </row>
    <row r="9409" spans="1:6">
      <c r="A9409" t="s">
        <v>9324</v>
      </c>
      <c r="B9409" t="str">
        <f t="shared" si="368"/>
        <v>0.00010%</v>
      </c>
      <c r="C9409" t="s">
        <v>10</v>
      </c>
      <c r="D9409" t="s">
        <v>10</v>
      </c>
      <c r="E9409" t="str">
        <f>"$ 807"</f>
        <v>$ 807</v>
      </c>
      <c r="F9409">
        <v>53</v>
      </c>
    </row>
    <row r="9410" spans="1:6">
      <c r="A9410" t="s">
        <v>9325</v>
      </c>
      <c r="B9410" t="str">
        <f t="shared" si="368"/>
        <v>0.00010%</v>
      </c>
      <c r="C9410" t="s">
        <v>10</v>
      </c>
      <c r="D9410" t="s">
        <v>10</v>
      </c>
      <c r="E9410" t="str">
        <f>"$ 747"</f>
        <v>$ 747</v>
      </c>
      <c r="F9410">
        <v>263</v>
      </c>
    </row>
    <row r="9411" spans="1:6">
      <c r="A9411" t="s">
        <v>9326</v>
      </c>
      <c r="B9411" t="str">
        <f t="shared" si="368"/>
        <v>0.00010%</v>
      </c>
      <c r="C9411" t="s">
        <v>10</v>
      </c>
      <c r="D9411" t="s">
        <v>10</v>
      </c>
      <c r="E9411" t="str">
        <f>"$ 744"</f>
        <v>$ 744</v>
      </c>
      <c r="F9411">
        <v>13</v>
      </c>
    </row>
    <row r="9412" spans="1:6">
      <c r="A9412" t="s">
        <v>9327</v>
      </c>
      <c r="B9412" t="str">
        <f t="shared" si="368"/>
        <v>0.00010%</v>
      </c>
      <c r="C9412" t="s">
        <v>10</v>
      </c>
      <c r="D9412" t="s">
        <v>10</v>
      </c>
      <c r="E9412" t="str">
        <f>"$ 763"</f>
        <v>$ 763</v>
      </c>
      <c r="F9412">
        <v>270</v>
      </c>
    </row>
    <row r="9413" spans="1:6">
      <c r="A9413" t="s">
        <v>9328</v>
      </c>
      <c r="B9413" t="str">
        <f t="shared" si="368"/>
        <v>0.00010%</v>
      </c>
      <c r="C9413" t="s">
        <v>10</v>
      </c>
      <c r="D9413" t="s">
        <v>10</v>
      </c>
      <c r="E9413" t="str">
        <f>"$ 787"</f>
        <v>$ 787</v>
      </c>
      <c r="F9413">
        <v>69</v>
      </c>
    </row>
    <row r="9414" spans="1:6">
      <c r="A9414" t="s">
        <v>9329</v>
      </c>
      <c r="B9414" t="str">
        <f t="shared" si="368"/>
        <v>0.00010%</v>
      </c>
      <c r="C9414" t="s">
        <v>10</v>
      </c>
      <c r="D9414" t="s">
        <v>10</v>
      </c>
      <c r="E9414" t="str">
        <f>"$ 761"</f>
        <v>$ 761</v>
      </c>
      <c r="F9414">
        <v>784</v>
      </c>
    </row>
    <row r="9415" spans="1:6">
      <c r="A9415" t="s">
        <v>9330</v>
      </c>
      <c r="B9415" t="str">
        <f t="shared" si="368"/>
        <v>0.00010%</v>
      </c>
      <c r="C9415" t="s">
        <v>10</v>
      </c>
      <c r="D9415" t="s">
        <v>10</v>
      </c>
      <c r="E9415" t="str">
        <f>"$ 739"</f>
        <v>$ 739</v>
      </c>
      <c r="F9415">
        <v>303</v>
      </c>
    </row>
    <row r="9416" spans="1:6">
      <c r="A9416" t="s">
        <v>9331</v>
      </c>
      <c r="B9416" t="str">
        <f t="shared" si="368"/>
        <v>0.00010%</v>
      </c>
      <c r="C9416" t="s">
        <v>10</v>
      </c>
      <c r="D9416" t="s">
        <v>10</v>
      </c>
      <c r="E9416" t="str">
        <f>"$ 809"</f>
        <v>$ 809</v>
      </c>
      <c r="F9416">
        <v>438</v>
      </c>
    </row>
    <row r="9417" spans="1:6">
      <c r="A9417" t="s">
        <v>9332</v>
      </c>
      <c r="B9417" t="str">
        <f t="shared" si="368"/>
        <v>0.00010%</v>
      </c>
      <c r="C9417" t="s">
        <v>10</v>
      </c>
      <c r="D9417" t="s">
        <v>10</v>
      </c>
      <c r="E9417" t="str">
        <f>"$ 804"</f>
        <v>$ 804</v>
      </c>
      <c r="F9417">
        <v>43</v>
      </c>
    </row>
    <row r="9418" spans="1:6">
      <c r="A9418" t="s">
        <v>9333</v>
      </c>
      <c r="B9418" t="str">
        <f t="shared" si="368"/>
        <v>0.00010%</v>
      </c>
      <c r="C9418" t="s">
        <v>10</v>
      </c>
      <c r="D9418" t="s">
        <v>10</v>
      </c>
      <c r="E9418" t="str">
        <f>"$ 795"</f>
        <v>$ 795</v>
      </c>
      <c r="F9418">
        <v>137</v>
      </c>
    </row>
    <row r="9419" spans="1:6">
      <c r="A9419" t="s">
        <v>9334</v>
      </c>
      <c r="B9419" t="str">
        <f t="shared" ref="B9419:B9450" si="369">"0.00009%"</f>
        <v>0.00009%</v>
      </c>
      <c r="C9419" t="s">
        <v>10</v>
      </c>
      <c r="D9419" t="s">
        <v>10</v>
      </c>
      <c r="E9419" t="str">
        <f>"$ 674"</f>
        <v>$ 674</v>
      </c>
      <c r="F9419">
        <v>745</v>
      </c>
    </row>
    <row r="9420" spans="1:6">
      <c r="A9420" t="s">
        <v>9335</v>
      </c>
      <c r="B9420" t="str">
        <f t="shared" si="369"/>
        <v>0.00009%</v>
      </c>
      <c r="C9420" t="s">
        <v>10</v>
      </c>
      <c r="D9420" t="s">
        <v>10</v>
      </c>
      <c r="E9420" t="str">
        <f>"$ 687"</f>
        <v>$ 687</v>
      </c>
      <c r="F9420">
        <v>222</v>
      </c>
    </row>
    <row r="9421" spans="1:6">
      <c r="A9421" t="s">
        <v>9336</v>
      </c>
      <c r="B9421" t="str">
        <f t="shared" si="369"/>
        <v>0.00009%</v>
      </c>
      <c r="C9421" t="s">
        <v>10</v>
      </c>
      <c r="D9421" t="s">
        <v>10</v>
      </c>
      <c r="E9421" t="str">
        <f>"$ 689"</f>
        <v>$ 689</v>
      </c>
      <c r="F9421">
        <v>170</v>
      </c>
    </row>
    <row r="9422" spans="1:6">
      <c r="A9422" t="s">
        <v>9337</v>
      </c>
      <c r="B9422" t="str">
        <f t="shared" si="369"/>
        <v>0.00009%</v>
      </c>
      <c r="C9422" t="s">
        <v>10</v>
      </c>
      <c r="D9422" t="s">
        <v>10</v>
      </c>
      <c r="E9422" t="str">
        <f>"$ 694"</f>
        <v>$ 694</v>
      </c>
      <c r="F9422" s="1">
        <v>1684</v>
      </c>
    </row>
    <row r="9423" spans="1:6">
      <c r="A9423" t="s">
        <v>9338</v>
      </c>
      <c r="B9423" t="str">
        <f t="shared" si="369"/>
        <v>0.00009%</v>
      </c>
      <c r="C9423" t="s">
        <v>10</v>
      </c>
      <c r="D9423" t="s">
        <v>10</v>
      </c>
      <c r="E9423" t="str">
        <f>"$ 730"</f>
        <v>$ 730</v>
      </c>
      <c r="F9423">
        <v>36</v>
      </c>
    </row>
    <row r="9424" spans="1:6">
      <c r="A9424" t="s">
        <v>9339</v>
      </c>
      <c r="B9424" t="str">
        <f t="shared" si="369"/>
        <v>0.00009%</v>
      </c>
      <c r="C9424" t="s">
        <v>10</v>
      </c>
      <c r="D9424" t="s">
        <v>10</v>
      </c>
      <c r="E9424" t="str">
        <f>"$ 708"</f>
        <v>$ 708</v>
      </c>
      <c r="F9424">
        <v>878</v>
      </c>
    </row>
    <row r="9425" spans="1:6">
      <c r="A9425" t="s">
        <v>9340</v>
      </c>
      <c r="B9425" t="str">
        <f t="shared" si="369"/>
        <v>0.00009%</v>
      </c>
      <c r="C9425" t="s">
        <v>10</v>
      </c>
      <c r="D9425" t="s">
        <v>10</v>
      </c>
      <c r="E9425" t="str">
        <f>"$ 710"</f>
        <v>$ 710</v>
      </c>
      <c r="F9425">
        <v>342</v>
      </c>
    </row>
    <row r="9426" spans="1:6">
      <c r="A9426" t="s">
        <v>9341</v>
      </c>
      <c r="B9426" t="str">
        <f t="shared" si="369"/>
        <v>0.00009%</v>
      </c>
      <c r="C9426" t="s">
        <v>10</v>
      </c>
      <c r="D9426" t="s">
        <v>10</v>
      </c>
      <c r="E9426" t="str">
        <f>"$ 711"</f>
        <v>$ 711</v>
      </c>
      <c r="F9426">
        <v>187</v>
      </c>
    </row>
    <row r="9427" spans="1:6">
      <c r="A9427" t="s">
        <v>9342</v>
      </c>
      <c r="B9427" t="str">
        <f t="shared" si="369"/>
        <v>0.00009%</v>
      </c>
      <c r="C9427" t="s">
        <v>10</v>
      </c>
      <c r="D9427" t="s">
        <v>10</v>
      </c>
      <c r="E9427" t="str">
        <f>"$ 679"</f>
        <v>$ 679</v>
      </c>
      <c r="F9427">
        <v>93</v>
      </c>
    </row>
    <row r="9428" spans="1:6">
      <c r="A9428" t="s">
        <v>9343</v>
      </c>
      <c r="B9428" t="str">
        <f t="shared" si="369"/>
        <v>0.00009%</v>
      </c>
      <c r="C9428" t="s">
        <v>10</v>
      </c>
      <c r="D9428" t="s">
        <v>10</v>
      </c>
      <c r="E9428" t="str">
        <f>"$ 679"</f>
        <v>$ 679</v>
      </c>
      <c r="F9428" s="1">
        <v>1125</v>
      </c>
    </row>
    <row r="9429" spans="1:6">
      <c r="A9429" t="s">
        <v>9344</v>
      </c>
      <c r="B9429" t="str">
        <f t="shared" si="369"/>
        <v>0.00009%</v>
      </c>
      <c r="C9429" t="s">
        <v>10</v>
      </c>
      <c r="D9429" t="s">
        <v>10</v>
      </c>
      <c r="E9429" t="str">
        <f>"$ 680"</f>
        <v>$ 680</v>
      </c>
      <c r="F9429">
        <v>61</v>
      </c>
    </row>
    <row r="9430" spans="1:6">
      <c r="A9430" t="s">
        <v>9345</v>
      </c>
      <c r="B9430" t="str">
        <f t="shared" si="369"/>
        <v>0.00009%</v>
      </c>
      <c r="C9430" t="s">
        <v>10</v>
      </c>
      <c r="D9430" t="s">
        <v>10</v>
      </c>
      <c r="E9430" t="str">
        <f>"$ 662"</f>
        <v>$ 662</v>
      </c>
      <c r="F9430">
        <v>265</v>
      </c>
    </row>
    <row r="9431" spans="1:6">
      <c r="A9431" t="s">
        <v>9346</v>
      </c>
      <c r="B9431" t="str">
        <f t="shared" si="369"/>
        <v>0.00009%</v>
      </c>
      <c r="C9431" t="s">
        <v>10</v>
      </c>
      <c r="D9431" t="s">
        <v>10</v>
      </c>
      <c r="E9431" t="str">
        <f>"$ 670"</f>
        <v>$ 670</v>
      </c>
      <c r="F9431">
        <v>418</v>
      </c>
    </row>
    <row r="9432" spans="1:6">
      <c r="A9432" t="s">
        <v>9347</v>
      </c>
      <c r="B9432" t="str">
        <f t="shared" si="369"/>
        <v>0.00009%</v>
      </c>
      <c r="C9432" t="s">
        <v>10</v>
      </c>
      <c r="D9432" t="s">
        <v>10</v>
      </c>
      <c r="E9432" t="str">
        <f>"$ 665"</f>
        <v>$ 665</v>
      </c>
      <c r="F9432">
        <v>279</v>
      </c>
    </row>
    <row r="9433" spans="1:6">
      <c r="A9433" t="s">
        <v>9348</v>
      </c>
      <c r="B9433" t="str">
        <f t="shared" si="369"/>
        <v>0.00009%</v>
      </c>
      <c r="C9433" t="s">
        <v>10</v>
      </c>
      <c r="D9433" t="s">
        <v>10</v>
      </c>
      <c r="E9433" t="str">
        <f>"$ 730"</f>
        <v>$ 730</v>
      </c>
      <c r="F9433">
        <v>301</v>
      </c>
    </row>
    <row r="9434" spans="1:6">
      <c r="A9434" t="s">
        <v>9349</v>
      </c>
      <c r="B9434" t="str">
        <f t="shared" si="369"/>
        <v>0.00009%</v>
      </c>
      <c r="C9434" t="s">
        <v>10</v>
      </c>
      <c r="D9434" t="s">
        <v>10</v>
      </c>
      <c r="E9434" t="str">
        <f>"$ 721"</f>
        <v>$ 721</v>
      </c>
      <c r="F9434">
        <v>212</v>
      </c>
    </row>
    <row r="9435" spans="1:6">
      <c r="A9435" t="s">
        <v>9350</v>
      </c>
      <c r="B9435" t="str">
        <f t="shared" si="369"/>
        <v>0.00009%</v>
      </c>
      <c r="C9435" t="s">
        <v>10</v>
      </c>
      <c r="D9435" t="s">
        <v>10</v>
      </c>
      <c r="E9435" t="str">
        <f>"$ 726"</f>
        <v>$ 726</v>
      </c>
      <c r="F9435">
        <v>23</v>
      </c>
    </row>
    <row r="9436" spans="1:6">
      <c r="A9436" t="s">
        <v>9351</v>
      </c>
      <c r="B9436" t="str">
        <f t="shared" si="369"/>
        <v>0.00009%</v>
      </c>
      <c r="C9436" t="s">
        <v>10</v>
      </c>
      <c r="D9436" t="s">
        <v>10</v>
      </c>
      <c r="E9436" t="str">
        <f>"$ 726"</f>
        <v>$ 726</v>
      </c>
      <c r="F9436">
        <v>151</v>
      </c>
    </row>
    <row r="9437" spans="1:6">
      <c r="A9437" t="s">
        <v>9352</v>
      </c>
      <c r="B9437" t="str">
        <f t="shared" si="369"/>
        <v>0.00009%</v>
      </c>
      <c r="C9437" t="s">
        <v>10</v>
      </c>
      <c r="D9437" t="s">
        <v>10</v>
      </c>
      <c r="E9437" t="str">
        <f>"$ 734"</f>
        <v>$ 734</v>
      </c>
      <c r="F9437">
        <v>33</v>
      </c>
    </row>
    <row r="9438" spans="1:6">
      <c r="A9438" t="s">
        <v>9353</v>
      </c>
      <c r="B9438" t="str">
        <f t="shared" si="369"/>
        <v>0.00009%</v>
      </c>
      <c r="C9438" t="s">
        <v>10</v>
      </c>
      <c r="D9438" t="s">
        <v>10</v>
      </c>
      <c r="E9438" t="str">
        <f>"$ 663"</f>
        <v>$ 663</v>
      </c>
      <c r="F9438">
        <v>465</v>
      </c>
    </row>
    <row r="9439" spans="1:6">
      <c r="A9439" t="s">
        <v>9354</v>
      </c>
      <c r="B9439" t="str">
        <f t="shared" si="369"/>
        <v>0.00009%</v>
      </c>
      <c r="C9439" t="s">
        <v>10</v>
      </c>
      <c r="D9439" t="s">
        <v>10</v>
      </c>
      <c r="E9439" t="str">
        <f>"$ 673"</f>
        <v>$ 673</v>
      </c>
      <c r="F9439">
        <v>99</v>
      </c>
    </row>
    <row r="9440" spans="1:6">
      <c r="A9440" t="s">
        <v>9355</v>
      </c>
      <c r="B9440" t="str">
        <f t="shared" si="369"/>
        <v>0.00009%</v>
      </c>
      <c r="C9440" t="s">
        <v>10</v>
      </c>
      <c r="D9440" t="s">
        <v>10</v>
      </c>
      <c r="E9440" t="str">
        <f>"$ 703"</f>
        <v>$ 703</v>
      </c>
      <c r="F9440">
        <v>131</v>
      </c>
    </row>
    <row r="9441" spans="1:6">
      <c r="A9441" t="s">
        <v>9356</v>
      </c>
      <c r="B9441" t="str">
        <f t="shared" si="369"/>
        <v>0.00009%</v>
      </c>
      <c r="C9441" t="s">
        <v>10</v>
      </c>
      <c r="D9441" t="s">
        <v>10</v>
      </c>
      <c r="E9441" t="str">
        <f>"$ 694"</f>
        <v>$ 694</v>
      </c>
      <c r="F9441">
        <v>648</v>
      </c>
    </row>
    <row r="9442" spans="1:6">
      <c r="A9442" t="s">
        <v>9357</v>
      </c>
      <c r="B9442" t="str">
        <f t="shared" si="369"/>
        <v>0.00009%</v>
      </c>
      <c r="C9442" t="s">
        <v>10</v>
      </c>
      <c r="D9442" t="s">
        <v>10</v>
      </c>
      <c r="E9442" t="str">
        <f>"$ 689"</f>
        <v>$ 689</v>
      </c>
      <c r="F9442">
        <v>33</v>
      </c>
    </row>
    <row r="9443" spans="1:6">
      <c r="A9443" t="s">
        <v>9358</v>
      </c>
      <c r="B9443" t="str">
        <f t="shared" si="369"/>
        <v>0.00009%</v>
      </c>
      <c r="C9443" t="s">
        <v>10</v>
      </c>
      <c r="D9443" t="s">
        <v>10</v>
      </c>
      <c r="E9443" t="str">
        <f>"$ 732"</f>
        <v>$ 732</v>
      </c>
      <c r="F9443">
        <v>277</v>
      </c>
    </row>
    <row r="9444" spans="1:6">
      <c r="A9444" t="s">
        <v>9359</v>
      </c>
      <c r="B9444" t="str">
        <f t="shared" si="369"/>
        <v>0.00009%</v>
      </c>
      <c r="C9444" t="s">
        <v>10</v>
      </c>
      <c r="D9444" t="s">
        <v>10</v>
      </c>
      <c r="E9444" t="str">
        <f>"$ 668"</f>
        <v>$ 668</v>
      </c>
      <c r="F9444">
        <v>581</v>
      </c>
    </row>
    <row r="9445" spans="1:6">
      <c r="A9445" t="s">
        <v>9360</v>
      </c>
      <c r="B9445" t="str">
        <f t="shared" si="369"/>
        <v>0.00009%</v>
      </c>
      <c r="C9445" t="s">
        <v>10</v>
      </c>
      <c r="D9445" t="s">
        <v>10</v>
      </c>
      <c r="E9445" t="str">
        <f>"$ 676"</f>
        <v>$ 676</v>
      </c>
      <c r="F9445">
        <v>428</v>
      </c>
    </row>
    <row r="9446" spans="1:6">
      <c r="A9446" t="s">
        <v>9361</v>
      </c>
      <c r="B9446" t="str">
        <f t="shared" si="369"/>
        <v>0.00009%</v>
      </c>
      <c r="C9446" t="s">
        <v>10</v>
      </c>
      <c r="D9446" t="s">
        <v>10</v>
      </c>
      <c r="E9446" t="str">
        <f>"$ 713"</f>
        <v>$ 713</v>
      </c>
      <c r="F9446" s="1">
        <v>7731</v>
      </c>
    </row>
    <row r="9447" spans="1:6">
      <c r="A9447" t="s">
        <v>9362</v>
      </c>
      <c r="B9447" t="str">
        <f t="shared" si="369"/>
        <v>0.00009%</v>
      </c>
      <c r="C9447" t="s">
        <v>10</v>
      </c>
      <c r="D9447" t="s">
        <v>10</v>
      </c>
      <c r="E9447" t="str">
        <f>"$ 708"</f>
        <v>$ 708</v>
      </c>
      <c r="F9447" s="1">
        <v>12687</v>
      </c>
    </row>
    <row r="9448" spans="1:6">
      <c r="A9448" t="s">
        <v>9363</v>
      </c>
      <c r="B9448" t="str">
        <f t="shared" si="369"/>
        <v>0.00009%</v>
      </c>
      <c r="C9448" t="s">
        <v>10</v>
      </c>
      <c r="D9448" t="s">
        <v>10</v>
      </c>
      <c r="E9448" t="str">
        <f>"$ 716"</f>
        <v>$ 716</v>
      </c>
      <c r="F9448" s="1">
        <v>1653</v>
      </c>
    </row>
    <row r="9449" spans="1:6">
      <c r="A9449" t="s">
        <v>9364</v>
      </c>
      <c r="B9449" t="str">
        <f t="shared" si="369"/>
        <v>0.00009%</v>
      </c>
      <c r="C9449" t="s">
        <v>10</v>
      </c>
      <c r="D9449" t="s">
        <v>10</v>
      </c>
      <c r="E9449" t="str">
        <f>"$ 717"</f>
        <v>$ 717</v>
      </c>
      <c r="F9449">
        <v>49</v>
      </c>
    </row>
    <row r="9450" spans="1:6">
      <c r="A9450" t="s">
        <v>9365</v>
      </c>
      <c r="B9450" t="str">
        <f t="shared" si="369"/>
        <v>0.00009%</v>
      </c>
      <c r="C9450" t="s">
        <v>10</v>
      </c>
      <c r="D9450" t="s">
        <v>10</v>
      </c>
      <c r="E9450" t="str">
        <f>"$ 723"</f>
        <v>$ 723</v>
      </c>
      <c r="F9450">
        <v>99</v>
      </c>
    </row>
    <row r="9451" spans="1:6">
      <c r="A9451" t="s">
        <v>9366</v>
      </c>
      <c r="B9451" t="str">
        <f t="shared" ref="B9451:B9482" si="370">"0.00009%"</f>
        <v>0.00009%</v>
      </c>
      <c r="C9451" t="s">
        <v>10</v>
      </c>
      <c r="D9451" t="s">
        <v>10</v>
      </c>
      <c r="E9451" t="str">
        <f>"$ 705"</f>
        <v>$ 705</v>
      </c>
      <c r="F9451">
        <v>478</v>
      </c>
    </row>
    <row r="9452" spans="1:6">
      <c r="A9452" t="s">
        <v>9367</v>
      </c>
      <c r="B9452" t="str">
        <f t="shared" si="370"/>
        <v>0.00009%</v>
      </c>
      <c r="C9452" t="s">
        <v>10</v>
      </c>
      <c r="D9452" t="s">
        <v>10</v>
      </c>
      <c r="E9452" t="str">
        <f>"$ 696"</f>
        <v>$ 696</v>
      </c>
      <c r="F9452">
        <v>513</v>
      </c>
    </row>
    <row r="9453" spans="1:6">
      <c r="A9453" t="s">
        <v>9368</v>
      </c>
      <c r="B9453" t="str">
        <f t="shared" si="370"/>
        <v>0.00009%</v>
      </c>
      <c r="C9453" t="s">
        <v>10</v>
      </c>
      <c r="D9453" t="s">
        <v>10</v>
      </c>
      <c r="E9453" t="str">
        <f>"$ 674"</f>
        <v>$ 674</v>
      </c>
      <c r="F9453">
        <v>194</v>
      </c>
    </row>
    <row r="9454" spans="1:6">
      <c r="A9454" t="s">
        <v>9367</v>
      </c>
      <c r="B9454" t="str">
        <f t="shared" si="370"/>
        <v>0.00009%</v>
      </c>
      <c r="C9454" t="s">
        <v>10</v>
      </c>
      <c r="D9454" t="s">
        <v>10</v>
      </c>
      <c r="E9454" t="str">
        <f>"$ 656"</f>
        <v>$ 656</v>
      </c>
      <c r="F9454">
        <v>484</v>
      </c>
    </row>
    <row r="9455" spans="1:6">
      <c r="A9455" t="s">
        <v>9369</v>
      </c>
      <c r="B9455" t="str">
        <f t="shared" si="370"/>
        <v>0.00009%</v>
      </c>
      <c r="C9455" t="s">
        <v>10</v>
      </c>
      <c r="D9455" t="s">
        <v>10</v>
      </c>
      <c r="E9455" t="str">
        <f>"$ 719"</f>
        <v>$ 719</v>
      </c>
      <c r="F9455" s="1">
        <v>6908</v>
      </c>
    </row>
    <row r="9456" spans="1:6">
      <c r="A9456" t="s">
        <v>9370</v>
      </c>
      <c r="B9456" t="str">
        <f t="shared" si="370"/>
        <v>0.00009%</v>
      </c>
      <c r="C9456" t="s">
        <v>10</v>
      </c>
      <c r="D9456" t="s">
        <v>10</v>
      </c>
      <c r="E9456" t="str">
        <f>"$ 688"</f>
        <v>$ 688</v>
      </c>
      <c r="F9456">
        <v>81</v>
      </c>
    </row>
    <row r="9457" spans="1:6">
      <c r="A9457" t="s">
        <v>9371</v>
      </c>
      <c r="B9457" t="str">
        <f t="shared" si="370"/>
        <v>0.00009%</v>
      </c>
      <c r="C9457" t="s">
        <v>10</v>
      </c>
      <c r="D9457" t="s">
        <v>10</v>
      </c>
      <c r="E9457" t="str">
        <f>"$ 672"</f>
        <v>$ 672</v>
      </c>
      <c r="F9457">
        <v>173</v>
      </c>
    </row>
    <row r="9458" spans="1:6">
      <c r="A9458" t="s">
        <v>9372</v>
      </c>
      <c r="B9458" t="str">
        <f t="shared" si="370"/>
        <v>0.00009%</v>
      </c>
      <c r="C9458" t="s">
        <v>10</v>
      </c>
      <c r="D9458" t="s">
        <v>10</v>
      </c>
      <c r="E9458" t="str">
        <f>"$ 705"</f>
        <v>$ 705</v>
      </c>
      <c r="F9458">
        <v>33</v>
      </c>
    </row>
    <row r="9459" spans="1:6">
      <c r="A9459" t="s">
        <v>9373</v>
      </c>
      <c r="B9459" t="str">
        <f t="shared" si="370"/>
        <v>0.00009%</v>
      </c>
      <c r="C9459" t="s">
        <v>10</v>
      </c>
      <c r="D9459" t="s">
        <v>10</v>
      </c>
      <c r="E9459" t="str">
        <f>"$ 668"</f>
        <v>$ 668</v>
      </c>
      <c r="F9459" s="1">
        <v>1669</v>
      </c>
    </row>
    <row r="9460" spans="1:6">
      <c r="A9460" t="s">
        <v>9374</v>
      </c>
      <c r="B9460" t="str">
        <f t="shared" si="370"/>
        <v>0.00009%</v>
      </c>
      <c r="C9460" t="s">
        <v>10</v>
      </c>
      <c r="D9460" t="s">
        <v>10</v>
      </c>
      <c r="E9460" t="str">
        <f>"$ 662"</f>
        <v>$ 662</v>
      </c>
      <c r="F9460">
        <v>285</v>
      </c>
    </row>
    <row r="9461" spans="1:6">
      <c r="A9461" t="s">
        <v>9203</v>
      </c>
      <c r="B9461" t="str">
        <f t="shared" si="370"/>
        <v>0.00009%</v>
      </c>
      <c r="C9461" t="s">
        <v>10</v>
      </c>
      <c r="D9461" t="s">
        <v>10</v>
      </c>
      <c r="E9461" t="str">
        <f>"$ 671"</f>
        <v>$ 671</v>
      </c>
      <c r="F9461">
        <v>436</v>
      </c>
    </row>
    <row r="9462" spans="1:6">
      <c r="A9462" t="s">
        <v>9375</v>
      </c>
      <c r="B9462" t="str">
        <f t="shared" si="370"/>
        <v>0.00009%</v>
      </c>
      <c r="C9462" t="s">
        <v>10</v>
      </c>
      <c r="D9462" t="s">
        <v>10</v>
      </c>
      <c r="E9462" t="str">
        <f>"$ 687"</f>
        <v>$ 687</v>
      </c>
      <c r="F9462">
        <v>287</v>
      </c>
    </row>
    <row r="9463" spans="1:6">
      <c r="A9463" t="s">
        <v>9376</v>
      </c>
      <c r="B9463" t="str">
        <f t="shared" si="370"/>
        <v>0.00009%</v>
      </c>
      <c r="C9463" t="s">
        <v>10</v>
      </c>
      <c r="D9463" t="s">
        <v>10</v>
      </c>
      <c r="E9463" t="str">
        <f>"$ 674"</f>
        <v>$ 674</v>
      </c>
      <c r="F9463">
        <v>593</v>
      </c>
    </row>
    <row r="9464" spans="1:6">
      <c r="A9464" t="s">
        <v>9377</v>
      </c>
      <c r="B9464" t="str">
        <f t="shared" si="370"/>
        <v>0.00009%</v>
      </c>
      <c r="C9464" t="s">
        <v>10</v>
      </c>
      <c r="D9464" t="s">
        <v>10</v>
      </c>
      <c r="E9464" t="str">
        <f>"$ 678"</f>
        <v>$ 678</v>
      </c>
      <c r="F9464">
        <v>115</v>
      </c>
    </row>
    <row r="9465" spans="1:6">
      <c r="A9465" t="s">
        <v>9378</v>
      </c>
      <c r="B9465" t="str">
        <f t="shared" si="370"/>
        <v>0.00009%</v>
      </c>
      <c r="C9465" t="s">
        <v>10</v>
      </c>
      <c r="D9465" t="s">
        <v>10</v>
      </c>
      <c r="E9465" t="str">
        <f>"$ 708"</f>
        <v>$ 708</v>
      </c>
      <c r="F9465">
        <v>44</v>
      </c>
    </row>
    <row r="9466" spans="1:6">
      <c r="A9466" t="s">
        <v>6283</v>
      </c>
      <c r="B9466" t="str">
        <f t="shared" si="370"/>
        <v>0.00009%</v>
      </c>
      <c r="C9466" t="s">
        <v>10</v>
      </c>
      <c r="D9466" t="s">
        <v>10</v>
      </c>
      <c r="E9466" t="str">
        <f>"$ 701"</f>
        <v>$ 701</v>
      </c>
      <c r="F9466">
        <v>976</v>
      </c>
    </row>
    <row r="9467" spans="1:6">
      <c r="A9467" t="s">
        <v>9379</v>
      </c>
      <c r="B9467" t="str">
        <f t="shared" si="370"/>
        <v>0.00009%</v>
      </c>
      <c r="C9467" t="s">
        <v>10</v>
      </c>
      <c r="D9467" t="s">
        <v>10</v>
      </c>
      <c r="E9467" t="str">
        <f>"$ 730"</f>
        <v>$ 730</v>
      </c>
      <c r="F9467">
        <v>249</v>
      </c>
    </row>
    <row r="9468" spans="1:6">
      <c r="A9468" t="s">
        <v>9380</v>
      </c>
      <c r="B9468" t="str">
        <f t="shared" si="370"/>
        <v>0.00009%</v>
      </c>
      <c r="C9468" t="s">
        <v>10</v>
      </c>
      <c r="D9468" t="s">
        <v>10</v>
      </c>
      <c r="E9468" t="str">
        <f>"$ 718"</f>
        <v>$ 718</v>
      </c>
      <c r="F9468">
        <v>412</v>
      </c>
    </row>
    <row r="9469" spans="1:6">
      <c r="A9469" t="s">
        <v>9381</v>
      </c>
      <c r="B9469" t="str">
        <f t="shared" si="370"/>
        <v>0.00009%</v>
      </c>
      <c r="C9469" t="s">
        <v>10</v>
      </c>
      <c r="D9469" t="s">
        <v>10</v>
      </c>
      <c r="E9469" t="str">
        <f>"$ 719"</f>
        <v>$ 719</v>
      </c>
      <c r="F9469">
        <v>343</v>
      </c>
    </row>
    <row r="9470" spans="1:6">
      <c r="A9470" t="s">
        <v>9382</v>
      </c>
      <c r="B9470" t="str">
        <f t="shared" si="370"/>
        <v>0.00009%</v>
      </c>
      <c r="C9470" t="s">
        <v>10</v>
      </c>
      <c r="D9470" t="s">
        <v>10</v>
      </c>
      <c r="E9470" t="str">
        <f>"$ 729"</f>
        <v>$ 729</v>
      </c>
      <c r="F9470">
        <v>102</v>
      </c>
    </row>
    <row r="9471" spans="1:6">
      <c r="A9471" t="s">
        <v>9383</v>
      </c>
      <c r="B9471" t="str">
        <f t="shared" si="370"/>
        <v>0.00009%</v>
      </c>
      <c r="C9471" t="s">
        <v>10</v>
      </c>
      <c r="D9471" t="s">
        <v>10</v>
      </c>
      <c r="E9471" t="str">
        <f>"$ 729"</f>
        <v>$ 729</v>
      </c>
      <c r="F9471">
        <v>544</v>
      </c>
    </row>
    <row r="9472" spans="1:6">
      <c r="A9472" t="s">
        <v>9384</v>
      </c>
      <c r="B9472" t="str">
        <f t="shared" si="370"/>
        <v>0.00009%</v>
      </c>
      <c r="C9472" t="s">
        <v>10</v>
      </c>
      <c r="D9472" t="s">
        <v>10</v>
      </c>
      <c r="E9472" t="str">
        <f>"$ 719"</f>
        <v>$ 719</v>
      </c>
      <c r="F9472">
        <v>49</v>
      </c>
    </row>
    <row r="9473" spans="1:6">
      <c r="A9473" t="s">
        <v>9385</v>
      </c>
      <c r="B9473" t="str">
        <f t="shared" si="370"/>
        <v>0.00009%</v>
      </c>
      <c r="C9473" t="s">
        <v>10</v>
      </c>
      <c r="D9473" t="s">
        <v>10</v>
      </c>
      <c r="E9473" t="str">
        <f>"$ 719"</f>
        <v>$ 719</v>
      </c>
      <c r="F9473" s="1">
        <v>2078</v>
      </c>
    </row>
    <row r="9474" spans="1:6">
      <c r="A9474" t="s">
        <v>9386</v>
      </c>
      <c r="B9474" t="str">
        <f t="shared" si="370"/>
        <v>0.00009%</v>
      </c>
      <c r="C9474" t="s">
        <v>10</v>
      </c>
      <c r="D9474" t="s">
        <v>10</v>
      </c>
      <c r="E9474" t="str">
        <f>"$ 709"</f>
        <v>$ 709</v>
      </c>
      <c r="F9474">
        <v>369</v>
      </c>
    </row>
    <row r="9475" spans="1:6">
      <c r="A9475" t="s">
        <v>9387</v>
      </c>
      <c r="B9475" t="str">
        <f t="shared" si="370"/>
        <v>0.00009%</v>
      </c>
      <c r="C9475" t="s">
        <v>10</v>
      </c>
      <c r="D9475" t="s">
        <v>10</v>
      </c>
      <c r="E9475" t="str">
        <f>"$ 708"</f>
        <v>$ 708</v>
      </c>
      <c r="F9475">
        <v>278</v>
      </c>
    </row>
    <row r="9476" spans="1:6">
      <c r="A9476" t="s">
        <v>9388</v>
      </c>
      <c r="B9476" t="str">
        <f t="shared" si="370"/>
        <v>0.00009%</v>
      </c>
      <c r="C9476" t="s">
        <v>10</v>
      </c>
      <c r="D9476" t="s">
        <v>10</v>
      </c>
      <c r="E9476" t="str">
        <f>"$ 712"</f>
        <v>$ 712</v>
      </c>
      <c r="F9476">
        <v>270</v>
      </c>
    </row>
    <row r="9477" spans="1:6">
      <c r="A9477" t="s">
        <v>9389</v>
      </c>
      <c r="B9477" t="str">
        <f t="shared" si="370"/>
        <v>0.00009%</v>
      </c>
      <c r="C9477" t="s">
        <v>10</v>
      </c>
      <c r="D9477" t="s">
        <v>10</v>
      </c>
      <c r="E9477" t="str">
        <f>"$ 716"</f>
        <v>$ 716</v>
      </c>
      <c r="F9477">
        <v>16</v>
      </c>
    </row>
    <row r="9478" spans="1:6">
      <c r="A9478" t="s">
        <v>9390</v>
      </c>
      <c r="B9478" t="str">
        <f t="shared" si="370"/>
        <v>0.00009%</v>
      </c>
      <c r="C9478" t="s">
        <v>10</v>
      </c>
      <c r="D9478" t="s">
        <v>10</v>
      </c>
      <c r="E9478" t="str">
        <f>"$ 716"</f>
        <v>$ 716</v>
      </c>
      <c r="F9478">
        <v>343</v>
      </c>
    </row>
    <row r="9479" spans="1:6">
      <c r="A9479" t="s">
        <v>9391</v>
      </c>
      <c r="B9479" t="str">
        <f t="shared" si="370"/>
        <v>0.00009%</v>
      </c>
      <c r="C9479" t="s">
        <v>10</v>
      </c>
      <c r="D9479" t="s">
        <v>10</v>
      </c>
      <c r="E9479" t="str">
        <f>"$ 713"</f>
        <v>$ 713</v>
      </c>
      <c r="F9479">
        <v>26</v>
      </c>
    </row>
    <row r="9480" spans="1:6">
      <c r="A9480" t="s">
        <v>8355</v>
      </c>
      <c r="B9480" t="str">
        <f t="shared" si="370"/>
        <v>0.00009%</v>
      </c>
      <c r="C9480" t="s">
        <v>10</v>
      </c>
      <c r="D9480" t="s">
        <v>10</v>
      </c>
      <c r="E9480" t="str">
        <f>"$ 724"</f>
        <v>$ 724</v>
      </c>
      <c r="F9480">
        <v>130</v>
      </c>
    </row>
    <row r="9481" spans="1:6">
      <c r="A9481" t="s">
        <v>9392</v>
      </c>
      <c r="B9481" t="str">
        <f t="shared" si="370"/>
        <v>0.00009%</v>
      </c>
      <c r="C9481" t="s">
        <v>10</v>
      </c>
      <c r="D9481" t="s">
        <v>10</v>
      </c>
      <c r="E9481" t="str">
        <f>"$ 725"</f>
        <v>$ 725</v>
      </c>
      <c r="F9481">
        <v>134</v>
      </c>
    </row>
    <row r="9482" spans="1:6">
      <c r="A9482" t="s">
        <v>9393</v>
      </c>
      <c r="B9482" t="str">
        <f t="shared" si="370"/>
        <v>0.00009%</v>
      </c>
      <c r="C9482" t="s">
        <v>10</v>
      </c>
      <c r="D9482" t="s">
        <v>10</v>
      </c>
      <c r="E9482" t="str">
        <f>"$ 678"</f>
        <v>$ 678</v>
      </c>
      <c r="F9482">
        <v>641</v>
      </c>
    </row>
    <row r="9483" spans="1:6">
      <c r="A9483" t="s">
        <v>9394</v>
      </c>
      <c r="B9483" t="str">
        <f t="shared" ref="B9483:B9514" si="371">"0.00009%"</f>
        <v>0.00009%</v>
      </c>
      <c r="C9483" t="s">
        <v>10</v>
      </c>
      <c r="D9483" t="s">
        <v>10</v>
      </c>
      <c r="E9483" t="str">
        <f>"$ 670"</f>
        <v>$ 670</v>
      </c>
      <c r="F9483">
        <v>50</v>
      </c>
    </row>
    <row r="9484" spans="1:6">
      <c r="A9484" t="s">
        <v>9395</v>
      </c>
      <c r="B9484" t="str">
        <f t="shared" si="371"/>
        <v>0.00009%</v>
      </c>
      <c r="C9484" t="s">
        <v>10</v>
      </c>
      <c r="D9484" t="s">
        <v>10</v>
      </c>
      <c r="E9484" t="str">
        <f>"$ 693"</f>
        <v>$ 693</v>
      </c>
      <c r="F9484">
        <v>68</v>
      </c>
    </row>
    <row r="9485" spans="1:6">
      <c r="A9485" t="s">
        <v>9396</v>
      </c>
      <c r="B9485" t="str">
        <f t="shared" si="371"/>
        <v>0.00009%</v>
      </c>
      <c r="C9485" t="s">
        <v>10</v>
      </c>
      <c r="D9485" t="s">
        <v>10</v>
      </c>
      <c r="E9485" t="str">
        <f>"$ 697"</f>
        <v>$ 697</v>
      </c>
      <c r="F9485">
        <v>33</v>
      </c>
    </row>
    <row r="9486" spans="1:6">
      <c r="A9486" t="s">
        <v>9397</v>
      </c>
      <c r="B9486" t="str">
        <f t="shared" si="371"/>
        <v>0.00009%</v>
      </c>
      <c r="C9486" t="s">
        <v>10</v>
      </c>
      <c r="D9486" t="s">
        <v>10</v>
      </c>
      <c r="E9486" t="str">
        <f>"$ 708"</f>
        <v>$ 708</v>
      </c>
      <c r="F9486" s="1">
        <v>1275</v>
      </c>
    </row>
    <row r="9487" spans="1:6">
      <c r="A9487" t="s">
        <v>9398</v>
      </c>
      <c r="B9487" t="str">
        <f t="shared" si="371"/>
        <v>0.00009%</v>
      </c>
      <c r="C9487" t="s">
        <v>10</v>
      </c>
      <c r="D9487" t="s">
        <v>10</v>
      </c>
      <c r="E9487" t="str">
        <f>"$ 702"</f>
        <v>$ 702</v>
      </c>
      <c r="F9487" s="1">
        <v>1176</v>
      </c>
    </row>
    <row r="9488" spans="1:6">
      <c r="A9488" t="s">
        <v>9399</v>
      </c>
      <c r="B9488" t="str">
        <f t="shared" si="371"/>
        <v>0.00009%</v>
      </c>
      <c r="C9488" t="s">
        <v>10</v>
      </c>
      <c r="D9488" t="s">
        <v>10</v>
      </c>
      <c r="E9488" t="str">
        <f>"$ 668"</f>
        <v>$ 668</v>
      </c>
      <c r="F9488">
        <v>259</v>
      </c>
    </row>
    <row r="9489" spans="1:6">
      <c r="A9489" t="s">
        <v>9400</v>
      </c>
      <c r="B9489" t="str">
        <f t="shared" si="371"/>
        <v>0.00009%</v>
      </c>
      <c r="C9489" t="s">
        <v>10</v>
      </c>
      <c r="D9489" t="s">
        <v>10</v>
      </c>
      <c r="E9489" t="str">
        <f>"$ 668"</f>
        <v>$ 668</v>
      </c>
      <c r="F9489" s="1">
        <v>4295</v>
      </c>
    </row>
    <row r="9490" spans="1:6">
      <c r="A9490" t="s">
        <v>9401</v>
      </c>
      <c r="B9490" t="str">
        <f t="shared" si="371"/>
        <v>0.00009%</v>
      </c>
      <c r="C9490" t="s">
        <v>10</v>
      </c>
      <c r="D9490" t="s">
        <v>10</v>
      </c>
      <c r="E9490" t="str">
        <f>"$ 671"</f>
        <v>$ 671</v>
      </c>
      <c r="F9490">
        <v>16</v>
      </c>
    </row>
    <row r="9491" spans="1:6">
      <c r="A9491" t="s">
        <v>9402</v>
      </c>
      <c r="B9491" t="str">
        <f t="shared" si="371"/>
        <v>0.00009%</v>
      </c>
      <c r="C9491" t="s">
        <v>10</v>
      </c>
      <c r="D9491" t="s">
        <v>10</v>
      </c>
      <c r="E9491" t="str">
        <f>"$ 689"</f>
        <v>$ 689</v>
      </c>
      <c r="F9491">
        <v>308</v>
      </c>
    </row>
    <row r="9492" spans="1:6">
      <c r="A9492" t="s">
        <v>9226</v>
      </c>
      <c r="B9492" t="str">
        <f t="shared" si="371"/>
        <v>0.00009%</v>
      </c>
      <c r="C9492" t="s">
        <v>10</v>
      </c>
      <c r="D9492" t="s">
        <v>10</v>
      </c>
      <c r="E9492" t="str">
        <f>"$ 659"</f>
        <v>$ 659</v>
      </c>
      <c r="F9492">
        <v>232</v>
      </c>
    </row>
    <row r="9493" spans="1:6">
      <c r="A9493" t="s">
        <v>9403</v>
      </c>
      <c r="B9493" t="str">
        <f t="shared" si="371"/>
        <v>0.00009%</v>
      </c>
      <c r="C9493" t="s">
        <v>10</v>
      </c>
      <c r="D9493" t="s">
        <v>10</v>
      </c>
      <c r="E9493" t="str">
        <f>"$ 684"</f>
        <v>$ 684</v>
      </c>
      <c r="F9493">
        <v>90</v>
      </c>
    </row>
    <row r="9494" spans="1:6">
      <c r="A9494" t="s">
        <v>9404</v>
      </c>
      <c r="B9494" t="str">
        <f t="shared" si="371"/>
        <v>0.00009%</v>
      </c>
      <c r="C9494" t="s">
        <v>10</v>
      </c>
      <c r="D9494" t="s">
        <v>10</v>
      </c>
      <c r="E9494" t="str">
        <f>"$ 699"</f>
        <v>$ 699</v>
      </c>
      <c r="F9494">
        <v>244</v>
      </c>
    </row>
    <row r="9495" spans="1:6">
      <c r="A9495" t="s">
        <v>9405</v>
      </c>
      <c r="B9495" t="str">
        <f t="shared" si="371"/>
        <v>0.00009%</v>
      </c>
      <c r="C9495" t="s">
        <v>10</v>
      </c>
      <c r="D9495" t="s">
        <v>10</v>
      </c>
      <c r="E9495" t="str">
        <f>"$ 702"</f>
        <v>$ 702</v>
      </c>
      <c r="F9495">
        <v>149</v>
      </c>
    </row>
    <row r="9496" spans="1:6">
      <c r="A9496" t="s">
        <v>9406</v>
      </c>
      <c r="B9496" t="str">
        <f t="shared" si="371"/>
        <v>0.00009%</v>
      </c>
      <c r="C9496" t="s">
        <v>10</v>
      </c>
      <c r="D9496" t="s">
        <v>10</v>
      </c>
      <c r="E9496" t="str">
        <f>"$ 708"</f>
        <v>$ 708</v>
      </c>
      <c r="F9496">
        <v>271</v>
      </c>
    </row>
    <row r="9497" spans="1:6">
      <c r="A9497" t="s">
        <v>9407</v>
      </c>
      <c r="B9497" t="str">
        <f t="shared" si="371"/>
        <v>0.00009%</v>
      </c>
      <c r="C9497" t="s">
        <v>10</v>
      </c>
      <c r="D9497" t="s">
        <v>10</v>
      </c>
      <c r="E9497" t="str">
        <f>"$ 730"</f>
        <v>$ 730</v>
      </c>
      <c r="F9497">
        <v>419</v>
      </c>
    </row>
    <row r="9498" spans="1:6">
      <c r="A9498" t="s">
        <v>9408</v>
      </c>
      <c r="B9498" t="str">
        <f t="shared" si="371"/>
        <v>0.00009%</v>
      </c>
      <c r="C9498" t="s">
        <v>10</v>
      </c>
      <c r="D9498" t="s">
        <v>10</v>
      </c>
      <c r="E9498" t="str">
        <f>"$ 718"</f>
        <v>$ 718</v>
      </c>
      <c r="F9498">
        <v>523</v>
      </c>
    </row>
    <row r="9499" spans="1:6">
      <c r="A9499" t="s">
        <v>8616</v>
      </c>
      <c r="B9499" t="str">
        <f t="shared" si="371"/>
        <v>0.00009%</v>
      </c>
      <c r="C9499" t="s">
        <v>10</v>
      </c>
      <c r="D9499" t="s">
        <v>10</v>
      </c>
      <c r="E9499" t="str">
        <f>"$ 698"</f>
        <v>$ 698</v>
      </c>
      <c r="F9499">
        <v>134</v>
      </c>
    </row>
    <row r="9500" spans="1:6">
      <c r="A9500" t="s">
        <v>9409</v>
      </c>
      <c r="B9500" t="str">
        <f t="shared" si="371"/>
        <v>0.00009%</v>
      </c>
      <c r="C9500" t="s">
        <v>10</v>
      </c>
      <c r="D9500" t="s">
        <v>10</v>
      </c>
      <c r="E9500" t="str">
        <f>"$ 657"</f>
        <v>$ 657</v>
      </c>
      <c r="F9500">
        <v>67</v>
      </c>
    </row>
    <row r="9501" spans="1:6">
      <c r="A9501" t="s">
        <v>9410</v>
      </c>
      <c r="B9501" t="str">
        <f t="shared" si="371"/>
        <v>0.00009%</v>
      </c>
      <c r="C9501" t="s">
        <v>10</v>
      </c>
      <c r="D9501" t="s">
        <v>10</v>
      </c>
      <c r="E9501" t="str">
        <f>"$ 728"</f>
        <v>$ 728</v>
      </c>
      <c r="F9501" s="1">
        <v>1659</v>
      </c>
    </row>
    <row r="9502" spans="1:6">
      <c r="A9502" t="s">
        <v>9411</v>
      </c>
      <c r="B9502" t="str">
        <f t="shared" si="371"/>
        <v>0.00009%</v>
      </c>
      <c r="C9502" t="s">
        <v>10</v>
      </c>
      <c r="D9502" t="s">
        <v>10</v>
      </c>
      <c r="E9502" t="str">
        <f>"$ 718"</f>
        <v>$ 718</v>
      </c>
      <c r="F9502">
        <v>160</v>
      </c>
    </row>
    <row r="9503" spans="1:6">
      <c r="A9503" t="s">
        <v>9412</v>
      </c>
      <c r="B9503" t="str">
        <f t="shared" si="371"/>
        <v>0.00009%</v>
      </c>
      <c r="C9503" t="s">
        <v>10</v>
      </c>
      <c r="D9503" t="s">
        <v>10</v>
      </c>
      <c r="E9503" t="str">
        <f>"$ 729"</f>
        <v>$ 729</v>
      </c>
      <c r="F9503">
        <v>236</v>
      </c>
    </row>
    <row r="9504" spans="1:6">
      <c r="A9504" t="s">
        <v>9413</v>
      </c>
      <c r="B9504" t="str">
        <f t="shared" si="371"/>
        <v>0.00009%</v>
      </c>
      <c r="C9504" t="s">
        <v>10</v>
      </c>
      <c r="D9504" t="s">
        <v>10</v>
      </c>
      <c r="E9504" t="str">
        <f>"$ 698"</f>
        <v>$ 698</v>
      </c>
      <c r="F9504">
        <v>293</v>
      </c>
    </row>
    <row r="9505" spans="1:6">
      <c r="A9505" t="s">
        <v>8234</v>
      </c>
      <c r="B9505" t="str">
        <f t="shared" si="371"/>
        <v>0.00009%</v>
      </c>
      <c r="C9505" t="s">
        <v>10</v>
      </c>
      <c r="D9505" t="s">
        <v>10</v>
      </c>
      <c r="E9505" t="str">
        <f>"$ 676"</f>
        <v>$ 676</v>
      </c>
      <c r="F9505">
        <v>91</v>
      </c>
    </row>
    <row r="9506" spans="1:6">
      <c r="A9506" t="s">
        <v>9414</v>
      </c>
      <c r="B9506" t="str">
        <f t="shared" si="371"/>
        <v>0.00009%</v>
      </c>
      <c r="C9506" t="s">
        <v>10</v>
      </c>
      <c r="D9506" t="s">
        <v>10</v>
      </c>
      <c r="E9506" t="str">
        <f>"$ 726"</f>
        <v>$ 726</v>
      </c>
      <c r="F9506" s="1">
        <v>53609</v>
      </c>
    </row>
    <row r="9507" spans="1:6">
      <c r="A9507" t="s">
        <v>9415</v>
      </c>
      <c r="B9507" t="str">
        <f t="shared" si="371"/>
        <v>0.00009%</v>
      </c>
      <c r="C9507" t="s">
        <v>10</v>
      </c>
      <c r="D9507" t="s">
        <v>10</v>
      </c>
      <c r="E9507" t="str">
        <f>"$ 684"</f>
        <v>$ 684</v>
      </c>
      <c r="F9507">
        <v>931</v>
      </c>
    </row>
    <row r="9508" spans="1:6">
      <c r="A9508" t="s">
        <v>9416</v>
      </c>
      <c r="B9508" t="str">
        <f t="shared" si="371"/>
        <v>0.00009%</v>
      </c>
      <c r="C9508" t="s">
        <v>10</v>
      </c>
      <c r="D9508" t="s">
        <v>10</v>
      </c>
      <c r="E9508" t="str">
        <f>"$ 716"</f>
        <v>$ 716</v>
      </c>
      <c r="F9508">
        <v>108</v>
      </c>
    </row>
    <row r="9509" spans="1:6">
      <c r="A9509" t="s">
        <v>9417</v>
      </c>
      <c r="B9509" t="str">
        <f t="shared" si="371"/>
        <v>0.00009%</v>
      </c>
      <c r="C9509" t="s">
        <v>10</v>
      </c>
      <c r="D9509" t="s">
        <v>10</v>
      </c>
      <c r="E9509" t="str">
        <f>"$ 671"</f>
        <v>$ 671</v>
      </c>
      <c r="F9509">
        <v>225</v>
      </c>
    </row>
    <row r="9510" spans="1:6">
      <c r="A9510" t="s">
        <v>9418</v>
      </c>
      <c r="B9510" t="str">
        <f t="shared" si="371"/>
        <v>0.00009%</v>
      </c>
      <c r="C9510" t="s">
        <v>10</v>
      </c>
      <c r="D9510" t="s">
        <v>10</v>
      </c>
      <c r="E9510" t="str">
        <f>"$ 661"</f>
        <v>$ 661</v>
      </c>
      <c r="F9510">
        <v>33</v>
      </c>
    </row>
    <row r="9511" spans="1:6">
      <c r="A9511" t="s">
        <v>9419</v>
      </c>
      <c r="B9511" t="str">
        <f t="shared" si="371"/>
        <v>0.00009%</v>
      </c>
      <c r="C9511" t="s">
        <v>10</v>
      </c>
      <c r="D9511" t="s">
        <v>10</v>
      </c>
      <c r="E9511" t="str">
        <f>"$ 716"</f>
        <v>$ 716</v>
      </c>
      <c r="F9511">
        <v>403</v>
      </c>
    </row>
    <row r="9512" spans="1:6">
      <c r="A9512" t="s">
        <v>9420</v>
      </c>
      <c r="B9512" t="str">
        <f t="shared" si="371"/>
        <v>0.00009%</v>
      </c>
      <c r="C9512" t="s">
        <v>10</v>
      </c>
      <c r="D9512" t="s">
        <v>10</v>
      </c>
      <c r="E9512" t="str">
        <f>"$ 704"</f>
        <v>$ 704</v>
      </c>
      <c r="F9512">
        <v>434</v>
      </c>
    </row>
    <row r="9513" spans="1:6">
      <c r="A9513" t="s">
        <v>9421</v>
      </c>
      <c r="B9513" t="str">
        <f t="shared" si="371"/>
        <v>0.00009%</v>
      </c>
      <c r="C9513" t="s">
        <v>10</v>
      </c>
      <c r="D9513" t="s">
        <v>10</v>
      </c>
      <c r="E9513" t="str">
        <f>"$ 702"</f>
        <v>$ 702</v>
      </c>
      <c r="F9513">
        <v>213</v>
      </c>
    </row>
    <row r="9514" spans="1:6">
      <c r="A9514" t="s">
        <v>9422</v>
      </c>
      <c r="B9514" t="str">
        <f t="shared" si="371"/>
        <v>0.00009%</v>
      </c>
      <c r="C9514" t="s">
        <v>10</v>
      </c>
      <c r="D9514" t="s">
        <v>10</v>
      </c>
      <c r="E9514" t="str">
        <f>"$ 679"</f>
        <v>$ 679</v>
      </c>
      <c r="F9514">
        <v>271</v>
      </c>
    </row>
    <row r="9515" spans="1:6">
      <c r="A9515" t="s">
        <v>9423</v>
      </c>
      <c r="B9515" t="str">
        <f t="shared" ref="B9515:B9546" si="372">"0.00009%"</f>
        <v>0.00009%</v>
      </c>
      <c r="C9515" t="s">
        <v>10</v>
      </c>
      <c r="D9515" t="s">
        <v>10</v>
      </c>
      <c r="E9515" t="str">
        <f>"$ 701"</f>
        <v>$ 701</v>
      </c>
      <c r="F9515">
        <v>34</v>
      </c>
    </row>
    <row r="9516" spans="1:6">
      <c r="A9516" t="s">
        <v>9424</v>
      </c>
      <c r="B9516" t="str">
        <f t="shared" si="372"/>
        <v>0.00009%</v>
      </c>
      <c r="C9516" t="s">
        <v>10</v>
      </c>
      <c r="D9516" t="s">
        <v>10</v>
      </c>
      <c r="E9516" t="str">
        <f>"$ 670"</f>
        <v>$ 670</v>
      </c>
      <c r="F9516">
        <v>732</v>
      </c>
    </row>
    <row r="9517" spans="1:6">
      <c r="A9517" t="s">
        <v>9425</v>
      </c>
      <c r="B9517" t="str">
        <f t="shared" si="372"/>
        <v>0.00009%</v>
      </c>
      <c r="C9517" t="s">
        <v>10</v>
      </c>
      <c r="D9517" t="s">
        <v>10</v>
      </c>
      <c r="E9517" t="str">
        <f>"$ 719"</f>
        <v>$ 719</v>
      </c>
      <c r="F9517">
        <v>228</v>
      </c>
    </row>
    <row r="9518" spans="1:6">
      <c r="A9518" t="s">
        <v>9426</v>
      </c>
      <c r="B9518" t="str">
        <f t="shared" si="372"/>
        <v>0.00009%</v>
      </c>
      <c r="C9518" t="s">
        <v>10</v>
      </c>
      <c r="D9518" t="s">
        <v>10</v>
      </c>
      <c r="E9518" t="str">
        <f>"$ 727"</f>
        <v>$ 727</v>
      </c>
      <c r="F9518">
        <v>201</v>
      </c>
    </row>
    <row r="9519" spans="1:6">
      <c r="A9519" t="s">
        <v>9427</v>
      </c>
      <c r="B9519" t="str">
        <f t="shared" si="372"/>
        <v>0.00009%</v>
      </c>
      <c r="C9519" t="s">
        <v>10</v>
      </c>
      <c r="D9519" t="s">
        <v>10</v>
      </c>
      <c r="E9519" t="str">
        <f>"$ 701"</f>
        <v>$ 701</v>
      </c>
      <c r="F9519">
        <v>71</v>
      </c>
    </row>
    <row r="9520" spans="1:6">
      <c r="A9520" t="s">
        <v>9428</v>
      </c>
      <c r="B9520" t="str">
        <f t="shared" si="372"/>
        <v>0.00009%</v>
      </c>
      <c r="C9520" t="s">
        <v>10</v>
      </c>
      <c r="D9520" t="s">
        <v>10</v>
      </c>
      <c r="E9520" t="str">
        <f>"$ 697"</f>
        <v>$ 697</v>
      </c>
      <c r="F9520">
        <v>135</v>
      </c>
    </row>
    <row r="9521" spans="1:6">
      <c r="A9521" t="s">
        <v>9429</v>
      </c>
      <c r="B9521" t="str">
        <f t="shared" si="372"/>
        <v>0.00009%</v>
      </c>
      <c r="C9521" t="s">
        <v>10</v>
      </c>
      <c r="D9521" t="s">
        <v>10</v>
      </c>
      <c r="E9521" t="str">
        <f>"$ 711"</f>
        <v>$ 711</v>
      </c>
      <c r="F9521">
        <v>20</v>
      </c>
    </row>
    <row r="9522" spans="1:6">
      <c r="A9522" t="s">
        <v>9430</v>
      </c>
      <c r="B9522" t="str">
        <f t="shared" si="372"/>
        <v>0.00009%</v>
      </c>
      <c r="C9522" t="s">
        <v>10</v>
      </c>
      <c r="D9522" t="s">
        <v>10</v>
      </c>
      <c r="E9522" t="str">
        <f>"$ 710"</f>
        <v>$ 710</v>
      </c>
      <c r="F9522">
        <v>63</v>
      </c>
    </row>
    <row r="9523" spans="1:6">
      <c r="A9523" t="s">
        <v>9431</v>
      </c>
      <c r="B9523" t="str">
        <f t="shared" si="372"/>
        <v>0.00009%</v>
      </c>
      <c r="C9523" t="s">
        <v>10</v>
      </c>
      <c r="D9523" t="s">
        <v>10</v>
      </c>
      <c r="E9523" t="str">
        <f>"$ 663"</f>
        <v>$ 663</v>
      </c>
      <c r="F9523">
        <v>80</v>
      </c>
    </row>
    <row r="9524" spans="1:6">
      <c r="A9524" t="s">
        <v>9432</v>
      </c>
      <c r="B9524" t="str">
        <f t="shared" si="372"/>
        <v>0.00009%</v>
      </c>
      <c r="C9524" t="s">
        <v>10</v>
      </c>
      <c r="D9524" t="s">
        <v>10</v>
      </c>
      <c r="E9524" t="str">
        <f>"$ 679"</f>
        <v>$ 679</v>
      </c>
      <c r="F9524">
        <v>60</v>
      </c>
    </row>
    <row r="9525" spans="1:6">
      <c r="A9525" t="s">
        <v>7560</v>
      </c>
      <c r="B9525" t="str">
        <f t="shared" si="372"/>
        <v>0.00009%</v>
      </c>
      <c r="C9525" t="s">
        <v>10</v>
      </c>
      <c r="D9525" t="s">
        <v>10</v>
      </c>
      <c r="E9525" t="str">
        <f>"$ 684"</f>
        <v>$ 684</v>
      </c>
      <c r="F9525">
        <v>360</v>
      </c>
    </row>
    <row r="9526" spans="1:6">
      <c r="A9526" t="s">
        <v>9433</v>
      </c>
      <c r="B9526" t="str">
        <f t="shared" si="372"/>
        <v>0.00009%</v>
      </c>
      <c r="C9526" t="s">
        <v>10</v>
      </c>
      <c r="D9526" t="s">
        <v>10</v>
      </c>
      <c r="E9526" t="str">
        <f>"$ 683"</f>
        <v>$ 683</v>
      </c>
      <c r="F9526">
        <v>616</v>
      </c>
    </row>
    <row r="9527" spans="1:6">
      <c r="A9527" t="s">
        <v>9434</v>
      </c>
      <c r="B9527" t="str">
        <f t="shared" si="372"/>
        <v>0.00009%</v>
      </c>
      <c r="C9527" t="s">
        <v>10</v>
      </c>
      <c r="D9527" t="s">
        <v>10</v>
      </c>
      <c r="E9527" t="str">
        <f>"$ 688"</f>
        <v>$ 688</v>
      </c>
      <c r="F9527">
        <v>190</v>
      </c>
    </row>
    <row r="9528" spans="1:6">
      <c r="A9528" t="s">
        <v>9435</v>
      </c>
      <c r="B9528" t="str">
        <f t="shared" si="372"/>
        <v>0.00009%</v>
      </c>
      <c r="C9528" t="s">
        <v>10</v>
      </c>
      <c r="D9528" t="s">
        <v>10</v>
      </c>
      <c r="E9528" t="str">
        <f>"$ 710"</f>
        <v>$ 710</v>
      </c>
      <c r="F9528">
        <v>259</v>
      </c>
    </row>
    <row r="9529" spans="1:6">
      <c r="A9529" t="s">
        <v>9436</v>
      </c>
      <c r="B9529" t="str">
        <f t="shared" si="372"/>
        <v>0.00009%</v>
      </c>
      <c r="C9529" t="s">
        <v>10</v>
      </c>
      <c r="D9529" t="s">
        <v>10</v>
      </c>
      <c r="E9529" t="str">
        <f>"$ 697"</f>
        <v>$ 697</v>
      </c>
      <c r="F9529">
        <v>276</v>
      </c>
    </row>
    <row r="9530" spans="1:6">
      <c r="A9530" t="s">
        <v>9437</v>
      </c>
      <c r="B9530" t="str">
        <f t="shared" si="372"/>
        <v>0.00009%</v>
      </c>
      <c r="C9530" t="s">
        <v>10</v>
      </c>
      <c r="D9530" t="s">
        <v>10</v>
      </c>
      <c r="E9530" t="str">
        <f>"$ 691"</f>
        <v>$ 691</v>
      </c>
      <c r="F9530" s="1">
        <v>1075</v>
      </c>
    </row>
    <row r="9531" spans="1:6">
      <c r="A9531" t="s">
        <v>9438</v>
      </c>
      <c r="B9531" t="str">
        <f t="shared" si="372"/>
        <v>0.00009%</v>
      </c>
      <c r="C9531" t="s">
        <v>10</v>
      </c>
      <c r="D9531" t="s">
        <v>10</v>
      </c>
      <c r="E9531" t="str">
        <f>"$ 704"</f>
        <v>$ 704</v>
      </c>
      <c r="F9531">
        <v>657</v>
      </c>
    </row>
    <row r="9532" spans="1:6">
      <c r="A9532" t="s">
        <v>9439</v>
      </c>
      <c r="B9532" t="str">
        <f t="shared" si="372"/>
        <v>0.00009%</v>
      </c>
      <c r="C9532" t="s">
        <v>10</v>
      </c>
      <c r="D9532" t="s">
        <v>10</v>
      </c>
      <c r="E9532" t="str">
        <f>"$ 705"</f>
        <v>$ 705</v>
      </c>
      <c r="F9532">
        <v>220</v>
      </c>
    </row>
    <row r="9533" spans="1:6">
      <c r="A9533" t="s">
        <v>9440</v>
      </c>
      <c r="B9533" t="str">
        <f t="shared" si="372"/>
        <v>0.00009%</v>
      </c>
      <c r="C9533" t="s">
        <v>10</v>
      </c>
      <c r="D9533" t="s">
        <v>10</v>
      </c>
      <c r="E9533" t="str">
        <f>"$ 709"</f>
        <v>$ 709</v>
      </c>
      <c r="F9533">
        <v>196</v>
      </c>
    </row>
    <row r="9534" spans="1:6">
      <c r="A9534" t="s">
        <v>9441</v>
      </c>
      <c r="B9534" t="str">
        <f t="shared" si="372"/>
        <v>0.00009%</v>
      </c>
      <c r="C9534" t="s">
        <v>10</v>
      </c>
      <c r="D9534" t="s">
        <v>10</v>
      </c>
      <c r="E9534" t="str">
        <f>"$ 727"</f>
        <v>$ 727</v>
      </c>
      <c r="F9534">
        <v>309</v>
      </c>
    </row>
    <row r="9535" spans="1:6">
      <c r="A9535" t="s">
        <v>9442</v>
      </c>
      <c r="B9535" t="str">
        <f t="shared" si="372"/>
        <v>0.00009%</v>
      </c>
      <c r="C9535" t="s">
        <v>10</v>
      </c>
      <c r="D9535" t="s">
        <v>10</v>
      </c>
      <c r="E9535" t="str">
        <f>"$ 712"</f>
        <v>$ 712</v>
      </c>
      <c r="F9535">
        <v>472</v>
      </c>
    </row>
    <row r="9536" spans="1:6">
      <c r="A9536" t="s">
        <v>9443</v>
      </c>
      <c r="B9536" t="str">
        <f t="shared" si="372"/>
        <v>0.00009%</v>
      </c>
      <c r="C9536" t="s">
        <v>10</v>
      </c>
      <c r="D9536" t="s">
        <v>10</v>
      </c>
      <c r="E9536" t="str">
        <f>"$ 721"</f>
        <v>$ 721</v>
      </c>
      <c r="F9536">
        <v>793</v>
      </c>
    </row>
    <row r="9537" spans="1:6">
      <c r="A9537" t="s">
        <v>9444</v>
      </c>
      <c r="B9537" t="str">
        <f t="shared" si="372"/>
        <v>0.00009%</v>
      </c>
      <c r="C9537" t="s">
        <v>10</v>
      </c>
      <c r="D9537" t="s">
        <v>10</v>
      </c>
      <c r="E9537" t="str">
        <f>"$ 722"</f>
        <v>$ 722</v>
      </c>
      <c r="F9537">
        <v>33</v>
      </c>
    </row>
    <row r="9538" spans="1:6">
      <c r="A9538" t="s">
        <v>9445</v>
      </c>
      <c r="B9538" t="str">
        <f t="shared" si="372"/>
        <v>0.00009%</v>
      </c>
      <c r="C9538" t="s">
        <v>10</v>
      </c>
      <c r="D9538" t="s">
        <v>10</v>
      </c>
      <c r="E9538" t="str">
        <f>"$ 700"</f>
        <v>$ 700</v>
      </c>
      <c r="F9538">
        <v>73</v>
      </c>
    </row>
    <row r="9539" spans="1:6">
      <c r="A9539" t="s">
        <v>9446</v>
      </c>
      <c r="B9539" t="str">
        <f t="shared" si="372"/>
        <v>0.00009%</v>
      </c>
      <c r="C9539" t="s">
        <v>10</v>
      </c>
      <c r="D9539" t="s">
        <v>10</v>
      </c>
      <c r="E9539" t="str">
        <f>"$ 726"</f>
        <v>$ 726</v>
      </c>
      <c r="F9539">
        <v>257</v>
      </c>
    </row>
    <row r="9540" spans="1:6">
      <c r="A9540" t="s">
        <v>9447</v>
      </c>
      <c r="B9540" t="str">
        <f t="shared" si="372"/>
        <v>0.00009%</v>
      </c>
      <c r="C9540" t="s">
        <v>10</v>
      </c>
      <c r="D9540" t="s">
        <v>10</v>
      </c>
      <c r="E9540" t="str">
        <f>"$ 674"</f>
        <v>$ 674</v>
      </c>
      <c r="F9540">
        <v>324</v>
      </c>
    </row>
    <row r="9541" spans="1:6">
      <c r="A9541" t="s">
        <v>9448</v>
      </c>
      <c r="B9541" t="str">
        <f t="shared" si="372"/>
        <v>0.00009%</v>
      </c>
      <c r="C9541" t="s">
        <v>10</v>
      </c>
      <c r="D9541" t="s">
        <v>10</v>
      </c>
      <c r="E9541" t="str">
        <f>"$ 710"</f>
        <v>$ 710</v>
      </c>
      <c r="F9541">
        <v>633</v>
      </c>
    </row>
    <row r="9542" spans="1:6">
      <c r="A9542" t="s">
        <v>9449</v>
      </c>
      <c r="B9542" t="str">
        <f t="shared" si="372"/>
        <v>0.00009%</v>
      </c>
      <c r="C9542" t="s">
        <v>10</v>
      </c>
      <c r="D9542" t="s">
        <v>10</v>
      </c>
      <c r="E9542" t="str">
        <f>"$ 668"</f>
        <v>$ 668</v>
      </c>
      <c r="F9542">
        <v>85</v>
      </c>
    </row>
    <row r="9543" spans="1:6">
      <c r="A9543" t="s">
        <v>9450</v>
      </c>
      <c r="B9543" t="str">
        <f t="shared" si="372"/>
        <v>0.00009%</v>
      </c>
      <c r="C9543" t="s">
        <v>10</v>
      </c>
      <c r="D9543" t="s">
        <v>10</v>
      </c>
      <c r="E9543" t="str">
        <f>"$ 676"</f>
        <v>$ 676</v>
      </c>
      <c r="F9543">
        <v>674</v>
      </c>
    </row>
    <row r="9544" spans="1:6">
      <c r="A9544" t="s">
        <v>9451</v>
      </c>
      <c r="B9544" t="str">
        <f t="shared" si="372"/>
        <v>0.00009%</v>
      </c>
      <c r="C9544" t="s">
        <v>10</v>
      </c>
      <c r="D9544" t="s">
        <v>10</v>
      </c>
      <c r="E9544" t="str">
        <f>"$ 715"</f>
        <v>$ 715</v>
      </c>
      <c r="F9544">
        <v>53</v>
      </c>
    </row>
    <row r="9545" spans="1:6">
      <c r="A9545" t="s">
        <v>9452</v>
      </c>
      <c r="B9545" t="str">
        <f t="shared" si="372"/>
        <v>0.00009%</v>
      </c>
      <c r="C9545" t="s">
        <v>10</v>
      </c>
      <c r="D9545" t="s">
        <v>10</v>
      </c>
      <c r="E9545" t="str">
        <f>"$ 709"</f>
        <v>$ 709</v>
      </c>
      <c r="F9545">
        <v>66</v>
      </c>
    </row>
    <row r="9546" spans="1:6">
      <c r="A9546" t="s">
        <v>9453</v>
      </c>
      <c r="B9546" t="str">
        <f t="shared" si="372"/>
        <v>0.00009%</v>
      </c>
      <c r="C9546" t="s">
        <v>10</v>
      </c>
      <c r="D9546" t="s">
        <v>10</v>
      </c>
      <c r="E9546" t="str">
        <f>"$ 694"</f>
        <v>$ 694</v>
      </c>
      <c r="F9546">
        <v>720</v>
      </c>
    </row>
    <row r="9547" spans="1:6">
      <c r="A9547" t="s">
        <v>9454</v>
      </c>
      <c r="B9547" t="str">
        <f t="shared" ref="B9547:B9578" si="373">"0.00009%"</f>
        <v>0.00009%</v>
      </c>
      <c r="C9547" t="s">
        <v>10</v>
      </c>
      <c r="D9547" t="s">
        <v>10</v>
      </c>
      <c r="E9547" t="str">
        <f>"$ 660"</f>
        <v>$ 660</v>
      </c>
      <c r="F9547">
        <v>138</v>
      </c>
    </row>
    <row r="9548" spans="1:6">
      <c r="A9548" t="s">
        <v>9455</v>
      </c>
      <c r="B9548" t="str">
        <f t="shared" si="373"/>
        <v>0.00009%</v>
      </c>
      <c r="C9548" t="s">
        <v>10</v>
      </c>
      <c r="D9548" t="s">
        <v>10</v>
      </c>
      <c r="E9548" t="str">
        <f>"$ 699"</f>
        <v>$ 699</v>
      </c>
      <c r="F9548">
        <v>358</v>
      </c>
    </row>
    <row r="9549" spans="1:6">
      <c r="A9549" t="s">
        <v>9456</v>
      </c>
      <c r="B9549" t="str">
        <f t="shared" si="373"/>
        <v>0.00009%</v>
      </c>
      <c r="C9549" t="s">
        <v>10</v>
      </c>
      <c r="D9549" t="s">
        <v>10</v>
      </c>
      <c r="E9549" t="str">
        <f>"$ 686"</f>
        <v>$ 686</v>
      </c>
      <c r="F9549">
        <v>198</v>
      </c>
    </row>
    <row r="9550" spans="1:6">
      <c r="A9550" t="s">
        <v>9457</v>
      </c>
      <c r="B9550" t="str">
        <f t="shared" si="373"/>
        <v>0.00009%</v>
      </c>
      <c r="C9550" t="s">
        <v>10</v>
      </c>
      <c r="D9550" t="s">
        <v>10</v>
      </c>
      <c r="E9550" t="str">
        <f>"$ 670"</f>
        <v>$ 670</v>
      </c>
      <c r="F9550">
        <v>28</v>
      </c>
    </row>
    <row r="9551" spans="1:6">
      <c r="A9551" t="s">
        <v>9458</v>
      </c>
      <c r="B9551" t="str">
        <f t="shared" si="373"/>
        <v>0.00009%</v>
      </c>
      <c r="C9551" t="s">
        <v>10</v>
      </c>
      <c r="D9551" t="s">
        <v>10</v>
      </c>
      <c r="E9551" t="str">
        <f>"$ 666"</f>
        <v>$ 666</v>
      </c>
      <c r="F9551">
        <v>979</v>
      </c>
    </row>
    <row r="9552" spans="1:6">
      <c r="A9552" t="s">
        <v>8951</v>
      </c>
      <c r="B9552" t="str">
        <f t="shared" si="373"/>
        <v>0.00009%</v>
      </c>
      <c r="C9552" t="s">
        <v>10</v>
      </c>
      <c r="D9552" t="s">
        <v>10</v>
      </c>
      <c r="E9552" t="str">
        <f>"$ 725"</f>
        <v>$ 725</v>
      </c>
      <c r="F9552">
        <v>450</v>
      </c>
    </row>
    <row r="9553" spans="1:6">
      <c r="A9553" t="s">
        <v>9459</v>
      </c>
      <c r="B9553" t="str">
        <f t="shared" si="373"/>
        <v>0.00009%</v>
      </c>
      <c r="C9553" t="s">
        <v>10</v>
      </c>
      <c r="D9553" t="s">
        <v>10</v>
      </c>
      <c r="E9553" t="str">
        <f>"$ 690"</f>
        <v>$ 690</v>
      </c>
      <c r="F9553">
        <v>72</v>
      </c>
    </row>
    <row r="9554" spans="1:6">
      <c r="A9554" t="s">
        <v>9460</v>
      </c>
      <c r="B9554" t="str">
        <f t="shared" si="373"/>
        <v>0.00009%</v>
      </c>
      <c r="C9554" t="s">
        <v>10</v>
      </c>
      <c r="D9554" t="s">
        <v>10</v>
      </c>
      <c r="E9554" t="str">
        <f>"$ 691"</f>
        <v>$ 691</v>
      </c>
      <c r="F9554" s="1">
        <v>12206</v>
      </c>
    </row>
    <row r="9555" spans="1:6">
      <c r="A9555" t="s">
        <v>8781</v>
      </c>
      <c r="B9555" t="str">
        <f t="shared" si="373"/>
        <v>0.00009%</v>
      </c>
      <c r="C9555" t="s">
        <v>10</v>
      </c>
      <c r="D9555" t="s">
        <v>10</v>
      </c>
      <c r="E9555" t="str">
        <f>"$ 719"</f>
        <v>$ 719</v>
      </c>
      <c r="F9555">
        <v>763</v>
      </c>
    </row>
    <row r="9556" spans="1:6">
      <c r="A9556" t="s">
        <v>9461</v>
      </c>
      <c r="B9556" t="str">
        <f t="shared" si="373"/>
        <v>0.00009%</v>
      </c>
      <c r="C9556" t="s">
        <v>10</v>
      </c>
      <c r="D9556" t="s">
        <v>10</v>
      </c>
      <c r="E9556" t="str">
        <f>"$ 729"</f>
        <v>$ 729</v>
      </c>
      <c r="F9556">
        <v>23</v>
      </c>
    </row>
    <row r="9557" spans="1:6">
      <c r="A9557" t="s">
        <v>9462</v>
      </c>
      <c r="B9557" t="str">
        <f t="shared" si="373"/>
        <v>0.00009%</v>
      </c>
      <c r="C9557" t="s">
        <v>10</v>
      </c>
      <c r="D9557" t="s">
        <v>10</v>
      </c>
      <c r="E9557" t="str">
        <f>"$ 671"</f>
        <v>$ 671</v>
      </c>
      <c r="F9557">
        <v>524</v>
      </c>
    </row>
    <row r="9558" spans="1:6">
      <c r="A9558" t="s">
        <v>9463</v>
      </c>
      <c r="B9558" t="str">
        <f t="shared" si="373"/>
        <v>0.00009%</v>
      </c>
      <c r="C9558" t="s">
        <v>10</v>
      </c>
      <c r="D9558" t="s">
        <v>10</v>
      </c>
      <c r="E9558" t="str">
        <f>"$ 681"</f>
        <v>$ 681</v>
      </c>
      <c r="F9558">
        <v>420</v>
      </c>
    </row>
    <row r="9559" spans="1:6">
      <c r="A9559" t="s">
        <v>9464</v>
      </c>
      <c r="B9559" t="str">
        <f t="shared" si="373"/>
        <v>0.00009%</v>
      </c>
      <c r="C9559" t="s">
        <v>10</v>
      </c>
      <c r="D9559" t="s">
        <v>10</v>
      </c>
      <c r="E9559" t="str">
        <f>"$ 703"</f>
        <v>$ 703</v>
      </c>
      <c r="F9559">
        <v>262</v>
      </c>
    </row>
    <row r="9560" spans="1:6">
      <c r="A9560" t="s">
        <v>9465</v>
      </c>
      <c r="B9560" t="str">
        <f t="shared" si="373"/>
        <v>0.00009%</v>
      </c>
      <c r="C9560" t="s">
        <v>10</v>
      </c>
      <c r="D9560" t="s">
        <v>10</v>
      </c>
      <c r="E9560" t="str">
        <f>"$ 692"</f>
        <v>$ 692</v>
      </c>
      <c r="F9560">
        <v>125</v>
      </c>
    </row>
    <row r="9561" spans="1:6">
      <c r="A9561" t="s">
        <v>9466</v>
      </c>
      <c r="B9561" t="str">
        <f t="shared" si="373"/>
        <v>0.00009%</v>
      </c>
      <c r="C9561" t="s">
        <v>10</v>
      </c>
      <c r="D9561" t="s">
        <v>10</v>
      </c>
      <c r="E9561" t="str">
        <f>"$ 684"</f>
        <v>$ 684</v>
      </c>
      <c r="F9561">
        <v>26</v>
      </c>
    </row>
    <row r="9562" spans="1:6">
      <c r="A9562" t="s">
        <v>3183</v>
      </c>
      <c r="B9562" t="str">
        <f t="shared" si="373"/>
        <v>0.00009%</v>
      </c>
      <c r="C9562" t="s">
        <v>10</v>
      </c>
      <c r="D9562" t="s">
        <v>10</v>
      </c>
      <c r="E9562" t="str">
        <f>"$ 691"</f>
        <v>$ 691</v>
      </c>
      <c r="F9562">
        <v>597</v>
      </c>
    </row>
    <row r="9563" spans="1:6">
      <c r="A9563" t="s">
        <v>9467</v>
      </c>
      <c r="B9563" t="str">
        <f t="shared" si="373"/>
        <v>0.00009%</v>
      </c>
      <c r="C9563" t="s">
        <v>10</v>
      </c>
      <c r="D9563" t="s">
        <v>10</v>
      </c>
      <c r="E9563" t="str">
        <f>"$ 691"</f>
        <v>$ 691</v>
      </c>
      <c r="F9563">
        <v>20</v>
      </c>
    </row>
    <row r="9564" spans="1:6">
      <c r="A9564" t="s">
        <v>9468</v>
      </c>
      <c r="B9564" t="str">
        <f t="shared" si="373"/>
        <v>0.00009%</v>
      </c>
      <c r="C9564" t="s">
        <v>10</v>
      </c>
      <c r="D9564" t="s">
        <v>10</v>
      </c>
      <c r="E9564" t="str">
        <f>"$ 698"</f>
        <v>$ 698</v>
      </c>
      <c r="F9564">
        <v>55</v>
      </c>
    </row>
    <row r="9565" spans="1:6">
      <c r="A9565" t="s">
        <v>9469</v>
      </c>
      <c r="B9565" t="str">
        <f t="shared" si="373"/>
        <v>0.00009%</v>
      </c>
      <c r="C9565" t="s">
        <v>10</v>
      </c>
      <c r="D9565" t="s">
        <v>10</v>
      </c>
      <c r="E9565" t="str">
        <f>"$ 702"</f>
        <v>$ 702</v>
      </c>
      <c r="F9565">
        <v>33</v>
      </c>
    </row>
    <row r="9566" spans="1:6">
      <c r="A9566" t="s">
        <v>9470</v>
      </c>
      <c r="B9566" t="str">
        <f t="shared" si="373"/>
        <v>0.00009%</v>
      </c>
      <c r="C9566" t="s">
        <v>10</v>
      </c>
      <c r="D9566" t="s">
        <v>10</v>
      </c>
      <c r="E9566" t="str">
        <f>"$ 670"</f>
        <v>$ 670</v>
      </c>
      <c r="F9566">
        <v>33</v>
      </c>
    </row>
    <row r="9567" spans="1:6">
      <c r="A9567" t="s">
        <v>9471</v>
      </c>
      <c r="B9567" t="str">
        <f t="shared" si="373"/>
        <v>0.00009%</v>
      </c>
      <c r="C9567" t="s">
        <v>10</v>
      </c>
      <c r="D9567" t="s">
        <v>10</v>
      </c>
      <c r="E9567" t="str">
        <f>"$ 664"</f>
        <v>$ 664</v>
      </c>
      <c r="F9567">
        <v>280</v>
      </c>
    </row>
    <row r="9568" spans="1:6">
      <c r="A9568" t="s">
        <v>9472</v>
      </c>
      <c r="B9568" t="str">
        <f t="shared" si="373"/>
        <v>0.00009%</v>
      </c>
      <c r="C9568" t="s">
        <v>10</v>
      </c>
      <c r="D9568" t="s">
        <v>10</v>
      </c>
      <c r="E9568" t="str">
        <f>"$ 731"</f>
        <v>$ 731</v>
      </c>
      <c r="F9568">
        <v>31</v>
      </c>
    </row>
    <row r="9569" spans="1:6">
      <c r="A9569" t="s">
        <v>9473</v>
      </c>
      <c r="B9569" t="str">
        <f t="shared" si="373"/>
        <v>0.00009%</v>
      </c>
      <c r="C9569" t="s">
        <v>10</v>
      </c>
      <c r="D9569" t="s">
        <v>10</v>
      </c>
      <c r="E9569" t="str">
        <f>"$ 672"</f>
        <v>$ 672</v>
      </c>
      <c r="F9569" s="1">
        <v>2872</v>
      </c>
    </row>
    <row r="9570" spans="1:6">
      <c r="A9570" t="s">
        <v>9474</v>
      </c>
      <c r="B9570" t="str">
        <f t="shared" si="373"/>
        <v>0.00009%</v>
      </c>
      <c r="C9570" t="s">
        <v>10</v>
      </c>
      <c r="D9570" t="s">
        <v>10</v>
      </c>
      <c r="E9570" t="str">
        <f>"$ 684"</f>
        <v>$ 684</v>
      </c>
      <c r="F9570">
        <v>114</v>
      </c>
    </row>
    <row r="9571" spans="1:6">
      <c r="A9571" t="s">
        <v>9475</v>
      </c>
      <c r="B9571" t="str">
        <f t="shared" si="373"/>
        <v>0.00009%</v>
      </c>
      <c r="C9571" t="s">
        <v>10</v>
      </c>
      <c r="D9571" t="s">
        <v>10</v>
      </c>
      <c r="E9571" t="str">
        <f>"$ 680"</f>
        <v>$ 680</v>
      </c>
      <c r="F9571">
        <v>563</v>
      </c>
    </row>
    <row r="9572" spans="1:6">
      <c r="A9572" t="s">
        <v>9476</v>
      </c>
      <c r="B9572" t="str">
        <f t="shared" si="373"/>
        <v>0.00009%</v>
      </c>
      <c r="C9572" t="s">
        <v>10</v>
      </c>
      <c r="D9572" t="s">
        <v>10</v>
      </c>
      <c r="E9572" t="str">
        <f>"$ 690"</f>
        <v>$ 690</v>
      </c>
      <c r="F9572">
        <v>554</v>
      </c>
    </row>
    <row r="9573" spans="1:6">
      <c r="A9573" t="s">
        <v>9477</v>
      </c>
      <c r="B9573" t="str">
        <f t="shared" si="373"/>
        <v>0.00009%</v>
      </c>
      <c r="C9573" t="s">
        <v>10</v>
      </c>
      <c r="D9573" t="s">
        <v>10</v>
      </c>
      <c r="E9573" t="str">
        <f>"$ 690"</f>
        <v>$ 690</v>
      </c>
      <c r="F9573">
        <v>737</v>
      </c>
    </row>
    <row r="9574" spans="1:6">
      <c r="A9574" t="s">
        <v>9478</v>
      </c>
      <c r="B9574" t="str">
        <f t="shared" si="373"/>
        <v>0.00009%</v>
      </c>
      <c r="C9574" t="s">
        <v>10</v>
      </c>
      <c r="D9574" t="s">
        <v>10</v>
      </c>
      <c r="E9574" t="str">
        <f>"$ 715"</f>
        <v>$ 715</v>
      </c>
      <c r="F9574">
        <v>45</v>
      </c>
    </row>
    <row r="9575" spans="1:6">
      <c r="A9575" t="s">
        <v>9479</v>
      </c>
      <c r="B9575" t="str">
        <f t="shared" si="373"/>
        <v>0.00009%</v>
      </c>
      <c r="C9575" t="s">
        <v>10</v>
      </c>
      <c r="D9575" t="s">
        <v>10</v>
      </c>
      <c r="E9575" t="str">
        <f>"$ 689"</f>
        <v>$ 689</v>
      </c>
      <c r="F9575">
        <v>294</v>
      </c>
    </row>
    <row r="9576" spans="1:6">
      <c r="A9576" t="s">
        <v>9480</v>
      </c>
      <c r="B9576" t="str">
        <f t="shared" si="373"/>
        <v>0.00009%</v>
      </c>
      <c r="C9576" t="s">
        <v>10</v>
      </c>
      <c r="D9576" t="s">
        <v>10</v>
      </c>
      <c r="E9576" t="str">
        <f>"$ 674"</f>
        <v>$ 674</v>
      </c>
      <c r="F9576" s="1">
        <v>2113</v>
      </c>
    </row>
    <row r="9577" spans="1:6">
      <c r="A9577" t="s">
        <v>9481</v>
      </c>
      <c r="B9577" t="str">
        <f t="shared" si="373"/>
        <v>0.00009%</v>
      </c>
      <c r="C9577" t="s">
        <v>10</v>
      </c>
      <c r="D9577" t="s">
        <v>10</v>
      </c>
      <c r="E9577" t="str">
        <f>"$ 685"</f>
        <v>$ 685</v>
      </c>
      <c r="F9577">
        <v>217</v>
      </c>
    </row>
    <row r="9578" spans="1:6">
      <c r="A9578" t="s">
        <v>9482</v>
      </c>
      <c r="B9578" t="str">
        <f t="shared" si="373"/>
        <v>0.00009%</v>
      </c>
      <c r="C9578" t="s">
        <v>10</v>
      </c>
      <c r="D9578" t="s">
        <v>10</v>
      </c>
      <c r="E9578" t="str">
        <f>"$ 723"</f>
        <v>$ 723</v>
      </c>
      <c r="F9578">
        <v>263</v>
      </c>
    </row>
    <row r="9579" spans="1:6">
      <c r="A9579" t="s">
        <v>9483</v>
      </c>
      <c r="B9579" t="str">
        <f t="shared" ref="B9579:B9600" si="374">"0.00009%"</f>
        <v>0.00009%</v>
      </c>
      <c r="C9579" t="s">
        <v>10</v>
      </c>
      <c r="D9579" t="s">
        <v>10</v>
      </c>
      <c r="E9579" t="str">
        <f>"$ 671"</f>
        <v>$ 671</v>
      </c>
      <c r="F9579">
        <v>143</v>
      </c>
    </row>
    <row r="9580" spans="1:6">
      <c r="A9580" t="s">
        <v>9484</v>
      </c>
      <c r="B9580" t="str">
        <f t="shared" si="374"/>
        <v>0.00009%</v>
      </c>
      <c r="C9580" t="s">
        <v>10</v>
      </c>
      <c r="D9580" t="s">
        <v>10</v>
      </c>
      <c r="E9580" t="str">
        <f>"$ 724"</f>
        <v>$ 724</v>
      </c>
      <c r="F9580">
        <v>164</v>
      </c>
    </row>
    <row r="9581" spans="1:6">
      <c r="A9581" t="s">
        <v>9485</v>
      </c>
      <c r="B9581" t="str">
        <f t="shared" si="374"/>
        <v>0.00009%</v>
      </c>
      <c r="C9581" t="s">
        <v>10</v>
      </c>
      <c r="D9581" t="s">
        <v>10</v>
      </c>
      <c r="E9581" t="str">
        <f>"$ 698"</f>
        <v>$ 698</v>
      </c>
      <c r="F9581">
        <v>35</v>
      </c>
    </row>
    <row r="9582" spans="1:6">
      <c r="A9582" t="s">
        <v>9486</v>
      </c>
      <c r="B9582" t="str">
        <f t="shared" si="374"/>
        <v>0.00009%</v>
      </c>
      <c r="C9582" t="s">
        <v>10</v>
      </c>
      <c r="D9582" t="s">
        <v>10</v>
      </c>
      <c r="E9582" t="str">
        <f>"$ 661"</f>
        <v>$ 661</v>
      </c>
      <c r="F9582">
        <v>33</v>
      </c>
    </row>
    <row r="9583" spans="1:6">
      <c r="A9583" t="s">
        <v>9487</v>
      </c>
      <c r="B9583" t="str">
        <f t="shared" si="374"/>
        <v>0.00009%</v>
      </c>
      <c r="C9583" t="s">
        <v>10</v>
      </c>
      <c r="D9583" t="s">
        <v>10</v>
      </c>
      <c r="E9583" t="str">
        <f>"$ 685"</f>
        <v>$ 685</v>
      </c>
      <c r="F9583">
        <v>70</v>
      </c>
    </row>
    <row r="9584" spans="1:6">
      <c r="A9584" t="s">
        <v>9488</v>
      </c>
      <c r="B9584" t="str">
        <f t="shared" si="374"/>
        <v>0.00009%</v>
      </c>
      <c r="C9584" t="s">
        <v>10</v>
      </c>
      <c r="D9584" t="s">
        <v>10</v>
      </c>
      <c r="E9584" t="str">
        <f>"$ 696"</f>
        <v>$ 696</v>
      </c>
      <c r="F9584">
        <v>220</v>
      </c>
    </row>
    <row r="9585" spans="1:6">
      <c r="A9585" t="s">
        <v>9489</v>
      </c>
      <c r="B9585" t="str">
        <f t="shared" si="374"/>
        <v>0.00009%</v>
      </c>
      <c r="C9585" t="s">
        <v>10</v>
      </c>
      <c r="D9585" t="s">
        <v>10</v>
      </c>
      <c r="E9585" t="str">
        <f>"$ 706"</f>
        <v>$ 706</v>
      </c>
      <c r="F9585">
        <v>19</v>
      </c>
    </row>
    <row r="9586" spans="1:6">
      <c r="A9586" t="s">
        <v>7875</v>
      </c>
      <c r="B9586" t="str">
        <f t="shared" si="374"/>
        <v>0.00009%</v>
      </c>
      <c r="C9586" t="s">
        <v>10</v>
      </c>
      <c r="D9586" t="s">
        <v>10</v>
      </c>
      <c r="E9586" t="str">
        <f>"$ 683"</f>
        <v>$ 683</v>
      </c>
      <c r="F9586">
        <v>41</v>
      </c>
    </row>
    <row r="9587" spans="1:6">
      <c r="A9587" t="s">
        <v>9490</v>
      </c>
      <c r="B9587" t="str">
        <f t="shared" si="374"/>
        <v>0.00009%</v>
      </c>
      <c r="C9587" t="s">
        <v>10</v>
      </c>
      <c r="D9587" t="s">
        <v>10</v>
      </c>
      <c r="E9587" t="str">
        <f>"$ 731"</f>
        <v>$ 731</v>
      </c>
      <c r="F9587">
        <v>128</v>
      </c>
    </row>
    <row r="9588" spans="1:6">
      <c r="A9588" t="s">
        <v>9491</v>
      </c>
      <c r="B9588" t="str">
        <f t="shared" si="374"/>
        <v>0.00009%</v>
      </c>
      <c r="C9588" t="s">
        <v>10</v>
      </c>
      <c r="D9588" t="s">
        <v>10</v>
      </c>
      <c r="E9588" t="str">
        <f>"$ 689"</f>
        <v>$ 689</v>
      </c>
      <c r="F9588">
        <v>33</v>
      </c>
    </row>
    <row r="9589" spans="1:6">
      <c r="A9589" t="s">
        <v>8821</v>
      </c>
      <c r="B9589" t="str">
        <f t="shared" si="374"/>
        <v>0.00009%</v>
      </c>
      <c r="C9589" t="s">
        <v>10</v>
      </c>
      <c r="D9589" t="s">
        <v>10</v>
      </c>
      <c r="E9589" t="str">
        <f>"$ 668"</f>
        <v>$ 668</v>
      </c>
      <c r="F9589">
        <v>86</v>
      </c>
    </row>
    <row r="9590" spans="1:6">
      <c r="A9590" t="s">
        <v>9492</v>
      </c>
      <c r="B9590" t="str">
        <f t="shared" si="374"/>
        <v>0.00009%</v>
      </c>
      <c r="C9590" t="s">
        <v>10</v>
      </c>
      <c r="D9590" t="s">
        <v>10</v>
      </c>
      <c r="E9590" t="str">
        <f>"$ 699"</f>
        <v>$ 699</v>
      </c>
      <c r="F9590">
        <v>122</v>
      </c>
    </row>
    <row r="9591" spans="1:6">
      <c r="A9591" t="s">
        <v>9493</v>
      </c>
      <c r="B9591" t="str">
        <f t="shared" si="374"/>
        <v>0.00009%</v>
      </c>
      <c r="C9591" t="s">
        <v>10</v>
      </c>
      <c r="D9591" t="s">
        <v>10</v>
      </c>
      <c r="E9591" t="str">
        <f>"$ 668"</f>
        <v>$ 668</v>
      </c>
      <c r="F9591">
        <v>230</v>
      </c>
    </row>
    <row r="9592" spans="1:6">
      <c r="A9592" t="s">
        <v>9494</v>
      </c>
      <c r="B9592" t="str">
        <f t="shared" si="374"/>
        <v>0.00009%</v>
      </c>
      <c r="C9592" t="s">
        <v>10</v>
      </c>
      <c r="D9592" t="s">
        <v>10</v>
      </c>
      <c r="E9592" t="str">
        <f>"$ 725"</f>
        <v>$ 725</v>
      </c>
      <c r="F9592">
        <v>470</v>
      </c>
    </row>
    <row r="9593" spans="1:6">
      <c r="A9593" t="s">
        <v>9495</v>
      </c>
      <c r="B9593" t="str">
        <f t="shared" si="374"/>
        <v>0.00009%</v>
      </c>
      <c r="C9593" t="s">
        <v>10</v>
      </c>
      <c r="D9593" t="s">
        <v>10</v>
      </c>
      <c r="E9593" t="str">
        <f>"$ 692"</f>
        <v>$ 692</v>
      </c>
      <c r="F9593">
        <v>238</v>
      </c>
    </row>
    <row r="9594" spans="1:6">
      <c r="A9594" t="s">
        <v>9496</v>
      </c>
      <c r="B9594" t="str">
        <f t="shared" si="374"/>
        <v>0.00009%</v>
      </c>
      <c r="C9594" t="s">
        <v>10</v>
      </c>
      <c r="D9594" t="s">
        <v>10</v>
      </c>
      <c r="E9594" t="str">
        <f>"$ 705"</f>
        <v>$ 705</v>
      </c>
      <c r="F9594">
        <v>708</v>
      </c>
    </row>
    <row r="9595" spans="1:6">
      <c r="A9595" t="s">
        <v>8828</v>
      </c>
      <c r="B9595" t="str">
        <f t="shared" si="374"/>
        <v>0.00009%</v>
      </c>
      <c r="C9595" t="s">
        <v>10</v>
      </c>
      <c r="D9595" t="s">
        <v>10</v>
      </c>
      <c r="E9595" t="str">
        <f>"$ 710"</f>
        <v>$ 710</v>
      </c>
      <c r="F9595">
        <v>352</v>
      </c>
    </row>
    <row r="9596" spans="1:6">
      <c r="A9596" t="s">
        <v>9497</v>
      </c>
      <c r="B9596" t="str">
        <f t="shared" si="374"/>
        <v>0.00009%</v>
      </c>
      <c r="C9596" t="s">
        <v>10</v>
      </c>
      <c r="D9596" t="s">
        <v>10</v>
      </c>
      <c r="E9596" t="str">
        <f>"$ 674"</f>
        <v>$ 674</v>
      </c>
      <c r="F9596">
        <v>163</v>
      </c>
    </row>
    <row r="9597" spans="1:6">
      <c r="A9597" t="s">
        <v>9163</v>
      </c>
      <c r="B9597" t="str">
        <f t="shared" si="374"/>
        <v>0.00009%</v>
      </c>
      <c r="C9597" t="s">
        <v>10</v>
      </c>
      <c r="D9597" t="s">
        <v>10</v>
      </c>
      <c r="E9597" t="str">
        <f>"$ 688"</f>
        <v>$ 688</v>
      </c>
      <c r="F9597">
        <v>129</v>
      </c>
    </row>
    <row r="9598" spans="1:6">
      <c r="A9598" t="s">
        <v>9498</v>
      </c>
      <c r="B9598" t="str">
        <f t="shared" si="374"/>
        <v>0.00009%</v>
      </c>
      <c r="C9598" t="s">
        <v>10</v>
      </c>
      <c r="D9598" t="s">
        <v>10</v>
      </c>
      <c r="E9598" t="str">
        <f>"$ 668"</f>
        <v>$ 668</v>
      </c>
      <c r="F9598">
        <v>149</v>
      </c>
    </row>
    <row r="9599" spans="1:6">
      <c r="A9599" t="s">
        <v>6758</v>
      </c>
      <c r="B9599" t="str">
        <f t="shared" si="374"/>
        <v>0.00009%</v>
      </c>
      <c r="C9599" t="s">
        <v>10</v>
      </c>
      <c r="D9599" t="s">
        <v>10</v>
      </c>
      <c r="E9599" t="str">
        <f>"$ 665"</f>
        <v>$ 665</v>
      </c>
      <c r="F9599">
        <v>143</v>
      </c>
    </row>
    <row r="9600" spans="1:6">
      <c r="A9600" t="s">
        <v>9499</v>
      </c>
      <c r="B9600" t="str">
        <f t="shared" si="374"/>
        <v>0.00009%</v>
      </c>
      <c r="C9600" t="s">
        <v>10</v>
      </c>
      <c r="D9600" t="s">
        <v>10</v>
      </c>
      <c r="E9600" t="str">
        <f>"$ 663"</f>
        <v>$ 663</v>
      </c>
      <c r="F9600">
        <v>43</v>
      </c>
    </row>
    <row r="9601" spans="1:6">
      <c r="A9601" t="s">
        <v>9500</v>
      </c>
      <c r="B9601" t="str">
        <f t="shared" ref="B9601:B9664" si="375">"0.00008%"</f>
        <v>0.00008%</v>
      </c>
      <c r="C9601" t="s">
        <v>10</v>
      </c>
      <c r="D9601" t="s">
        <v>10</v>
      </c>
      <c r="E9601" t="str">
        <f>"$ 602"</f>
        <v>$ 602</v>
      </c>
      <c r="F9601">
        <v>74</v>
      </c>
    </row>
    <row r="9602" spans="1:6">
      <c r="A9602" t="s">
        <v>9501</v>
      </c>
      <c r="B9602" t="str">
        <f t="shared" si="375"/>
        <v>0.00008%</v>
      </c>
      <c r="C9602" t="s">
        <v>10</v>
      </c>
      <c r="D9602" t="s">
        <v>10</v>
      </c>
      <c r="E9602" t="str">
        <f>"$ 612"</f>
        <v>$ 612</v>
      </c>
      <c r="F9602">
        <v>4</v>
      </c>
    </row>
    <row r="9603" spans="1:6">
      <c r="A9603" t="s">
        <v>9502</v>
      </c>
      <c r="B9603" t="str">
        <f t="shared" si="375"/>
        <v>0.00008%</v>
      </c>
      <c r="C9603" t="s">
        <v>10</v>
      </c>
      <c r="D9603" t="s">
        <v>10</v>
      </c>
      <c r="E9603" t="str">
        <f>"$ 615"</f>
        <v>$ 615</v>
      </c>
      <c r="F9603">
        <v>13</v>
      </c>
    </row>
    <row r="9604" spans="1:6">
      <c r="A9604" t="s">
        <v>9503</v>
      </c>
      <c r="B9604" t="str">
        <f t="shared" si="375"/>
        <v>0.00008%</v>
      </c>
      <c r="C9604" t="s">
        <v>10</v>
      </c>
      <c r="D9604" t="s">
        <v>10</v>
      </c>
      <c r="E9604" t="str">
        <f>"$ 618"</f>
        <v>$ 618</v>
      </c>
      <c r="F9604">
        <v>116</v>
      </c>
    </row>
    <row r="9605" spans="1:6">
      <c r="A9605" t="s">
        <v>9504</v>
      </c>
      <c r="B9605" t="str">
        <f t="shared" si="375"/>
        <v>0.00008%</v>
      </c>
      <c r="C9605" t="s">
        <v>10</v>
      </c>
      <c r="D9605" t="s">
        <v>10</v>
      </c>
      <c r="E9605" t="str">
        <f>"$ 625"</f>
        <v>$ 625</v>
      </c>
      <c r="F9605">
        <v>776</v>
      </c>
    </row>
    <row r="9606" spans="1:6">
      <c r="A9606" t="s">
        <v>9505</v>
      </c>
      <c r="B9606" t="str">
        <f t="shared" si="375"/>
        <v>0.00008%</v>
      </c>
      <c r="C9606" t="s">
        <v>10</v>
      </c>
      <c r="D9606" t="s">
        <v>10</v>
      </c>
      <c r="E9606" t="str">
        <f>"$ 586"</f>
        <v>$ 586</v>
      </c>
      <c r="F9606" s="1">
        <v>1114</v>
      </c>
    </row>
    <row r="9607" spans="1:6">
      <c r="A9607" t="s">
        <v>9506</v>
      </c>
      <c r="B9607" t="str">
        <f t="shared" si="375"/>
        <v>0.00008%</v>
      </c>
      <c r="C9607" t="s">
        <v>10</v>
      </c>
      <c r="D9607" t="s">
        <v>10</v>
      </c>
      <c r="E9607" t="str">
        <f>"$ 627"</f>
        <v>$ 627</v>
      </c>
      <c r="F9607">
        <v>71</v>
      </c>
    </row>
    <row r="9608" spans="1:6">
      <c r="A9608" t="s">
        <v>9507</v>
      </c>
      <c r="B9608" t="str">
        <f t="shared" si="375"/>
        <v>0.00008%</v>
      </c>
      <c r="C9608" t="s">
        <v>10</v>
      </c>
      <c r="D9608" t="s">
        <v>10</v>
      </c>
      <c r="E9608" t="str">
        <f>"$ 621"</f>
        <v>$ 621</v>
      </c>
      <c r="F9608">
        <v>350</v>
      </c>
    </row>
    <row r="9609" spans="1:6">
      <c r="A9609" t="s">
        <v>9508</v>
      </c>
      <c r="B9609" t="str">
        <f t="shared" si="375"/>
        <v>0.00008%</v>
      </c>
      <c r="C9609" t="s">
        <v>10</v>
      </c>
      <c r="D9609" t="s">
        <v>10</v>
      </c>
      <c r="E9609" t="str">
        <f>"$ 606"</f>
        <v>$ 606</v>
      </c>
      <c r="F9609">
        <v>82</v>
      </c>
    </row>
    <row r="9610" spans="1:6">
      <c r="A9610" t="s">
        <v>9509</v>
      </c>
      <c r="B9610" t="str">
        <f t="shared" si="375"/>
        <v>0.00008%</v>
      </c>
      <c r="C9610" t="s">
        <v>10</v>
      </c>
      <c r="D9610" t="s">
        <v>10</v>
      </c>
      <c r="E9610" t="str">
        <f>"$ 606"</f>
        <v>$ 606</v>
      </c>
      <c r="F9610">
        <v>16</v>
      </c>
    </row>
    <row r="9611" spans="1:6">
      <c r="A9611" t="s">
        <v>9510</v>
      </c>
      <c r="B9611" t="str">
        <f t="shared" si="375"/>
        <v>0.00008%</v>
      </c>
      <c r="C9611" t="s">
        <v>10</v>
      </c>
      <c r="D9611" t="s">
        <v>10</v>
      </c>
      <c r="E9611" t="str">
        <f>"$ 594"</f>
        <v>$ 594</v>
      </c>
      <c r="F9611">
        <v>266</v>
      </c>
    </row>
    <row r="9612" spans="1:6">
      <c r="A9612" t="s">
        <v>9511</v>
      </c>
      <c r="B9612" t="str">
        <f t="shared" si="375"/>
        <v>0.00008%</v>
      </c>
      <c r="C9612" t="s">
        <v>10</v>
      </c>
      <c r="D9612" t="s">
        <v>10</v>
      </c>
      <c r="E9612" t="str">
        <f>"$ 635"</f>
        <v>$ 635</v>
      </c>
      <c r="F9612">
        <v>62</v>
      </c>
    </row>
    <row r="9613" spans="1:6">
      <c r="A9613" t="s">
        <v>9175</v>
      </c>
      <c r="B9613" t="str">
        <f t="shared" si="375"/>
        <v>0.00008%</v>
      </c>
      <c r="C9613" t="s">
        <v>10</v>
      </c>
      <c r="D9613" t="s">
        <v>10</v>
      </c>
      <c r="E9613" t="str">
        <f>"$ 637"</f>
        <v>$ 637</v>
      </c>
      <c r="F9613">
        <v>330</v>
      </c>
    </row>
    <row r="9614" spans="1:6">
      <c r="A9614" t="s">
        <v>9512</v>
      </c>
      <c r="B9614" t="str">
        <f t="shared" si="375"/>
        <v>0.00008%</v>
      </c>
      <c r="C9614" t="s">
        <v>10</v>
      </c>
      <c r="D9614" t="s">
        <v>10</v>
      </c>
      <c r="E9614" t="str">
        <f>"$ 641"</f>
        <v>$ 641</v>
      </c>
      <c r="F9614">
        <v>210</v>
      </c>
    </row>
    <row r="9615" spans="1:6">
      <c r="A9615" t="s">
        <v>9513</v>
      </c>
      <c r="B9615" t="str">
        <f t="shared" si="375"/>
        <v>0.00008%</v>
      </c>
      <c r="C9615" t="s">
        <v>10</v>
      </c>
      <c r="D9615" t="s">
        <v>10</v>
      </c>
      <c r="E9615" t="str">
        <f>"$ 646"</f>
        <v>$ 646</v>
      </c>
      <c r="F9615">
        <v>241</v>
      </c>
    </row>
    <row r="9616" spans="1:6">
      <c r="A9616" t="s">
        <v>9514</v>
      </c>
      <c r="B9616" t="str">
        <f t="shared" si="375"/>
        <v>0.00008%</v>
      </c>
      <c r="C9616" t="s">
        <v>10</v>
      </c>
      <c r="D9616" t="s">
        <v>10</v>
      </c>
      <c r="E9616" t="str">
        <f>"$ 647"</f>
        <v>$ 647</v>
      </c>
      <c r="F9616">
        <v>460</v>
      </c>
    </row>
    <row r="9617" spans="1:6">
      <c r="A9617" t="s">
        <v>9515</v>
      </c>
      <c r="B9617" t="str">
        <f t="shared" si="375"/>
        <v>0.00008%</v>
      </c>
      <c r="C9617" t="s">
        <v>10</v>
      </c>
      <c r="D9617" t="s">
        <v>10</v>
      </c>
      <c r="E9617" t="str">
        <f>"$ 606"</f>
        <v>$ 606</v>
      </c>
      <c r="F9617" s="1">
        <v>1464</v>
      </c>
    </row>
    <row r="9618" spans="1:6">
      <c r="A9618" t="s">
        <v>9516</v>
      </c>
      <c r="B9618" t="str">
        <f t="shared" si="375"/>
        <v>0.00008%</v>
      </c>
      <c r="C9618" t="s">
        <v>10</v>
      </c>
      <c r="D9618" t="s">
        <v>10</v>
      </c>
      <c r="E9618" t="str">
        <f>"$ 589"</f>
        <v>$ 589</v>
      </c>
      <c r="F9618">
        <v>221</v>
      </c>
    </row>
    <row r="9619" spans="1:6">
      <c r="A9619" t="s">
        <v>9517</v>
      </c>
      <c r="B9619" t="str">
        <f t="shared" si="375"/>
        <v>0.00008%</v>
      </c>
      <c r="C9619" t="s">
        <v>10</v>
      </c>
      <c r="D9619" t="s">
        <v>10</v>
      </c>
      <c r="E9619" t="str">
        <f>"$ 610"</f>
        <v>$ 610</v>
      </c>
      <c r="F9619">
        <v>200</v>
      </c>
    </row>
    <row r="9620" spans="1:6">
      <c r="A9620" t="s">
        <v>9518</v>
      </c>
      <c r="B9620" t="str">
        <f t="shared" si="375"/>
        <v>0.00008%</v>
      </c>
      <c r="C9620" t="s">
        <v>10</v>
      </c>
      <c r="D9620" t="s">
        <v>10</v>
      </c>
      <c r="E9620" t="str">
        <f>"$ 592"</f>
        <v>$ 592</v>
      </c>
      <c r="F9620">
        <v>42</v>
      </c>
    </row>
    <row r="9621" spans="1:6">
      <c r="A9621" t="s">
        <v>9519</v>
      </c>
      <c r="B9621" t="str">
        <f t="shared" si="375"/>
        <v>0.00008%</v>
      </c>
      <c r="C9621" t="s">
        <v>10</v>
      </c>
      <c r="D9621" t="s">
        <v>10</v>
      </c>
      <c r="E9621" t="str">
        <f>"$ 602"</f>
        <v>$ 602</v>
      </c>
      <c r="F9621">
        <v>356</v>
      </c>
    </row>
    <row r="9622" spans="1:6">
      <c r="A9622" t="s">
        <v>9520</v>
      </c>
      <c r="B9622" t="str">
        <f t="shared" si="375"/>
        <v>0.00008%</v>
      </c>
      <c r="C9622" t="s">
        <v>10</v>
      </c>
      <c r="D9622" t="s">
        <v>10</v>
      </c>
      <c r="E9622" t="str">
        <f>"$ 581"</f>
        <v>$ 581</v>
      </c>
      <c r="F9622" s="1">
        <v>1284</v>
      </c>
    </row>
    <row r="9623" spans="1:6">
      <c r="A9623" t="s">
        <v>9521</v>
      </c>
      <c r="B9623" t="str">
        <f t="shared" si="375"/>
        <v>0.00008%</v>
      </c>
      <c r="C9623" t="s">
        <v>10</v>
      </c>
      <c r="D9623" t="s">
        <v>10</v>
      </c>
      <c r="E9623" t="str">
        <f>"$ 641"</f>
        <v>$ 641</v>
      </c>
      <c r="F9623">
        <v>925</v>
      </c>
    </row>
    <row r="9624" spans="1:6">
      <c r="A9624" t="s">
        <v>9522</v>
      </c>
      <c r="B9624" t="str">
        <f t="shared" si="375"/>
        <v>0.00008%</v>
      </c>
      <c r="C9624" t="s">
        <v>10</v>
      </c>
      <c r="D9624" t="s">
        <v>10</v>
      </c>
      <c r="E9624" t="str">
        <f>"$ 651"</f>
        <v>$ 651</v>
      </c>
      <c r="F9624">
        <v>49</v>
      </c>
    </row>
    <row r="9625" spans="1:6">
      <c r="A9625" t="s">
        <v>9523</v>
      </c>
      <c r="B9625" t="str">
        <f t="shared" si="375"/>
        <v>0.00008%</v>
      </c>
      <c r="C9625" t="s">
        <v>10</v>
      </c>
      <c r="D9625" t="s">
        <v>10</v>
      </c>
      <c r="E9625" t="str">
        <f>"$ 638"</f>
        <v>$ 638</v>
      </c>
      <c r="F9625">
        <v>528</v>
      </c>
    </row>
    <row r="9626" spans="1:6">
      <c r="A9626" t="s">
        <v>6599</v>
      </c>
      <c r="B9626" t="str">
        <f t="shared" si="375"/>
        <v>0.00008%</v>
      </c>
      <c r="C9626" t="s">
        <v>10</v>
      </c>
      <c r="D9626" t="s">
        <v>10</v>
      </c>
      <c r="E9626" t="str">
        <f>"$ 610"</f>
        <v>$ 610</v>
      </c>
      <c r="F9626">
        <v>156</v>
      </c>
    </row>
    <row r="9627" spans="1:6">
      <c r="A9627" t="s">
        <v>9524</v>
      </c>
      <c r="B9627" t="str">
        <f t="shared" si="375"/>
        <v>0.00008%</v>
      </c>
      <c r="C9627" t="s">
        <v>10</v>
      </c>
      <c r="D9627" t="s">
        <v>10</v>
      </c>
      <c r="E9627" t="str">
        <f>"$ 613"</f>
        <v>$ 613</v>
      </c>
      <c r="F9627" s="1">
        <v>1017</v>
      </c>
    </row>
    <row r="9628" spans="1:6">
      <c r="A9628" t="s">
        <v>9525</v>
      </c>
      <c r="B9628" t="str">
        <f t="shared" si="375"/>
        <v>0.00008%</v>
      </c>
      <c r="C9628" t="s">
        <v>10</v>
      </c>
      <c r="D9628" t="s">
        <v>10</v>
      </c>
      <c r="E9628" t="str">
        <f>"$ 629"</f>
        <v>$ 629</v>
      </c>
      <c r="F9628">
        <v>534</v>
      </c>
    </row>
    <row r="9629" spans="1:6">
      <c r="A9629" t="s">
        <v>9526</v>
      </c>
      <c r="B9629" t="str">
        <f t="shared" si="375"/>
        <v>0.00008%</v>
      </c>
      <c r="C9629" t="s">
        <v>10</v>
      </c>
      <c r="D9629" t="s">
        <v>10</v>
      </c>
      <c r="E9629" t="str">
        <f>"$ 639"</f>
        <v>$ 639</v>
      </c>
      <c r="F9629">
        <v>389</v>
      </c>
    </row>
    <row r="9630" spans="1:6">
      <c r="A9630" t="s">
        <v>7438</v>
      </c>
      <c r="B9630" t="str">
        <f t="shared" si="375"/>
        <v>0.00008%</v>
      </c>
      <c r="C9630" t="s">
        <v>10</v>
      </c>
      <c r="D9630" t="s">
        <v>10</v>
      </c>
      <c r="E9630" t="str">
        <f>"$ 620"</f>
        <v>$ 620</v>
      </c>
      <c r="F9630">
        <v>107</v>
      </c>
    </row>
    <row r="9631" spans="1:6">
      <c r="A9631" t="s">
        <v>9527</v>
      </c>
      <c r="B9631" t="str">
        <f t="shared" si="375"/>
        <v>0.00008%</v>
      </c>
      <c r="C9631" t="s">
        <v>10</v>
      </c>
      <c r="D9631" t="s">
        <v>10</v>
      </c>
      <c r="E9631" t="str">
        <f>"$ 645"</f>
        <v>$ 645</v>
      </c>
      <c r="F9631">
        <v>151</v>
      </c>
    </row>
    <row r="9632" spans="1:6">
      <c r="A9632" t="s">
        <v>9528</v>
      </c>
      <c r="B9632" t="str">
        <f t="shared" si="375"/>
        <v>0.00008%</v>
      </c>
      <c r="C9632" t="s">
        <v>10</v>
      </c>
      <c r="D9632" t="s">
        <v>10</v>
      </c>
      <c r="E9632" t="str">
        <f>"$ 653"</f>
        <v>$ 653</v>
      </c>
      <c r="F9632">
        <v>782</v>
      </c>
    </row>
    <row r="9633" spans="1:6">
      <c r="A9633" t="s">
        <v>9529</v>
      </c>
      <c r="B9633" t="str">
        <f t="shared" si="375"/>
        <v>0.00008%</v>
      </c>
      <c r="C9633" t="s">
        <v>10</v>
      </c>
      <c r="D9633" t="s">
        <v>10</v>
      </c>
      <c r="E9633" t="str">
        <f>"$ 604"</f>
        <v>$ 604</v>
      </c>
      <c r="F9633">
        <v>759</v>
      </c>
    </row>
    <row r="9634" spans="1:6">
      <c r="A9634" t="s">
        <v>9530</v>
      </c>
      <c r="B9634" t="str">
        <f t="shared" si="375"/>
        <v>0.00008%</v>
      </c>
      <c r="C9634" t="s">
        <v>10</v>
      </c>
      <c r="D9634" t="s">
        <v>10</v>
      </c>
      <c r="E9634" t="str">
        <f>"$ 601"</f>
        <v>$ 601</v>
      </c>
      <c r="F9634">
        <v>16</v>
      </c>
    </row>
    <row r="9635" spans="1:6">
      <c r="A9635" t="s">
        <v>9531</v>
      </c>
      <c r="B9635" t="str">
        <f t="shared" si="375"/>
        <v>0.00008%</v>
      </c>
      <c r="C9635" t="s">
        <v>10</v>
      </c>
      <c r="D9635" t="s">
        <v>10</v>
      </c>
      <c r="E9635" t="str">
        <f>"$ 598"</f>
        <v>$ 598</v>
      </c>
      <c r="F9635">
        <v>244</v>
      </c>
    </row>
    <row r="9636" spans="1:6">
      <c r="A9636" t="s">
        <v>9194</v>
      </c>
      <c r="B9636" t="str">
        <f t="shared" si="375"/>
        <v>0.00008%</v>
      </c>
      <c r="C9636" t="s">
        <v>10</v>
      </c>
      <c r="D9636" t="s">
        <v>10</v>
      </c>
      <c r="E9636" t="str">
        <f>"$ 601"</f>
        <v>$ 601</v>
      </c>
      <c r="F9636">
        <v>790</v>
      </c>
    </row>
    <row r="9637" spans="1:6">
      <c r="A9637" t="s">
        <v>9532</v>
      </c>
      <c r="B9637" t="str">
        <f t="shared" si="375"/>
        <v>0.00008%</v>
      </c>
      <c r="C9637" t="s">
        <v>10</v>
      </c>
      <c r="D9637" t="s">
        <v>10</v>
      </c>
      <c r="E9637" t="str">
        <f>"$ 589"</f>
        <v>$ 589</v>
      </c>
      <c r="F9637">
        <v>82</v>
      </c>
    </row>
    <row r="9638" spans="1:6">
      <c r="A9638" t="s">
        <v>9533</v>
      </c>
      <c r="B9638" t="str">
        <f t="shared" si="375"/>
        <v>0.00008%</v>
      </c>
      <c r="C9638" t="s">
        <v>10</v>
      </c>
      <c r="D9638" t="s">
        <v>10</v>
      </c>
      <c r="E9638" t="str">
        <f>"$ 587"</f>
        <v>$ 587</v>
      </c>
      <c r="F9638">
        <v>187</v>
      </c>
    </row>
    <row r="9639" spans="1:6">
      <c r="A9639" t="s">
        <v>9534</v>
      </c>
      <c r="B9639" t="str">
        <f t="shared" si="375"/>
        <v>0.00008%</v>
      </c>
      <c r="C9639" t="s">
        <v>10</v>
      </c>
      <c r="D9639" t="s">
        <v>10</v>
      </c>
      <c r="E9639" t="str">
        <f>"$ 618"</f>
        <v>$ 618</v>
      </c>
      <c r="F9639">
        <v>16</v>
      </c>
    </row>
    <row r="9640" spans="1:6">
      <c r="A9640" t="s">
        <v>9535</v>
      </c>
      <c r="B9640" t="str">
        <f t="shared" si="375"/>
        <v>0.00008%</v>
      </c>
      <c r="C9640" t="s">
        <v>10</v>
      </c>
      <c r="D9640" t="s">
        <v>10</v>
      </c>
      <c r="E9640" t="str">
        <f>"$ 628"</f>
        <v>$ 628</v>
      </c>
      <c r="F9640">
        <v>66</v>
      </c>
    </row>
    <row r="9641" spans="1:6">
      <c r="A9641" t="s">
        <v>9536</v>
      </c>
      <c r="B9641" t="str">
        <f t="shared" si="375"/>
        <v>0.00008%</v>
      </c>
      <c r="C9641" t="s">
        <v>10</v>
      </c>
      <c r="D9641" t="s">
        <v>10</v>
      </c>
      <c r="E9641" t="str">
        <f>"$ 656"</f>
        <v>$ 656</v>
      </c>
      <c r="F9641">
        <v>331</v>
      </c>
    </row>
    <row r="9642" spans="1:6">
      <c r="A9642" t="s">
        <v>9537</v>
      </c>
      <c r="B9642" t="str">
        <f t="shared" si="375"/>
        <v>0.00008%</v>
      </c>
      <c r="C9642" t="s">
        <v>10</v>
      </c>
      <c r="D9642" t="s">
        <v>10</v>
      </c>
      <c r="E9642" t="str">
        <f>"$ 585"</f>
        <v>$ 585</v>
      </c>
      <c r="F9642">
        <v>33</v>
      </c>
    </row>
    <row r="9643" spans="1:6">
      <c r="A9643" t="s">
        <v>9538</v>
      </c>
      <c r="B9643" t="str">
        <f t="shared" si="375"/>
        <v>0.00008%</v>
      </c>
      <c r="C9643" t="s">
        <v>10</v>
      </c>
      <c r="D9643" t="s">
        <v>10</v>
      </c>
      <c r="E9643" t="str">
        <f>"$ 581"</f>
        <v>$ 581</v>
      </c>
      <c r="F9643">
        <v>218</v>
      </c>
    </row>
    <row r="9644" spans="1:6">
      <c r="A9644" t="s">
        <v>9539</v>
      </c>
      <c r="B9644" t="str">
        <f t="shared" si="375"/>
        <v>0.00008%</v>
      </c>
      <c r="C9644" t="s">
        <v>10</v>
      </c>
      <c r="D9644" t="s">
        <v>10</v>
      </c>
      <c r="E9644" t="str">
        <f>"$ 599"</f>
        <v>$ 599</v>
      </c>
      <c r="F9644" s="1">
        <v>1239</v>
      </c>
    </row>
    <row r="9645" spans="1:6">
      <c r="A9645" t="s">
        <v>9540</v>
      </c>
      <c r="B9645" t="str">
        <f t="shared" si="375"/>
        <v>0.00008%</v>
      </c>
      <c r="C9645" t="s">
        <v>10</v>
      </c>
      <c r="D9645" t="s">
        <v>10</v>
      </c>
      <c r="E9645" t="str">
        <f>"$ 612"</f>
        <v>$ 612</v>
      </c>
      <c r="F9645">
        <v>85</v>
      </c>
    </row>
    <row r="9646" spans="1:6">
      <c r="A9646" t="s">
        <v>9541</v>
      </c>
      <c r="B9646" t="str">
        <f t="shared" si="375"/>
        <v>0.00008%</v>
      </c>
      <c r="C9646" t="s">
        <v>10</v>
      </c>
      <c r="D9646" t="s">
        <v>10</v>
      </c>
      <c r="E9646" t="str">
        <f>"$ 613"</f>
        <v>$ 613</v>
      </c>
      <c r="F9646">
        <v>414</v>
      </c>
    </row>
    <row r="9647" spans="1:6">
      <c r="A9647" t="s">
        <v>9542</v>
      </c>
      <c r="B9647" t="str">
        <f t="shared" si="375"/>
        <v>0.00008%</v>
      </c>
      <c r="C9647" t="s">
        <v>10</v>
      </c>
      <c r="D9647" t="s">
        <v>10</v>
      </c>
      <c r="E9647" t="str">
        <f>"$ 610"</f>
        <v>$ 610</v>
      </c>
      <c r="F9647">
        <v>958</v>
      </c>
    </row>
    <row r="9648" spans="1:6">
      <c r="A9648" t="s">
        <v>9543</v>
      </c>
      <c r="B9648" t="str">
        <f t="shared" si="375"/>
        <v>0.00008%</v>
      </c>
      <c r="C9648" t="s">
        <v>10</v>
      </c>
      <c r="D9648" t="s">
        <v>10</v>
      </c>
      <c r="E9648" t="str">
        <f>"$ 656"</f>
        <v>$ 656</v>
      </c>
      <c r="F9648">
        <v>43</v>
      </c>
    </row>
    <row r="9649" spans="1:6">
      <c r="A9649" t="s">
        <v>9544</v>
      </c>
      <c r="B9649" t="str">
        <f t="shared" si="375"/>
        <v>0.00008%</v>
      </c>
      <c r="C9649" t="s">
        <v>10</v>
      </c>
      <c r="D9649" t="s">
        <v>10</v>
      </c>
      <c r="E9649" t="str">
        <f>"$ 650"</f>
        <v>$ 650</v>
      </c>
      <c r="F9649">
        <v>16</v>
      </c>
    </row>
    <row r="9650" spans="1:6">
      <c r="A9650" t="s">
        <v>9545</v>
      </c>
      <c r="B9650" t="str">
        <f t="shared" si="375"/>
        <v>0.00008%</v>
      </c>
      <c r="C9650" t="s">
        <v>10</v>
      </c>
      <c r="D9650" t="s">
        <v>10</v>
      </c>
      <c r="E9650" t="str">
        <f>"$ 648"</f>
        <v>$ 648</v>
      </c>
      <c r="F9650">
        <v>39</v>
      </c>
    </row>
    <row r="9651" spans="1:6">
      <c r="A9651" t="s">
        <v>8006</v>
      </c>
      <c r="B9651" t="str">
        <f t="shared" si="375"/>
        <v>0.00008%</v>
      </c>
      <c r="C9651" t="s">
        <v>10</v>
      </c>
      <c r="D9651" t="s">
        <v>10</v>
      </c>
      <c r="E9651" t="str">
        <f>"$ 588"</f>
        <v>$ 588</v>
      </c>
      <c r="F9651">
        <v>223</v>
      </c>
    </row>
    <row r="9652" spans="1:6">
      <c r="A9652" t="s">
        <v>9546</v>
      </c>
      <c r="B9652" t="str">
        <f t="shared" si="375"/>
        <v>0.00008%</v>
      </c>
      <c r="C9652" t="s">
        <v>10</v>
      </c>
      <c r="D9652" t="s">
        <v>10</v>
      </c>
      <c r="E9652" t="str">
        <f>"$ 610"</f>
        <v>$ 610</v>
      </c>
      <c r="F9652" s="1">
        <v>1369</v>
      </c>
    </row>
    <row r="9653" spans="1:6">
      <c r="A9653" t="s">
        <v>9547</v>
      </c>
      <c r="B9653" t="str">
        <f t="shared" si="375"/>
        <v>0.00008%</v>
      </c>
      <c r="C9653" t="s">
        <v>10</v>
      </c>
      <c r="D9653" t="s">
        <v>10</v>
      </c>
      <c r="E9653" t="str">
        <f>"$ 625"</f>
        <v>$ 625</v>
      </c>
      <c r="F9653">
        <v>691</v>
      </c>
    </row>
    <row r="9654" spans="1:6">
      <c r="A9654" t="s">
        <v>9548</v>
      </c>
      <c r="B9654" t="str">
        <f t="shared" si="375"/>
        <v>0.00008%</v>
      </c>
      <c r="C9654" t="s">
        <v>10</v>
      </c>
      <c r="D9654" t="s">
        <v>10</v>
      </c>
      <c r="E9654" t="str">
        <f>"$ 615"</f>
        <v>$ 615</v>
      </c>
      <c r="F9654">
        <v>230</v>
      </c>
    </row>
    <row r="9655" spans="1:6">
      <c r="A9655" t="s">
        <v>9549</v>
      </c>
      <c r="B9655" t="str">
        <f t="shared" si="375"/>
        <v>0.00008%</v>
      </c>
      <c r="C9655" t="s">
        <v>10</v>
      </c>
      <c r="D9655" t="s">
        <v>10</v>
      </c>
      <c r="E9655" t="str">
        <f>"$ 621"</f>
        <v>$ 621</v>
      </c>
      <c r="F9655">
        <v>452</v>
      </c>
    </row>
    <row r="9656" spans="1:6">
      <c r="A9656" t="s">
        <v>9550</v>
      </c>
      <c r="B9656" t="str">
        <f t="shared" si="375"/>
        <v>0.00008%</v>
      </c>
      <c r="C9656" t="s">
        <v>10</v>
      </c>
      <c r="D9656" t="s">
        <v>10</v>
      </c>
      <c r="E9656" t="str">
        <f>"$ 605"</f>
        <v>$ 605</v>
      </c>
      <c r="F9656">
        <v>291</v>
      </c>
    </row>
    <row r="9657" spans="1:6">
      <c r="A9657" t="s">
        <v>9551</v>
      </c>
      <c r="B9657" t="str">
        <f t="shared" si="375"/>
        <v>0.00008%</v>
      </c>
      <c r="C9657" t="s">
        <v>10</v>
      </c>
      <c r="D9657" t="s">
        <v>10</v>
      </c>
      <c r="E9657" t="str">
        <f>"$ 599"</f>
        <v>$ 599</v>
      </c>
      <c r="F9657">
        <v>85</v>
      </c>
    </row>
    <row r="9658" spans="1:6">
      <c r="A9658" t="s">
        <v>9552</v>
      </c>
      <c r="B9658" t="str">
        <f t="shared" si="375"/>
        <v>0.00008%</v>
      </c>
      <c r="C9658" t="s">
        <v>10</v>
      </c>
      <c r="D9658" t="s">
        <v>10</v>
      </c>
      <c r="E9658" t="str">
        <f>"$ 580"</f>
        <v>$ 580</v>
      </c>
      <c r="F9658">
        <v>195</v>
      </c>
    </row>
    <row r="9659" spans="1:6">
      <c r="A9659" t="s">
        <v>9553</v>
      </c>
      <c r="B9659" t="str">
        <f t="shared" si="375"/>
        <v>0.00008%</v>
      </c>
      <c r="C9659" t="s">
        <v>10</v>
      </c>
      <c r="D9659" t="s">
        <v>10</v>
      </c>
      <c r="E9659" t="str">
        <f>"$ 594"</f>
        <v>$ 594</v>
      </c>
      <c r="F9659">
        <v>45</v>
      </c>
    </row>
    <row r="9660" spans="1:6">
      <c r="A9660" t="s">
        <v>9554</v>
      </c>
      <c r="B9660" t="str">
        <f t="shared" si="375"/>
        <v>0.00008%</v>
      </c>
      <c r="C9660" t="s">
        <v>10</v>
      </c>
      <c r="D9660" t="s">
        <v>10</v>
      </c>
      <c r="E9660" t="str">
        <f>"$ 617"</f>
        <v>$ 617</v>
      </c>
      <c r="F9660">
        <v>99</v>
      </c>
    </row>
    <row r="9661" spans="1:6">
      <c r="A9661" t="s">
        <v>9555</v>
      </c>
      <c r="B9661" t="str">
        <f t="shared" si="375"/>
        <v>0.00008%</v>
      </c>
      <c r="C9661" t="s">
        <v>10</v>
      </c>
      <c r="D9661" t="s">
        <v>10</v>
      </c>
      <c r="E9661" t="str">
        <f>"$ 585"</f>
        <v>$ 585</v>
      </c>
      <c r="F9661">
        <v>964</v>
      </c>
    </row>
    <row r="9662" spans="1:6">
      <c r="A9662" t="s">
        <v>9556</v>
      </c>
      <c r="B9662" t="str">
        <f t="shared" si="375"/>
        <v>0.00008%</v>
      </c>
      <c r="C9662" t="s">
        <v>10</v>
      </c>
      <c r="D9662" t="s">
        <v>10</v>
      </c>
      <c r="E9662" t="str">
        <f>"$ 613"</f>
        <v>$ 613</v>
      </c>
      <c r="F9662">
        <v>187</v>
      </c>
    </row>
    <row r="9663" spans="1:6">
      <c r="A9663" t="s">
        <v>9557</v>
      </c>
      <c r="B9663" t="str">
        <f t="shared" si="375"/>
        <v>0.00008%</v>
      </c>
      <c r="C9663" t="s">
        <v>10</v>
      </c>
      <c r="D9663" t="s">
        <v>10</v>
      </c>
      <c r="E9663" t="str">
        <f>"$ 609"</f>
        <v>$ 609</v>
      </c>
      <c r="F9663">
        <v>262</v>
      </c>
    </row>
    <row r="9664" spans="1:6">
      <c r="A9664" t="s">
        <v>9558</v>
      </c>
      <c r="B9664" t="str">
        <f t="shared" si="375"/>
        <v>0.00008%</v>
      </c>
      <c r="C9664" t="s">
        <v>10</v>
      </c>
      <c r="D9664" t="s">
        <v>10</v>
      </c>
      <c r="E9664" t="str">
        <f>"$ 620"</f>
        <v>$ 620</v>
      </c>
      <c r="F9664">
        <v>49</v>
      </c>
    </row>
    <row r="9665" spans="1:6">
      <c r="A9665" t="s">
        <v>9559</v>
      </c>
      <c r="B9665" t="str">
        <f t="shared" ref="B9665:B9728" si="376">"0.00008%"</f>
        <v>0.00008%</v>
      </c>
      <c r="C9665" t="s">
        <v>10</v>
      </c>
      <c r="D9665" t="s">
        <v>10</v>
      </c>
      <c r="E9665" t="str">
        <f>"$ 628"</f>
        <v>$ 628</v>
      </c>
      <c r="F9665">
        <v>542</v>
      </c>
    </row>
    <row r="9666" spans="1:6">
      <c r="A9666" t="s">
        <v>9560</v>
      </c>
      <c r="B9666" t="str">
        <f t="shared" si="376"/>
        <v>0.00008%</v>
      </c>
      <c r="C9666" t="s">
        <v>10</v>
      </c>
      <c r="D9666" t="s">
        <v>10</v>
      </c>
      <c r="E9666" t="str">
        <f>"$ 645"</f>
        <v>$ 645</v>
      </c>
      <c r="F9666">
        <v>488</v>
      </c>
    </row>
    <row r="9667" spans="1:6">
      <c r="A9667" t="s">
        <v>9561</v>
      </c>
      <c r="B9667" t="str">
        <f t="shared" si="376"/>
        <v>0.00008%</v>
      </c>
      <c r="C9667" t="s">
        <v>10</v>
      </c>
      <c r="D9667" t="s">
        <v>10</v>
      </c>
      <c r="E9667" t="str">
        <f>"$ 636"</f>
        <v>$ 636</v>
      </c>
      <c r="F9667">
        <v>254</v>
      </c>
    </row>
    <row r="9668" spans="1:6">
      <c r="A9668" t="s">
        <v>9562</v>
      </c>
      <c r="B9668" t="str">
        <f t="shared" si="376"/>
        <v>0.00008%</v>
      </c>
      <c r="C9668" t="s">
        <v>10</v>
      </c>
      <c r="D9668" t="s">
        <v>10</v>
      </c>
      <c r="E9668" t="str">
        <f>"$ 591"</f>
        <v>$ 591</v>
      </c>
      <c r="F9668">
        <v>636</v>
      </c>
    </row>
    <row r="9669" spans="1:6">
      <c r="A9669" t="s">
        <v>9563</v>
      </c>
      <c r="B9669" t="str">
        <f t="shared" si="376"/>
        <v>0.00008%</v>
      </c>
      <c r="C9669" t="s">
        <v>10</v>
      </c>
      <c r="D9669" t="s">
        <v>10</v>
      </c>
      <c r="E9669" t="str">
        <f>"$ 619"</f>
        <v>$ 619</v>
      </c>
      <c r="F9669">
        <v>632</v>
      </c>
    </row>
    <row r="9670" spans="1:6">
      <c r="A9670" t="s">
        <v>9564</v>
      </c>
      <c r="B9670" t="str">
        <f t="shared" si="376"/>
        <v>0.00008%</v>
      </c>
      <c r="C9670" t="s">
        <v>10</v>
      </c>
      <c r="D9670" t="s">
        <v>10</v>
      </c>
      <c r="E9670" t="str">
        <f>"$ 590"</f>
        <v>$ 590</v>
      </c>
      <c r="F9670">
        <v>162</v>
      </c>
    </row>
    <row r="9671" spans="1:6">
      <c r="A9671" t="s">
        <v>9565</v>
      </c>
      <c r="B9671" t="str">
        <f t="shared" si="376"/>
        <v>0.00008%</v>
      </c>
      <c r="C9671" t="s">
        <v>10</v>
      </c>
      <c r="D9671" t="s">
        <v>10</v>
      </c>
      <c r="E9671" t="str">
        <f>"$ 606"</f>
        <v>$ 606</v>
      </c>
      <c r="F9671">
        <v>98</v>
      </c>
    </row>
    <row r="9672" spans="1:6">
      <c r="A9672" t="s">
        <v>9566</v>
      </c>
      <c r="B9672" t="str">
        <f t="shared" si="376"/>
        <v>0.00008%</v>
      </c>
      <c r="C9672" t="s">
        <v>10</v>
      </c>
      <c r="D9672" t="s">
        <v>10</v>
      </c>
      <c r="E9672" t="str">
        <f>"$ 589"</f>
        <v>$ 589</v>
      </c>
      <c r="F9672">
        <v>130</v>
      </c>
    </row>
    <row r="9673" spans="1:6">
      <c r="A9673" t="s">
        <v>9567</v>
      </c>
      <c r="B9673" t="str">
        <f t="shared" si="376"/>
        <v>0.00008%</v>
      </c>
      <c r="C9673" t="s">
        <v>10</v>
      </c>
      <c r="D9673" t="s">
        <v>10</v>
      </c>
      <c r="E9673" t="str">
        <f>"$ 631"</f>
        <v>$ 631</v>
      </c>
      <c r="F9673">
        <v>841</v>
      </c>
    </row>
    <row r="9674" spans="1:6">
      <c r="A9674" t="s">
        <v>9568</v>
      </c>
      <c r="B9674" t="str">
        <f t="shared" si="376"/>
        <v>0.00008%</v>
      </c>
      <c r="C9674" t="s">
        <v>10</v>
      </c>
      <c r="D9674" t="s">
        <v>10</v>
      </c>
      <c r="E9674" t="str">
        <f>"$ 584"</f>
        <v>$ 584</v>
      </c>
      <c r="F9674">
        <v>106</v>
      </c>
    </row>
    <row r="9675" spans="1:6">
      <c r="A9675" t="s">
        <v>9569</v>
      </c>
      <c r="B9675" t="str">
        <f t="shared" si="376"/>
        <v>0.00008%</v>
      </c>
      <c r="C9675" t="s">
        <v>10</v>
      </c>
      <c r="D9675" t="s">
        <v>10</v>
      </c>
      <c r="E9675" t="str">
        <f>"$ 584"</f>
        <v>$ 584</v>
      </c>
      <c r="F9675">
        <v>514</v>
      </c>
    </row>
    <row r="9676" spans="1:6">
      <c r="A9676" t="s">
        <v>9570</v>
      </c>
      <c r="B9676" t="str">
        <f t="shared" si="376"/>
        <v>0.00008%</v>
      </c>
      <c r="C9676" t="s">
        <v>10</v>
      </c>
      <c r="D9676" t="s">
        <v>10</v>
      </c>
      <c r="E9676" t="str">
        <f>"$ 652"</f>
        <v>$ 652</v>
      </c>
      <c r="F9676">
        <v>246</v>
      </c>
    </row>
    <row r="9677" spans="1:6">
      <c r="A9677" t="s">
        <v>9571</v>
      </c>
      <c r="B9677" t="str">
        <f t="shared" si="376"/>
        <v>0.00008%</v>
      </c>
      <c r="C9677" t="s">
        <v>10</v>
      </c>
      <c r="D9677" t="s">
        <v>10</v>
      </c>
      <c r="E9677" t="str">
        <f>"$ 604"</f>
        <v>$ 604</v>
      </c>
      <c r="F9677">
        <v>526</v>
      </c>
    </row>
    <row r="9678" spans="1:6">
      <c r="A9678" t="s">
        <v>9572</v>
      </c>
      <c r="B9678" t="str">
        <f t="shared" si="376"/>
        <v>0.00008%</v>
      </c>
      <c r="C9678" t="s">
        <v>10</v>
      </c>
      <c r="D9678" t="s">
        <v>10</v>
      </c>
      <c r="E9678" t="str">
        <f>"$ 602"</f>
        <v>$ 602</v>
      </c>
      <c r="F9678">
        <v>410</v>
      </c>
    </row>
    <row r="9679" spans="1:6">
      <c r="A9679" t="s">
        <v>9573</v>
      </c>
      <c r="B9679" t="str">
        <f t="shared" si="376"/>
        <v>0.00008%</v>
      </c>
      <c r="C9679" t="s">
        <v>10</v>
      </c>
      <c r="D9679" t="s">
        <v>10</v>
      </c>
      <c r="E9679" t="str">
        <f>"$ 584"</f>
        <v>$ 584</v>
      </c>
      <c r="F9679">
        <v>16</v>
      </c>
    </row>
    <row r="9680" spans="1:6">
      <c r="A9680" t="s">
        <v>9574</v>
      </c>
      <c r="B9680" t="str">
        <f t="shared" si="376"/>
        <v>0.00008%</v>
      </c>
      <c r="C9680" t="s">
        <v>10</v>
      </c>
      <c r="D9680" t="s">
        <v>10</v>
      </c>
      <c r="E9680" t="str">
        <f>"$ 579"</f>
        <v>$ 579</v>
      </c>
      <c r="F9680" s="1">
        <v>91697</v>
      </c>
    </row>
    <row r="9681" spans="1:6">
      <c r="A9681" t="s">
        <v>9404</v>
      </c>
      <c r="B9681" t="str">
        <f t="shared" si="376"/>
        <v>0.00008%</v>
      </c>
      <c r="C9681" t="s">
        <v>10</v>
      </c>
      <c r="D9681" t="s">
        <v>10</v>
      </c>
      <c r="E9681" t="str">
        <f>"$ 590"</f>
        <v>$ 590</v>
      </c>
      <c r="F9681">
        <v>206</v>
      </c>
    </row>
    <row r="9682" spans="1:6">
      <c r="A9682" t="s">
        <v>9575</v>
      </c>
      <c r="B9682" t="str">
        <f t="shared" si="376"/>
        <v>0.00008%</v>
      </c>
      <c r="C9682" t="s">
        <v>10</v>
      </c>
      <c r="D9682" t="s">
        <v>10</v>
      </c>
      <c r="E9682" t="str">
        <f>"$ 612"</f>
        <v>$ 612</v>
      </c>
      <c r="F9682">
        <v>481</v>
      </c>
    </row>
    <row r="9683" spans="1:6">
      <c r="A9683" t="s">
        <v>9576</v>
      </c>
      <c r="B9683" t="str">
        <f t="shared" si="376"/>
        <v>0.00008%</v>
      </c>
      <c r="C9683" t="s">
        <v>10</v>
      </c>
      <c r="D9683" t="s">
        <v>10</v>
      </c>
      <c r="E9683" t="str">
        <f>"$ 642"</f>
        <v>$ 642</v>
      </c>
      <c r="F9683">
        <v>73</v>
      </c>
    </row>
    <row r="9684" spans="1:6">
      <c r="A9684" t="s">
        <v>9577</v>
      </c>
      <c r="B9684" t="str">
        <f t="shared" si="376"/>
        <v>0.00008%</v>
      </c>
      <c r="C9684" t="s">
        <v>10</v>
      </c>
      <c r="D9684" t="s">
        <v>10</v>
      </c>
      <c r="E9684" t="str">
        <f>"$ 647"</f>
        <v>$ 647</v>
      </c>
      <c r="F9684">
        <v>754</v>
      </c>
    </row>
    <row r="9685" spans="1:6">
      <c r="A9685" t="s">
        <v>9578</v>
      </c>
      <c r="B9685" t="str">
        <f t="shared" si="376"/>
        <v>0.00008%</v>
      </c>
      <c r="C9685" t="s">
        <v>10</v>
      </c>
      <c r="D9685" t="s">
        <v>10</v>
      </c>
      <c r="E9685" t="str">
        <f>"$ 611"</f>
        <v>$ 611</v>
      </c>
      <c r="F9685">
        <v>47</v>
      </c>
    </row>
    <row r="9686" spans="1:6">
      <c r="A9686" t="s">
        <v>9579</v>
      </c>
      <c r="B9686" t="str">
        <f t="shared" si="376"/>
        <v>0.00008%</v>
      </c>
      <c r="C9686" t="s">
        <v>10</v>
      </c>
      <c r="D9686" t="s">
        <v>10</v>
      </c>
      <c r="E9686" t="str">
        <f>"$ 619"</f>
        <v>$ 619</v>
      </c>
      <c r="F9686">
        <v>122</v>
      </c>
    </row>
    <row r="9687" spans="1:6">
      <c r="A9687" t="s">
        <v>9580</v>
      </c>
      <c r="B9687" t="str">
        <f t="shared" si="376"/>
        <v>0.00008%</v>
      </c>
      <c r="C9687" t="s">
        <v>10</v>
      </c>
      <c r="D9687" t="s">
        <v>10</v>
      </c>
      <c r="E9687" t="str">
        <f>"$ 634"</f>
        <v>$ 634</v>
      </c>
      <c r="F9687">
        <v>81</v>
      </c>
    </row>
    <row r="9688" spans="1:6">
      <c r="A9688" t="s">
        <v>9581</v>
      </c>
      <c r="B9688" t="str">
        <f t="shared" si="376"/>
        <v>0.00008%</v>
      </c>
      <c r="C9688" t="s">
        <v>10</v>
      </c>
      <c r="D9688" t="s">
        <v>10</v>
      </c>
      <c r="E9688" t="str">
        <f>"$ 585"</f>
        <v>$ 585</v>
      </c>
      <c r="F9688">
        <v>78</v>
      </c>
    </row>
    <row r="9689" spans="1:6">
      <c r="A9689" t="s">
        <v>9582</v>
      </c>
      <c r="B9689" t="str">
        <f t="shared" si="376"/>
        <v>0.00008%</v>
      </c>
      <c r="C9689" t="s">
        <v>10</v>
      </c>
      <c r="D9689" t="s">
        <v>10</v>
      </c>
      <c r="E9689" t="str">
        <f>"$ 638"</f>
        <v>$ 638</v>
      </c>
      <c r="F9689">
        <v>115</v>
      </c>
    </row>
    <row r="9690" spans="1:6">
      <c r="A9690" t="s">
        <v>9583</v>
      </c>
      <c r="B9690" t="str">
        <f t="shared" si="376"/>
        <v>0.00008%</v>
      </c>
      <c r="C9690" t="s">
        <v>10</v>
      </c>
      <c r="D9690" t="s">
        <v>10</v>
      </c>
      <c r="E9690" t="str">
        <f>"$ 633"</f>
        <v>$ 633</v>
      </c>
      <c r="F9690">
        <v>157</v>
      </c>
    </row>
    <row r="9691" spans="1:6">
      <c r="A9691" t="s">
        <v>9584</v>
      </c>
      <c r="B9691" t="str">
        <f t="shared" si="376"/>
        <v>0.00008%</v>
      </c>
      <c r="C9691" t="s">
        <v>10</v>
      </c>
      <c r="D9691" t="s">
        <v>10</v>
      </c>
      <c r="E9691" t="str">
        <f>"$ 602"</f>
        <v>$ 602</v>
      </c>
      <c r="F9691">
        <v>50</v>
      </c>
    </row>
    <row r="9692" spans="1:6">
      <c r="A9692" t="s">
        <v>9585</v>
      </c>
      <c r="B9692" t="str">
        <f t="shared" si="376"/>
        <v>0.00008%</v>
      </c>
      <c r="C9692" t="s">
        <v>10</v>
      </c>
      <c r="D9692" t="s">
        <v>10</v>
      </c>
      <c r="E9692" t="str">
        <f>"$ 595"</f>
        <v>$ 595</v>
      </c>
      <c r="F9692">
        <v>209</v>
      </c>
    </row>
    <row r="9693" spans="1:6">
      <c r="A9693" t="s">
        <v>9586</v>
      </c>
      <c r="B9693" t="str">
        <f t="shared" si="376"/>
        <v>0.00008%</v>
      </c>
      <c r="C9693" t="s">
        <v>10</v>
      </c>
      <c r="D9693" t="s">
        <v>10</v>
      </c>
      <c r="E9693" t="str">
        <f>"$ 628"</f>
        <v>$ 628</v>
      </c>
      <c r="F9693">
        <v>49</v>
      </c>
    </row>
    <row r="9694" spans="1:6">
      <c r="A9694" t="s">
        <v>9587</v>
      </c>
      <c r="B9694" t="str">
        <f t="shared" si="376"/>
        <v>0.00008%</v>
      </c>
      <c r="C9694" t="s">
        <v>10</v>
      </c>
      <c r="D9694" t="s">
        <v>10</v>
      </c>
      <c r="E9694" t="str">
        <f>"$ 623"</f>
        <v>$ 623</v>
      </c>
      <c r="F9694">
        <v>554</v>
      </c>
    </row>
    <row r="9695" spans="1:6">
      <c r="A9695" t="s">
        <v>9588</v>
      </c>
      <c r="B9695" t="str">
        <f t="shared" si="376"/>
        <v>0.00008%</v>
      </c>
      <c r="C9695" t="s">
        <v>10</v>
      </c>
      <c r="D9695" t="s">
        <v>10</v>
      </c>
      <c r="E9695" t="str">
        <f>"$ 601"</f>
        <v>$ 601</v>
      </c>
      <c r="F9695">
        <v>603</v>
      </c>
    </row>
    <row r="9696" spans="1:6">
      <c r="A9696" t="s">
        <v>9589</v>
      </c>
      <c r="B9696" t="str">
        <f t="shared" si="376"/>
        <v>0.00008%</v>
      </c>
      <c r="C9696" t="s">
        <v>10</v>
      </c>
      <c r="D9696" t="s">
        <v>10</v>
      </c>
      <c r="E9696" t="str">
        <f>"$ 642"</f>
        <v>$ 642</v>
      </c>
      <c r="F9696">
        <v>625</v>
      </c>
    </row>
    <row r="9697" spans="1:6">
      <c r="A9697" t="s">
        <v>9590</v>
      </c>
      <c r="B9697" t="str">
        <f t="shared" si="376"/>
        <v>0.00008%</v>
      </c>
      <c r="C9697" t="s">
        <v>10</v>
      </c>
      <c r="D9697" t="s">
        <v>10</v>
      </c>
      <c r="E9697" t="str">
        <f>"$ 607"</f>
        <v>$ 607</v>
      </c>
      <c r="F9697">
        <v>37</v>
      </c>
    </row>
    <row r="9698" spans="1:6">
      <c r="A9698" t="s">
        <v>9591</v>
      </c>
      <c r="B9698" t="str">
        <f t="shared" si="376"/>
        <v>0.00008%</v>
      </c>
      <c r="C9698" t="s">
        <v>10</v>
      </c>
      <c r="D9698" t="s">
        <v>10</v>
      </c>
      <c r="E9698" t="str">
        <f>"$ 621"</f>
        <v>$ 621</v>
      </c>
      <c r="F9698">
        <v>66</v>
      </c>
    </row>
    <row r="9699" spans="1:6">
      <c r="A9699" t="s">
        <v>9592</v>
      </c>
      <c r="B9699" t="str">
        <f t="shared" si="376"/>
        <v>0.00008%</v>
      </c>
      <c r="C9699" t="s">
        <v>10</v>
      </c>
      <c r="D9699" t="s">
        <v>10</v>
      </c>
      <c r="E9699" t="str">
        <f>"$ 608"</f>
        <v>$ 608</v>
      </c>
      <c r="F9699">
        <v>56</v>
      </c>
    </row>
    <row r="9700" spans="1:6">
      <c r="A9700" t="s">
        <v>9593</v>
      </c>
      <c r="B9700" t="str">
        <f t="shared" si="376"/>
        <v>0.00008%</v>
      </c>
      <c r="C9700" t="s">
        <v>10</v>
      </c>
      <c r="D9700" t="s">
        <v>10</v>
      </c>
      <c r="E9700" t="str">
        <f>"$ 592"</f>
        <v>$ 592</v>
      </c>
      <c r="F9700">
        <v>30</v>
      </c>
    </row>
    <row r="9701" spans="1:6">
      <c r="A9701" t="s">
        <v>9594</v>
      </c>
      <c r="B9701" t="str">
        <f t="shared" si="376"/>
        <v>0.00008%</v>
      </c>
      <c r="C9701" t="s">
        <v>10</v>
      </c>
      <c r="D9701" t="s">
        <v>10</v>
      </c>
      <c r="E9701" t="str">
        <f>"$ 635"</f>
        <v>$ 635</v>
      </c>
      <c r="F9701">
        <v>42</v>
      </c>
    </row>
    <row r="9702" spans="1:6">
      <c r="A9702" t="s">
        <v>9595</v>
      </c>
      <c r="B9702" t="str">
        <f t="shared" si="376"/>
        <v>0.00008%</v>
      </c>
      <c r="C9702" t="s">
        <v>10</v>
      </c>
      <c r="D9702" t="s">
        <v>10</v>
      </c>
      <c r="E9702" t="str">
        <f>"$ 650"</f>
        <v>$ 650</v>
      </c>
      <c r="F9702">
        <v>14</v>
      </c>
    </row>
    <row r="9703" spans="1:6">
      <c r="A9703" t="s">
        <v>9596</v>
      </c>
      <c r="B9703" t="str">
        <f t="shared" si="376"/>
        <v>0.00008%</v>
      </c>
      <c r="C9703" t="s">
        <v>10</v>
      </c>
      <c r="D9703" t="s">
        <v>10</v>
      </c>
      <c r="E9703" t="str">
        <f>"$ 648"</f>
        <v>$ 648</v>
      </c>
      <c r="F9703">
        <v>879</v>
      </c>
    </row>
    <row r="9704" spans="1:6">
      <c r="A9704" t="s">
        <v>9597</v>
      </c>
      <c r="B9704" t="str">
        <f t="shared" si="376"/>
        <v>0.00008%</v>
      </c>
      <c r="C9704" t="s">
        <v>10</v>
      </c>
      <c r="D9704" t="s">
        <v>10</v>
      </c>
      <c r="E9704" t="str">
        <f>"$ 648"</f>
        <v>$ 648</v>
      </c>
      <c r="F9704">
        <v>605</v>
      </c>
    </row>
    <row r="9705" spans="1:6">
      <c r="A9705" t="s">
        <v>9598</v>
      </c>
      <c r="B9705" t="str">
        <f t="shared" si="376"/>
        <v>0.00008%</v>
      </c>
      <c r="C9705" t="s">
        <v>10</v>
      </c>
      <c r="D9705" t="s">
        <v>10</v>
      </c>
      <c r="E9705" t="str">
        <f>"$ 648"</f>
        <v>$ 648</v>
      </c>
      <c r="F9705">
        <v>92</v>
      </c>
    </row>
    <row r="9706" spans="1:6">
      <c r="A9706" t="s">
        <v>9599</v>
      </c>
      <c r="B9706" t="str">
        <f t="shared" si="376"/>
        <v>0.00008%</v>
      </c>
      <c r="C9706" t="s">
        <v>10</v>
      </c>
      <c r="D9706" t="s">
        <v>10</v>
      </c>
      <c r="E9706" t="str">
        <f>"$ 655"</f>
        <v>$ 655</v>
      </c>
      <c r="F9706">
        <v>496</v>
      </c>
    </row>
    <row r="9707" spans="1:6">
      <c r="A9707" t="s">
        <v>9600</v>
      </c>
      <c r="B9707" t="str">
        <f t="shared" si="376"/>
        <v>0.00008%</v>
      </c>
      <c r="C9707" t="s">
        <v>10</v>
      </c>
      <c r="D9707" t="s">
        <v>10</v>
      </c>
      <c r="E9707" t="str">
        <f>"$ 582"</f>
        <v>$ 582</v>
      </c>
      <c r="F9707">
        <v>403</v>
      </c>
    </row>
    <row r="9708" spans="1:6">
      <c r="A9708" t="s">
        <v>9601</v>
      </c>
      <c r="B9708" t="str">
        <f t="shared" si="376"/>
        <v>0.00008%</v>
      </c>
      <c r="C9708" t="s">
        <v>10</v>
      </c>
      <c r="D9708" t="s">
        <v>10</v>
      </c>
      <c r="E9708" t="str">
        <f>"$ 584"</f>
        <v>$ 584</v>
      </c>
      <c r="F9708">
        <v>545</v>
      </c>
    </row>
    <row r="9709" spans="1:6">
      <c r="A9709" t="s">
        <v>9602</v>
      </c>
      <c r="B9709" t="str">
        <f t="shared" si="376"/>
        <v>0.00008%</v>
      </c>
      <c r="C9709" t="s">
        <v>10</v>
      </c>
      <c r="D9709" t="s">
        <v>10</v>
      </c>
      <c r="E9709" t="str">
        <f>"$ 614"</f>
        <v>$ 614</v>
      </c>
      <c r="F9709">
        <v>49</v>
      </c>
    </row>
    <row r="9710" spans="1:6">
      <c r="A9710" t="s">
        <v>9603</v>
      </c>
      <c r="B9710" t="str">
        <f t="shared" si="376"/>
        <v>0.00008%</v>
      </c>
      <c r="C9710" t="s">
        <v>10</v>
      </c>
      <c r="D9710" t="s">
        <v>10</v>
      </c>
      <c r="E9710" t="str">
        <f>"$ 632"</f>
        <v>$ 632</v>
      </c>
      <c r="F9710" s="1">
        <v>1151</v>
      </c>
    </row>
    <row r="9711" spans="1:6">
      <c r="A9711" t="s">
        <v>9604</v>
      </c>
      <c r="B9711" t="str">
        <f t="shared" si="376"/>
        <v>0.00008%</v>
      </c>
      <c r="C9711" t="s">
        <v>10</v>
      </c>
      <c r="D9711" t="s">
        <v>10</v>
      </c>
      <c r="E9711" t="str">
        <f>"$ 643"</f>
        <v>$ 643</v>
      </c>
      <c r="F9711">
        <v>284</v>
      </c>
    </row>
    <row r="9712" spans="1:6">
      <c r="A9712" t="s">
        <v>9605</v>
      </c>
      <c r="B9712" t="str">
        <f t="shared" si="376"/>
        <v>0.00008%</v>
      </c>
      <c r="C9712" t="s">
        <v>10</v>
      </c>
      <c r="D9712" t="s">
        <v>10</v>
      </c>
      <c r="E9712" t="str">
        <f>"$ 642"</f>
        <v>$ 642</v>
      </c>
      <c r="F9712">
        <v>184</v>
      </c>
    </row>
    <row r="9713" spans="1:6">
      <c r="A9713" t="s">
        <v>9606</v>
      </c>
      <c r="B9713" t="str">
        <f t="shared" si="376"/>
        <v>0.00008%</v>
      </c>
      <c r="C9713" t="s">
        <v>10</v>
      </c>
      <c r="D9713" t="s">
        <v>10</v>
      </c>
      <c r="E9713" t="str">
        <f>"$ 584"</f>
        <v>$ 584</v>
      </c>
      <c r="F9713">
        <v>63</v>
      </c>
    </row>
    <row r="9714" spans="1:6">
      <c r="A9714" t="s">
        <v>9607</v>
      </c>
      <c r="B9714" t="str">
        <f t="shared" si="376"/>
        <v>0.00008%</v>
      </c>
      <c r="C9714" t="s">
        <v>10</v>
      </c>
      <c r="D9714" t="s">
        <v>10</v>
      </c>
      <c r="E9714" t="str">
        <f>"$ 588"</f>
        <v>$ 588</v>
      </c>
      <c r="F9714">
        <v>338</v>
      </c>
    </row>
    <row r="9715" spans="1:6">
      <c r="A9715" t="s">
        <v>9608</v>
      </c>
      <c r="B9715" t="str">
        <f t="shared" si="376"/>
        <v>0.00008%</v>
      </c>
      <c r="C9715" t="s">
        <v>10</v>
      </c>
      <c r="D9715" t="s">
        <v>10</v>
      </c>
      <c r="E9715" t="str">
        <f>"$ 650"</f>
        <v>$ 650</v>
      </c>
      <c r="F9715">
        <v>34</v>
      </c>
    </row>
    <row r="9716" spans="1:6">
      <c r="A9716" t="s">
        <v>9609</v>
      </c>
      <c r="B9716" t="str">
        <f t="shared" si="376"/>
        <v>0.00008%</v>
      </c>
      <c r="C9716" t="s">
        <v>10</v>
      </c>
      <c r="D9716" t="s">
        <v>10</v>
      </c>
      <c r="E9716" t="str">
        <f>"$ 609"</f>
        <v>$ 609</v>
      </c>
      <c r="F9716">
        <v>66</v>
      </c>
    </row>
    <row r="9717" spans="1:6">
      <c r="A9717" t="s">
        <v>9610</v>
      </c>
      <c r="B9717" t="str">
        <f t="shared" si="376"/>
        <v>0.00008%</v>
      </c>
      <c r="C9717" t="s">
        <v>10</v>
      </c>
      <c r="D9717" t="s">
        <v>10</v>
      </c>
      <c r="E9717" t="str">
        <f>"$ 590"</f>
        <v>$ 590</v>
      </c>
      <c r="F9717">
        <v>236</v>
      </c>
    </row>
    <row r="9718" spans="1:6">
      <c r="A9718" t="s">
        <v>9611</v>
      </c>
      <c r="B9718" t="str">
        <f t="shared" si="376"/>
        <v>0.00008%</v>
      </c>
      <c r="C9718" t="s">
        <v>10</v>
      </c>
      <c r="D9718" t="s">
        <v>10</v>
      </c>
      <c r="E9718" t="str">
        <f>"$ 582"</f>
        <v>$ 582</v>
      </c>
      <c r="F9718">
        <v>68</v>
      </c>
    </row>
    <row r="9719" spans="1:6">
      <c r="A9719" t="s">
        <v>9612</v>
      </c>
      <c r="B9719" t="str">
        <f t="shared" si="376"/>
        <v>0.00008%</v>
      </c>
      <c r="C9719" t="s">
        <v>10</v>
      </c>
      <c r="D9719" t="s">
        <v>10</v>
      </c>
      <c r="E9719" t="str">
        <f>"$ 606"</f>
        <v>$ 606</v>
      </c>
      <c r="F9719">
        <v>808</v>
      </c>
    </row>
    <row r="9720" spans="1:6">
      <c r="A9720" t="s">
        <v>9613</v>
      </c>
      <c r="B9720" t="str">
        <f t="shared" si="376"/>
        <v>0.00008%</v>
      </c>
      <c r="C9720" t="s">
        <v>10</v>
      </c>
      <c r="D9720" t="s">
        <v>10</v>
      </c>
      <c r="E9720" t="str">
        <f>"$ 629"</f>
        <v>$ 629</v>
      </c>
      <c r="F9720">
        <v>60</v>
      </c>
    </row>
    <row r="9721" spans="1:6">
      <c r="A9721" t="s">
        <v>9614</v>
      </c>
      <c r="B9721" t="str">
        <f t="shared" si="376"/>
        <v>0.00008%</v>
      </c>
      <c r="C9721" t="s">
        <v>10</v>
      </c>
      <c r="D9721" t="s">
        <v>10</v>
      </c>
      <c r="E9721" t="str">
        <f>"$ 651"</f>
        <v>$ 651</v>
      </c>
      <c r="F9721">
        <v>33</v>
      </c>
    </row>
    <row r="9722" spans="1:6">
      <c r="A9722" t="s">
        <v>9615</v>
      </c>
      <c r="B9722" t="str">
        <f t="shared" si="376"/>
        <v>0.00008%</v>
      </c>
      <c r="C9722" t="s">
        <v>10</v>
      </c>
      <c r="D9722" t="s">
        <v>10</v>
      </c>
      <c r="E9722" t="str">
        <f>"$ 648"</f>
        <v>$ 648</v>
      </c>
      <c r="F9722">
        <v>303</v>
      </c>
    </row>
    <row r="9723" spans="1:6">
      <c r="A9723" t="s">
        <v>9616</v>
      </c>
      <c r="B9723" t="str">
        <f t="shared" si="376"/>
        <v>0.00008%</v>
      </c>
      <c r="C9723" t="s">
        <v>10</v>
      </c>
      <c r="D9723" t="s">
        <v>10</v>
      </c>
      <c r="E9723" t="str">
        <f>"$ 656"</f>
        <v>$ 656</v>
      </c>
      <c r="F9723">
        <v>228</v>
      </c>
    </row>
    <row r="9724" spans="1:6">
      <c r="A9724" t="s">
        <v>9617</v>
      </c>
      <c r="B9724" t="str">
        <f t="shared" si="376"/>
        <v>0.00008%</v>
      </c>
      <c r="C9724" t="s">
        <v>10</v>
      </c>
      <c r="D9724" t="s">
        <v>10</v>
      </c>
      <c r="E9724" t="str">
        <f>"$ 653"</f>
        <v>$ 653</v>
      </c>
      <c r="F9724">
        <v>190</v>
      </c>
    </row>
    <row r="9725" spans="1:6">
      <c r="A9725" t="s">
        <v>9618</v>
      </c>
      <c r="B9725" t="str">
        <f t="shared" si="376"/>
        <v>0.00008%</v>
      </c>
      <c r="C9725" t="s">
        <v>10</v>
      </c>
      <c r="D9725" t="s">
        <v>10</v>
      </c>
      <c r="E9725" t="str">
        <f>"$ 628"</f>
        <v>$ 628</v>
      </c>
      <c r="F9725">
        <v>126</v>
      </c>
    </row>
    <row r="9726" spans="1:6">
      <c r="A9726" t="s">
        <v>9619</v>
      </c>
      <c r="B9726" t="str">
        <f t="shared" si="376"/>
        <v>0.00008%</v>
      </c>
      <c r="C9726" t="s">
        <v>10</v>
      </c>
      <c r="D9726" t="s">
        <v>10</v>
      </c>
      <c r="E9726" t="str">
        <f>"$ 593"</f>
        <v>$ 593</v>
      </c>
      <c r="F9726">
        <v>185</v>
      </c>
    </row>
    <row r="9727" spans="1:6">
      <c r="A9727" t="s">
        <v>9620</v>
      </c>
      <c r="B9727" t="str">
        <f t="shared" si="376"/>
        <v>0.00008%</v>
      </c>
      <c r="C9727" t="s">
        <v>10</v>
      </c>
      <c r="D9727" t="s">
        <v>10</v>
      </c>
      <c r="E9727" t="str">
        <f>"$ 598"</f>
        <v>$ 598</v>
      </c>
      <c r="F9727">
        <v>167</v>
      </c>
    </row>
    <row r="9728" spans="1:6">
      <c r="A9728" t="s">
        <v>9621</v>
      </c>
      <c r="B9728" t="str">
        <f t="shared" si="376"/>
        <v>0.00008%</v>
      </c>
      <c r="C9728" t="s">
        <v>10</v>
      </c>
      <c r="D9728" t="s">
        <v>10</v>
      </c>
      <c r="E9728" t="str">
        <f>"$ 602"</f>
        <v>$ 602</v>
      </c>
      <c r="F9728">
        <v>283</v>
      </c>
    </row>
    <row r="9729" spans="1:6">
      <c r="A9729" t="s">
        <v>9622</v>
      </c>
      <c r="B9729" t="str">
        <f t="shared" ref="B9729:B9792" si="377">"0.00008%"</f>
        <v>0.00008%</v>
      </c>
      <c r="C9729" t="s">
        <v>10</v>
      </c>
      <c r="D9729" t="s">
        <v>10</v>
      </c>
      <c r="E9729" t="str">
        <f>"$ 614"</f>
        <v>$ 614</v>
      </c>
      <c r="F9729">
        <v>48</v>
      </c>
    </row>
    <row r="9730" spans="1:6">
      <c r="A9730" t="s">
        <v>9623</v>
      </c>
      <c r="B9730" t="str">
        <f t="shared" si="377"/>
        <v>0.00008%</v>
      </c>
      <c r="C9730" t="s">
        <v>10</v>
      </c>
      <c r="D9730" t="s">
        <v>10</v>
      </c>
      <c r="E9730" t="str">
        <f>"$ 613"</f>
        <v>$ 613</v>
      </c>
      <c r="F9730">
        <v>98</v>
      </c>
    </row>
    <row r="9731" spans="1:6">
      <c r="A9731" t="s">
        <v>9624</v>
      </c>
      <c r="B9731" t="str">
        <f t="shared" si="377"/>
        <v>0.00008%</v>
      </c>
      <c r="C9731" t="s">
        <v>10</v>
      </c>
      <c r="D9731" t="s">
        <v>10</v>
      </c>
      <c r="E9731" t="str">
        <f>"$ 615"</f>
        <v>$ 615</v>
      </c>
      <c r="F9731">
        <v>50</v>
      </c>
    </row>
    <row r="9732" spans="1:6">
      <c r="A9732" t="s">
        <v>9625</v>
      </c>
      <c r="B9732" t="str">
        <f t="shared" si="377"/>
        <v>0.00008%</v>
      </c>
      <c r="C9732" t="s">
        <v>10</v>
      </c>
      <c r="D9732" t="s">
        <v>10</v>
      </c>
      <c r="E9732" t="str">
        <f>"$ 618"</f>
        <v>$ 618</v>
      </c>
      <c r="F9732">
        <v>217</v>
      </c>
    </row>
    <row r="9733" spans="1:6">
      <c r="A9733" t="s">
        <v>9626</v>
      </c>
      <c r="B9733" t="str">
        <f t="shared" si="377"/>
        <v>0.00008%</v>
      </c>
      <c r="C9733" t="s">
        <v>10</v>
      </c>
      <c r="D9733" t="s">
        <v>10</v>
      </c>
      <c r="E9733" t="str">
        <f>"$ 620"</f>
        <v>$ 620</v>
      </c>
      <c r="F9733">
        <v>185</v>
      </c>
    </row>
    <row r="9734" spans="1:6">
      <c r="A9734" t="s">
        <v>7935</v>
      </c>
      <c r="B9734" t="str">
        <f t="shared" si="377"/>
        <v>0.00008%</v>
      </c>
      <c r="C9734" t="s">
        <v>10</v>
      </c>
      <c r="D9734" t="s">
        <v>10</v>
      </c>
      <c r="E9734" t="str">
        <f>"$ 581"</f>
        <v>$ 581</v>
      </c>
      <c r="F9734">
        <v>358</v>
      </c>
    </row>
    <row r="9735" spans="1:6">
      <c r="A9735" t="s">
        <v>9627</v>
      </c>
      <c r="B9735" t="str">
        <f t="shared" si="377"/>
        <v>0.00008%</v>
      </c>
      <c r="C9735" t="s">
        <v>10</v>
      </c>
      <c r="D9735" t="s">
        <v>10</v>
      </c>
      <c r="E9735" t="str">
        <f>"$ 591"</f>
        <v>$ 591</v>
      </c>
      <c r="F9735">
        <v>59</v>
      </c>
    </row>
    <row r="9736" spans="1:6">
      <c r="A9736" t="s">
        <v>8765</v>
      </c>
      <c r="B9736" t="str">
        <f t="shared" si="377"/>
        <v>0.00008%</v>
      </c>
      <c r="C9736" t="s">
        <v>10</v>
      </c>
      <c r="D9736" t="s">
        <v>10</v>
      </c>
      <c r="E9736" t="str">
        <f>"$ 587"</f>
        <v>$ 587</v>
      </c>
      <c r="F9736">
        <v>130</v>
      </c>
    </row>
    <row r="9737" spans="1:6">
      <c r="A9737" t="s">
        <v>9628</v>
      </c>
      <c r="B9737" t="str">
        <f t="shared" si="377"/>
        <v>0.00008%</v>
      </c>
      <c r="C9737" t="s">
        <v>10</v>
      </c>
      <c r="D9737" t="s">
        <v>10</v>
      </c>
      <c r="E9737" t="str">
        <f>"$ 589"</f>
        <v>$ 589</v>
      </c>
      <c r="F9737">
        <v>711</v>
      </c>
    </row>
    <row r="9738" spans="1:6">
      <c r="A9738" t="s">
        <v>8392</v>
      </c>
      <c r="B9738" t="str">
        <f t="shared" si="377"/>
        <v>0.00008%</v>
      </c>
      <c r="C9738" t="s">
        <v>10</v>
      </c>
      <c r="D9738" t="s">
        <v>10</v>
      </c>
      <c r="E9738" t="str">
        <f>"$ 620"</f>
        <v>$ 620</v>
      </c>
      <c r="F9738">
        <v>197</v>
      </c>
    </row>
    <row r="9739" spans="1:6">
      <c r="A9739" t="s">
        <v>9629</v>
      </c>
      <c r="B9739" t="str">
        <f t="shared" si="377"/>
        <v>0.00008%</v>
      </c>
      <c r="C9739" t="s">
        <v>10</v>
      </c>
      <c r="D9739" t="s">
        <v>10</v>
      </c>
      <c r="E9739" t="str">
        <f>"$ 656"</f>
        <v>$ 656</v>
      </c>
      <c r="F9739">
        <v>303</v>
      </c>
    </row>
    <row r="9740" spans="1:6">
      <c r="A9740" t="s">
        <v>9630</v>
      </c>
      <c r="B9740" t="str">
        <f t="shared" si="377"/>
        <v>0.00008%</v>
      </c>
      <c r="C9740" t="s">
        <v>10</v>
      </c>
      <c r="D9740" t="s">
        <v>10</v>
      </c>
      <c r="E9740" t="str">
        <f>"$ 648"</f>
        <v>$ 648</v>
      </c>
      <c r="F9740">
        <v>56</v>
      </c>
    </row>
    <row r="9741" spans="1:6">
      <c r="A9741" t="s">
        <v>9631</v>
      </c>
      <c r="B9741" t="str">
        <f t="shared" si="377"/>
        <v>0.00008%</v>
      </c>
      <c r="C9741" t="s">
        <v>10</v>
      </c>
      <c r="D9741" t="s">
        <v>10</v>
      </c>
      <c r="E9741" t="str">
        <f>"$ 648"</f>
        <v>$ 648</v>
      </c>
      <c r="F9741">
        <v>12</v>
      </c>
    </row>
    <row r="9742" spans="1:6">
      <c r="A9742" t="s">
        <v>9632</v>
      </c>
      <c r="B9742" t="str">
        <f t="shared" si="377"/>
        <v>0.00008%</v>
      </c>
      <c r="C9742" t="s">
        <v>10</v>
      </c>
      <c r="D9742" t="s">
        <v>10</v>
      </c>
      <c r="E9742" t="str">
        <f>"$ 603"</f>
        <v>$ 603</v>
      </c>
      <c r="F9742">
        <v>152</v>
      </c>
    </row>
    <row r="9743" spans="1:6">
      <c r="A9743" t="s">
        <v>9633</v>
      </c>
      <c r="B9743" t="str">
        <f t="shared" si="377"/>
        <v>0.00008%</v>
      </c>
      <c r="C9743" t="s">
        <v>10</v>
      </c>
      <c r="D9743" t="s">
        <v>10</v>
      </c>
      <c r="E9743" t="str">
        <f>"$ 596"</f>
        <v>$ 596</v>
      </c>
      <c r="F9743">
        <v>173</v>
      </c>
    </row>
    <row r="9744" spans="1:6">
      <c r="A9744" t="s">
        <v>9634</v>
      </c>
      <c r="B9744" t="str">
        <f t="shared" si="377"/>
        <v>0.00008%</v>
      </c>
      <c r="C9744" t="s">
        <v>10</v>
      </c>
      <c r="D9744" t="s">
        <v>10</v>
      </c>
      <c r="E9744" t="str">
        <f>"$ 593"</f>
        <v>$ 593</v>
      </c>
      <c r="F9744">
        <v>332</v>
      </c>
    </row>
    <row r="9745" spans="1:6">
      <c r="A9745" t="s">
        <v>9635</v>
      </c>
      <c r="B9745" t="str">
        <f t="shared" si="377"/>
        <v>0.00008%</v>
      </c>
      <c r="C9745" t="s">
        <v>10</v>
      </c>
      <c r="D9745" t="s">
        <v>10</v>
      </c>
      <c r="E9745" t="str">
        <f>"$ 593"</f>
        <v>$ 593</v>
      </c>
      <c r="F9745">
        <v>271</v>
      </c>
    </row>
    <row r="9746" spans="1:6">
      <c r="A9746" t="s">
        <v>9636</v>
      </c>
      <c r="B9746" t="str">
        <f t="shared" si="377"/>
        <v>0.00008%</v>
      </c>
      <c r="C9746" t="s">
        <v>10</v>
      </c>
      <c r="D9746" t="s">
        <v>10</v>
      </c>
      <c r="E9746" t="str">
        <f>"$ 605"</f>
        <v>$ 605</v>
      </c>
      <c r="F9746">
        <v>303</v>
      </c>
    </row>
    <row r="9747" spans="1:6">
      <c r="A9747" t="s">
        <v>9637</v>
      </c>
      <c r="B9747" t="str">
        <f t="shared" si="377"/>
        <v>0.00008%</v>
      </c>
      <c r="C9747" t="s">
        <v>10</v>
      </c>
      <c r="D9747" t="s">
        <v>10</v>
      </c>
      <c r="E9747" t="str">
        <f>"$ 605"</f>
        <v>$ 605</v>
      </c>
      <c r="F9747">
        <v>203</v>
      </c>
    </row>
    <row r="9748" spans="1:6">
      <c r="A9748" t="s">
        <v>9638</v>
      </c>
      <c r="B9748" t="str">
        <f t="shared" si="377"/>
        <v>0.00008%</v>
      </c>
      <c r="C9748" t="s">
        <v>10</v>
      </c>
      <c r="D9748" t="s">
        <v>10</v>
      </c>
      <c r="E9748" t="str">
        <f>"$ 613"</f>
        <v>$ 613</v>
      </c>
      <c r="F9748">
        <v>310</v>
      </c>
    </row>
    <row r="9749" spans="1:6">
      <c r="A9749" t="s">
        <v>9634</v>
      </c>
      <c r="B9749" t="str">
        <f t="shared" si="377"/>
        <v>0.00008%</v>
      </c>
      <c r="C9749" t="s">
        <v>10</v>
      </c>
      <c r="D9749" t="s">
        <v>10</v>
      </c>
      <c r="E9749" t="str">
        <f>"$ 613"</f>
        <v>$ 613</v>
      </c>
      <c r="F9749">
        <v>343</v>
      </c>
    </row>
    <row r="9750" spans="1:6">
      <c r="A9750" t="s">
        <v>8762</v>
      </c>
      <c r="B9750" t="str">
        <f t="shared" si="377"/>
        <v>0.00008%</v>
      </c>
      <c r="C9750" t="s">
        <v>10</v>
      </c>
      <c r="D9750" t="s">
        <v>10</v>
      </c>
      <c r="E9750" t="str">
        <f>"$ 621"</f>
        <v>$ 621</v>
      </c>
      <c r="F9750">
        <v>100</v>
      </c>
    </row>
    <row r="9751" spans="1:6">
      <c r="A9751" t="s">
        <v>9639</v>
      </c>
      <c r="B9751" t="str">
        <f t="shared" si="377"/>
        <v>0.00008%</v>
      </c>
      <c r="C9751" t="s">
        <v>10</v>
      </c>
      <c r="D9751" t="s">
        <v>10</v>
      </c>
      <c r="E9751" t="str">
        <f>"$ 622"</f>
        <v>$ 622</v>
      </c>
      <c r="F9751">
        <v>197</v>
      </c>
    </row>
    <row r="9752" spans="1:6">
      <c r="A9752" t="s">
        <v>9640</v>
      </c>
      <c r="B9752" t="str">
        <f t="shared" si="377"/>
        <v>0.00008%</v>
      </c>
      <c r="C9752" t="s">
        <v>10</v>
      </c>
      <c r="D9752" t="s">
        <v>10</v>
      </c>
      <c r="E9752" t="str">
        <f>"$ 624"</f>
        <v>$ 624</v>
      </c>
      <c r="F9752">
        <v>845</v>
      </c>
    </row>
    <row r="9753" spans="1:6">
      <c r="A9753" t="s">
        <v>9641</v>
      </c>
      <c r="B9753" t="str">
        <f t="shared" si="377"/>
        <v>0.00008%</v>
      </c>
      <c r="C9753" t="s">
        <v>10</v>
      </c>
      <c r="D9753" t="s">
        <v>10</v>
      </c>
      <c r="E9753" t="str">
        <f>"$ 642"</f>
        <v>$ 642</v>
      </c>
      <c r="F9753">
        <v>21</v>
      </c>
    </row>
    <row r="9754" spans="1:6">
      <c r="A9754" t="s">
        <v>9642</v>
      </c>
      <c r="B9754" t="str">
        <f t="shared" si="377"/>
        <v>0.00008%</v>
      </c>
      <c r="C9754" t="s">
        <v>10</v>
      </c>
      <c r="D9754" t="s">
        <v>10</v>
      </c>
      <c r="E9754" t="str">
        <f>"$ 634"</f>
        <v>$ 634</v>
      </c>
      <c r="F9754">
        <v>223</v>
      </c>
    </row>
    <row r="9755" spans="1:6">
      <c r="A9755" t="s">
        <v>9643</v>
      </c>
      <c r="B9755" t="str">
        <f t="shared" si="377"/>
        <v>0.00008%</v>
      </c>
      <c r="C9755" t="s">
        <v>10</v>
      </c>
      <c r="D9755" t="s">
        <v>10</v>
      </c>
      <c r="E9755" t="str">
        <f>"$ 637"</f>
        <v>$ 637</v>
      </c>
      <c r="F9755">
        <v>35</v>
      </c>
    </row>
    <row r="9756" spans="1:6">
      <c r="A9756" t="s">
        <v>9644</v>
      </c>
      <c r="B9756" t="str">
        <f t="shared" si="377"/>
        <v>0.00008%</v>
      </c>
      <c r="C9756" t="s">
        <v>10</v>
      </c>
      <c r="D9756" t="s">
        <v>10</v>
      </c>
      <c r="E9756" t="str">
        <f>"$ 638"</f>
        <v>$ 638</v>
      </c>
      <c r="F9756">
        <v>297</v>
      </c>
    </row>
    <row r="9757" spans="1:6">
      <c r="A9757" t="s">
        <v>9645</v>
      </c>
      <c r="B9757" t="str">
        <f t="shared" si="377"/>
        <v>0.00008%</v>
      </c>
      <c r="C9757" t="s">
        <v>10</v>
      </c>
      <c r="D9757" t="s">
        <v>10</v>
      </c>
      <c r="E9757" t="str">
        <f>"$ 650"</f>
        <v>$ 650</v>
      </c>
      <c r="F9757">
        <v>887</v>
      </c>
    </row>
    <row r="9758" spans="1:6">
      <c r="A9758" t="s">
        <v>9646</v>
      </c>
      <c r="B9758" t="str">
        <f t="shared" si="377"/>
        <v>0.00008%</v>
      </c>
      <c r="C9758" t="s">
        <v>10</v>
      </c>
      <c r="D9758" t="s">
        <v>10</v>
      </c>
      <c r="E9758" t="str">
        <f>"$ 589"</f>
        <v>$ 589</v>
      </c>
      <c r="F9758">
        <v>17</v>
      </c>
    </row>
    <row r="9759" spans="1:6">
      <c r="A9759" t="s">
        <v>9647</v>
      </c>
      <c r="B9759" t="str">
        <f t="shared" si="377"/>
        <v>0.00008%</v>
      </c>
      <c r="C9759" t="s">
        <v>10</v>
      </c>
      <c r="D9759" t="s">
        <v>10</v>
      </c>
      <c r="E9759" t="str">
        <f>"$ 581"</f>
        <v>$ 581</v>
      </c>
      <c r="F9759">
        <v>38</v>
      </c>
    </row>
    <row r="9760" spans="1:6">
      <c r="A9760" t="s">
        <v>9648</v>
      </c>
      <c r="B9760" t="str">
        <f t="shared" si="377"/>
        <v>0.00008%</v>
      </c>
      <c r="C9760" t="s">
        <v>10</v>
      </c>
      <c r="D9760" t="s">
        <v>10</v>
      </c>
      <c r="E9760" t="str">
        <f>"$ 631"</f>
        <v>$ 631</v>
      </c>
      <c r="F9760">
        <v>204</v>
      </c>
    </row>
    <row r="9761" spans="1:6">
      <c r="A9761" t="s">
        <v>9649</v>
      </c>
      <c r="B9761" t="str">
        <f t="shared" si="377"/>
        <v>0.00008%</v>
      </c>
      <c r="C9761" t="s">
        <v>10</v>
      </c>
      <c r="D9761" t="s">
        <v>10</v>
      </c>
      <c r="E9761" t="str">
        <f>"$ 637"</f>
        <v>$ 637</v>
      </c>
      <c r="F9761">
        <v>49</v>
      </c>
    </row>
    <row r="9762" spans="1:6">
      <c r="A9762" t="s">
        <v>9650</v>
      </c>
      <c r="B9762" t="str">
        <f t="shared" si="377"/>
        <v>0.00008%</v>
      </c>
      <c r="C9762" t="s">
        <v>10</v>
      </c>
      <c r="D9762" t="s">
        <v>10</v>
      </c>
      <c r="E9762" t="str">
        <f>"$ 588"</f>
        <v>$ 588</v>
      </c>
      <c r="F9762">
        <v>587</v>
      </c>
    </row>
    <row r="9763" spans="1:6">
      <c r="A9763" t="s">
        <v>9651</v>
      </c>
      <c r="B9763" t="str">
        <f t="shared" si="377"/>
        <v>0.00008%</v>
      </c>
      <c r="C9763" t="s">
        <v>10</v>
      </c>
      <c r="D9763" t="s">
        <v>10</v>
      </c>
      <c r="E9763" t="str">
        <f>"$ 643"</f>
        <v>$ 643</v>
      </c>
      <c r="F9763" s="1">
        <v>27005</v>
      </c>
    </row>
    <row r="9764" spans="1:6">
      <c r="A9764" t="s">
        <v>9652</v>
      </c>
      <c r="B9764" t="str">
        <f t="shared" si="377"/>
        <v>0.00008%</v>
      </c>
      <c r="C9764" t="s">
        <v>10</v>
      </c>
      <c r="D9764" t="s">
        <v>10</v>
      </c>
      <c r="E9764" t="str">
        <f>"$ 612"</f>
        <v>$ 612</v>
      </c>
      <c r="F9764" s="1">
        <v>1842</v>
      </c>
    </row>
    <row r="9765" spans="1:6">
      <c r="A9765" t="s">
        <v>9653</v>
      </c>
      <c r="B9765" t="str">
        <f t="shared" si="377"/>
        <v>0.00008%</v>
      </c>
      <c r="C9765" t="s">
        <v>10</v>
      </c>
      <c r="D9765" t="s">
        <v>10</v>
      </c>
      <c r="E9765" t="str">
        <f>"$ 587"</f>
        <v>$ 587</v>
      </c>
      <c r="F9765">
        <v>48</v>
      </c>
    </row>
    <row r="9766" spans="1:6">
      <c r="A9766" t="s">
        <v>9654</v>
      </c>
      <c r="B9766" t="str">
        <f t="shared" si="377"/>
        <v>0.00008%</v>
      </c>
      <c r="C9766" t="s">
        <v>10</v>
      </c>
      <c r="D9766" t="s">
        <v>10</v>
      </c>
      <c r="E9766" t="str">
        <f>"$ 580"</f>
        <v>$ 580</v>
      </c>
      <c r="F9766">
        <v>249</v>
      </c>
    </row>
    <row r="9767" spans="1:6">
      <c r="A9767" t="s">
        <v>9655</v>
      </c>
      <c r="B9767" t="str">
        <f t="shared" si="377"/>
        <v>0.00008%</v>
      </c>
      <c r="C9767" t="s">
        <v>10</v>
      </c>
      <c r="D9767" t="s">
        <v>10</v>
      </c>
      <c r="E9767" t="str">
        <f>"$ 613"</f>
        <v>$ 613</v>
      </c>
      <c r="F9767">
        <v>25</v>
      </c>
    </row>
    <row r="9768" spans="1:6">
      <c r="A9768" t="s">
        <v>9656</v>
      </c>
      <c r="B9768" t="str">
        <f t="shared" si="377"/>
        <v>0.00008%</v>
      </c>
      <c r="C9768" t="s">
        <v>10</v>
      </c>
      <c r="D9768" t="s">
        <v>10</v>
      </c>
      <c r="E9768" t="str">
        <f>"$ 646"</f>
        <v>$ 646</v>
      </c>
      <c r="F9768">
        <v>198</v>
      </c>
    </row>
    <row r="9769" spans="1:6">
      <c r="A9769" t="s">
        <v>9657</v>
      </c>
      <c r="B9769" t="str">
        <f t="shared" si="377"/>
        <v>0.00008%</v>
      </c>
      <c r="C9769" t="s">
        <v>10</v>
      </c>
      <c r="D9769" t="s">
        <v>10</v>
      </c>
      <c r="E9769" t="str">
        <f>"$ 635"</f>
        <v>$ 635</v>
      </c>
      <c r="F9769" s="1">
        <v>1209</v>
      </c>
    </row>
    <row r="9770" spans="1:6">
      <c r="A9770" t="s">
        <v>9658</v>
      </c>
      <c r="B9770" t="str">
        <f t="shared" si="377"/>
        <v>0.00008%</v>
      </c>
      <c r="C9770" t="s">
        <v>10</v>
      </c>
      <c r="D9770" t="s">
        <v>10</v>
      </c>
      <c r="E9770" t="str">
        <f>"$ 617"</f>
        <v>$ 617</v>
      </c>
      <c r="F9770">
        <v>82</v>
      </c>
    </row>
    <row r="9771" spans="1:6">
      <c r="A9771" t="s">
        <v>8159</v>
      </c>
      <c r="B9771" t="str">
        <f t="shared" si="377"/>
        <v>0.00008%</v>
      </c>
      <c r="C9771" t="s">
        <v>10</v>
      </c>
      <c r="D9771" t="s">
        <v>10</v>
      </c>
      <c r="E9771" t="str">
        <f>"$ 604"</f>
        <v>$ 604</v>
      </c>
      <c r="F9771">
        <v>358</v>
      </c>
    </row>
    <row r="9772" spans="1:6">
      <c r="A9772" t="s">
        <v>9659</v>
      </c>
      <c r="B9772" t="str">
        <f t="shared" si="377"/>
        <v>0.00008%</v>
      </c>
      <c r="C9772" t="s">
        <v>10</v>
      </c>
      <c r="D9772" t="s">
        <v>10</v>
      </c>
      <c r="E9772" t="str">
        <f>"$ 627"</f>
        <v>$ 627</v>
      </c>
      <c r="F9772">
        <v>16</v>
      </c>
    </row>
    <row r="9773" spans="1:6">
      <c r="A9773" t="s">
        <v>9660</v>
      </c>
      <c r="B9773" t="str">
        <f t="shared" si="377"/>
        <v>0.00008%</v>
      </c>
      <c r="C9773" t="s">
        <v>10</v>
      </c>
      <c r="D9773" t="s">
        <v>10</v>
      </c>
      <c r="E9773" t="str">
        <f>"$ 622"</f>
        <v>$ 622</v>
      </c>
      <c r="F9773">
        <v>33</v>
      </c>
    </row>
    <row r="9774" spans="1:6">
      <c r="A9774" t="s">
        <v>9661</v>
      </c>
      <c r="B9774" t="str">
        <f t="shared" si="377"/>
        <v>0.00008%</v>
      </c>
      <c r="C9774" t="s">
        <v>10</v>
      </c>
      <c r="D9774" t="s">
        <v>10</v>
      </c>
      <c r="E9774" t="str">
        <f>"$ 644"</f>
        <v>$ 644</v>
      </c>
      <c r="F9774">
        <v>3</v>
      </c>
    </row>
    <row r="9775" spans="1:6">
      <c r="A9775" t="s">
        <v>9458</v>
      </c>
      <c r="B9775" t="str">
        <f t="shared" si="377"/>
        <v>0.00008%</v>
      </c>
      <c r="C9775" t="s">
        <v>10</v>
      </c>
      <c r="D9775" t="s">
        <v>10</v>
      </c>
      <c r="E9775" t="str">
        <f>"$ 604"</f>
        <v>$ 604</v>
      </c>
      <c r="F9775">
        <v>888</v>
      </c>
    </row>
    <row r="9776" spans="1:6">
      <c r="A9776" t="s">
        <v>9662</v>
      </c>
      <c r="B9776" t="str">
        <f t="shared" si="377"/>
        <v>0.00008%</v>
      </c>
      <c r="C9776" t="s">
        <v>10</v>
      </c>
      <c r="D9776" t="s">
        <v>10</v>
      </c>
      <c r="E9776" t="str">
        <f>"$ 656"</f>
        <v>$ 656</v>
      </c>
      <c r="F9776" s="1">
        <v>14800</v>
      </c>
    </row>
    <row r="9777" spans="1:6">
      <c r="A9777" t="s">
        <v>9663</v>
      </c>
      <c r="B9777" t="str">
        <f t="shared" si="377"/>
        <v>0.00008%</v>
      </c>
      <c r="C9777" t="s">
        <v>10</v>
      </c>
      <c r="D9777" t="s">
        <v>10</v>
      </c>
      <c r="E9777" t="str">
        <f>"$ 655"</f>
        <v>$ 655</v>
      </c>
      <c r="F9777">
        <v>684</v>
      </c>
    </row>
    <row r="9778" spans="1:6">
      <c r="A9778" t="s">
        <v>9664</v>
      </c>
      <c r="B9778" t="str">
        <f t="shared" si="377"/>
        <v>0.00008%</v>
      </c>
      <c r="C9778" t="s">
        <v>10</v>
      </c>
      <c r="D9778" t="s">
        <v>10</v>
      </c>
      <c r="E9778" t="str">
        <f>"$ 593"</f>
        <v>$ 593</v>
      </c>
      <c r="F9778" s="1">
        <v>3205640</v>
      </c>
    </row>
    <row r="9779" spans="1:6">
      <c r="A9779" t="s">
        <v>9665</v>
      </c>
      <c r="B9779" t="str">
        <f t="shared" si="377"/>
        <v>0.00008%</v>
      </c>
      <c r="C9779" t="s">
        <v>10</v>
      </c>
      <c r="D9779" t="s">
        <v>10</v>
      </c>
      <c r="E9779" t="str">
        <f>"$ 596"</f>
        <v>$ 596</v>
      </c>
      <c r="F9779">
        <v>385</v>
      </c>
    </row>
    <row r="9780" spans="1:6">
      <c r="A9780" t="s">
        <v>8164</v>
      </c>
      <c r="B9780" t="str">
        <f t="shared" si="377"/>
        <v>0.00008%</v>
      </c>
      <c r="C9780" t="s">
        <v>10</v>
      </c>
      <c r="D9780" t="s">
        <v>10</v>
      </c>
      <c r="E9780" t="str">
        <f>"$ 588"</f>
        <v>$ 588</v>
      </c>
      <c r="F9780">
        <v>931</v>
      </c>
    </row>
    <row r="9781" spans="1:6">
      <c r="A9781" t="s">
        <v>9666</v>
      </c>
      <c r="B9781" t="str">
        <f t="shared" si="377"/>
        <v>0.00008%</v>
      </c>
      <c r="C9781" t="s">
        <v>10</v>
      </c>
      <c r="D9781" t="s">
        <v>10</v>
      </c>
      <c r="E9781" t="str">
        <f>"$ 616"</f>
        <v>$ 616</v>
      </c>
      <c r="F9781" s="1">
        <v>12076</v>
      </c>
    </row>
    <row r="9782" spans="1:6">
      <c r="A9782" t="s">
        <v>9667</v>
      </c>
      <c r="B9782" t="str">
        <f t="shared" si="377"/>
        <v>0.00008%</v>
      </c>
      <c r="C9782" t="s">
        <v>10</v>
      </c>
      <c r="D9782" t="s">
        <v>10</v>
      </c>
      <c r="E9782" t="str">
        <f>"$ 613"</f>
        <v>$ 613</v>
      </c>
      <c r="F9782">
        <v>367</v>
      </c>
    </row>
    <row r="9783" spans="1:6">
      <c r="A9783" t="s">
        <v>9668</v>
      </c>
      <c r="B9783" t="str">
        <f t="shared" si="377"/>
        <v>0.00008%</v>
      </c>
      <c r="C9783" t="s">
        <v>10</v>
      </c>
      <c r="D9783" t="s">
        <v>10</v>
      </c>
      <c r="E9783" t="str">
        <f>"$ 638"</f>
        <v>$ 638</v>
      </c>
      <c r="F9783">
        <v>200</v>
      </c>
    </row>
    <row r="9784" spans="1:6">
      <c r="A9784" t="s">
        <v>9669</v>
      </c>
      <c r="B9784" t="str">
        <f t="shared" si="377"/>
        <v>0.00008%</v>
      </c>
      <c r="C9784" t="s">
        <v>10</v>
      </c>
      <c r="D9784" t="s">
        <v>10</v>
      </c>
      <c r="E9784" t="str">
        <f>"$ 625"</f>
        <v>$ 625</v>
      </c>
      <c r="F9784">
        <v>500</v>
      </c>
    </row>
    <row r="9785" spans="1:6">
      <c r="A9785" t="s">
        <v>9670</v>
      </c>
      <c r="B9785" t="str">
        <f t="shared" si="377"/>
        <v>0.00008%</v>
      </c>
      <c r="C9785" t="s">
        <v>10</v>
      </c>
      <c r="D9785" t="s">
        <v>10</v>
      </c>
      <c r="E9785" t="str">
        <f>"$ 625"</f>
        <v>$ 625</v>
      </c>
      <c r="F9785">
        <v>803</v>
      </c>
    </row>
    <row r="9786" spans="1:6">
      <c r="A9786" t="s">
        <v>9671</v>
      </c>
      <c r="B9786" t="str">
        <f t="shared" si="377"/>
        <v>0.00008%</v>
      </c>
      <c r="C9786" t="s">
        <v>10</v>
      </c>
      <c r="D9786" t="s">
        <v>10</v>
      </c>
      <c r="E9786" t="str">
        <f>"$ 594"</f>
        <v>$ 594</v>
      </c>
      <c r="F9786">
        <v>955</v>
      </c>
    </row>
    <row r="9787" spans="1:6">
      <c r="A9787" t="s">
        <v>9672</v>
      </c>
      <c r="B9787" t="str">
        <f t="shared" si="377"/>
        <v>0.00008%</v>
      </c>
      <c r="C9787" t="s">
        <v>10</v>
      </c>
      <c r="D9787" t="s">
        <v>10</v>
      </c>
      <c r="E9787" t="str">
        <f>"$ 597"</f>
        <v>$ 597</v>
      </c>
      <c r="F9787">
        <v>21</v>
      </c>
    </row>
    <row r="9788" spans="1:6">
      <c r="A9788" t="s">
        <v>9673</v>
      </c>
      <c r="B9788" t="str">
        <f t="shared" si="377"/>
        <v>0.00008%</v>
      </c>
      <c r="C9788" t="s">
        <v>10</v>
      </c>
      <c r="D9788" t="s">
        <v>10</v>
      </c>
      <c r="E9788" t="str">
        <f>"$ 627"</f>
        <v>$ 627</v>
      </c>
      <c r="F9788">
        <v>181</v>
      </c>
    </row>
    <row r="9789" spans="1:6">
      <c r="A9789" t="s">
        <v>9674</v>
      </c>
      <c r="B9789" t="str">
        <f t="shared" si="377"/>
        <v>0.00008%</v>
      </c>
      <c r="C9789" t="s">
        <v>10</v>
      </c>
      <c r="D9789" t="s">
        <v>10</v>
      </c>
      <c r="E9789" t="str">
        <f>"$ 631"</f>
        <v>$ 631</v>
      </c>
      <c r="F9789">
        <v>31</v>
      </c>
    </row>
    <row r="9790" spans="1:6">
      <c r="A9790" t="s">
        <v>9675</v>
      </c>
      <c r="B9790" t="str">
        <f t="shared" si="377"/>
        <v>0.00008%</v>
      </c>
      <c r="C9790" t="s">
        <v>10</v>
      </c>
      <c r="D9790" t="s">
        <v>10</v>
      </c>
      <c r="E9790" t="str">
        <f>"$ 638"</f>
        <v>$ 638</v>
      </c>
      <c r="F9790">
        <v>339</v>
      </c>
    </row>
    <row r="9791" spans="1:6">
      <c r="A9791" t="s">
        <v>9676</v>
      </c>
      <c r="B9791" t="str">
        <f t="shared" si="377"/>
        <v>0.00008%</v>
      </c>
      <c r="C9791" t="s">
        <v>10</v>
      </c>
      <c r="D9791" t="s">
        <v>10</v>
      </c>
      <c r="E9791" t="str">
        <f>"$ 624"</f>
        <v>$ 624</v>
      </c>
      <c r="F9791">
        <v>119</v>
      </c>
    </row>
    <row r="9792" spans="1:6">
      <c r="A9792" t="s">
        <v>9677</v>
      </c>
      <c r="B9792" t="str">
        <f t="shared" si="377"/>
        <v>0.00008%</v>
      </c>
      <c r="C9792" t="s">
        <v>10</v>
      </c>
      <c r="D9792" t="s">
        <v>10</v>
      </c>
      <c r="E9792" t="str">
        <f>"$ 590"</f>
        <v>$ 590</v>
      </c>
      <c r="F9792">
        <v>479</v>
      </c>
    </row>
    <row r="9793" spans="1:6">
      <c r="A9793" t="s">
        <v>9678</v>
      </c>
      <c r="B9793" t="str">
        <f t="shared" ref="B9793:B9830" si="378">"0.00008%"</f>
        <v>0.00008%</v>
      </c>
      <c r="C9793" t="s">
        <v>10</v>
      </c>
      <c r="D9793" t="s">
        <v>10</v>
      </c>
      <c r="E9793" t="str">
        <f>"$ 585"</f>
        <v>$ 585</v>
      </c>
      <c r="F9793">
        <v>75</v>
      </c>
    </row>
    <row r="9794" spans="1:6">
      <c r="A9794" t="s">
        <v>9679</v>
      </c>
      <c r="B9794" t="str">
        <f t="shared" si="378"/>
        <v>0.00008%</v>
      </c>
      <c r="C9794" t="s">
        <v>10</v>
      </c>
      <c r="D9794" t="s">
        <v>10</v>
      </c>
      <c r="E9794" t="str">
        <f>"$ 583"</f>
        <v>$ 583</v>
      </c>
      <c r="F9794">
        <v>116</v>
      </c>
    </row>
    <row r="9795" spans="1:6">
      <c r="A9795" t="s">
        <v>9680</v>
      </c>
      <c r="B9795" t="str">
        <f t="shared" si="378"/>
        <v>0.00008%</v>
      </c>
      <c r="C9795" t="s">
        <v>10</v>
      </c>
      <c r="D9795" t="s">
        <v>10</v>
      </c>
      <c r="E9795" t="str">
        <f>"$ 628"</f>
        <v>$ 628</v>
      </c>
      <c r="F9795">
        <v>609</v>
      </c>
    </row>
    <row r="9796" spans="1:6">
      <c r="A9796" t="s">
        <v>9681</v>
      </c>
      <c r="B9796" t="str">
        <f t="shared" si="378"/>
        <v>0.00008%</v>
      </c>
      <c r="C9796" t="s">
        <v>10</v>
      </c>
      <c r="D9796" t="s">
        <v>10</v>
      </c>
      <c r="E9796" t="str">
        <f>"$ 647"</f>
        <v>$ 647</v>
      </c>
      <c r="F9796" s="1">
        <v>1064</v>
      </c>
    </row>
    <row r="9797" spans="1:6">
      <c r="A9797" t="s">
        <v>9682</v>
      </c>
      <c r="B9797" t="str">
        <f t="shared" si="378"/>
        <v>0.00008%</v>
      </c>
      <c r="C9797" t="s">
        <v>10</v>
      </c>
      <c r="D9797" t="s">
        <v>10</v>
      </c>
      <c r="E9797" t="str">
        <f>"$ 604"</f>
        <v>$ 604</v>
      </c>
      <c r="F9797">
        <v>539</v>
      </c>
    </row>
    <row r="9798" spans="1:6">
      <c r="A9798" t="s">
        <v>6332</v>
      </c>
      <c r="B9798" t="str">
        <f t="shared" si="378"/>
        <v>0.00008%</v>
      </c>
      <c r="C9798" t="s">
        <v>10</v>
      </c>
      <c r="D9798" t="s">
        <v>10</v>
      </c>
      <c r="E9798" t="str">
        <f>"$ 600"</f>
        <v>$ 600</v>
      </c>
      <c r="F9798">
        <v>76</v>
      </c>
    </row>
    <row r="9799" spans="1:6">
      <c r="A9799" t="s">
        <v>9683</v>
      </c>
      <c r="B9799" t="str">
        <f t="shared" si="378"/>
        <v>0.00008%</v>
      </c>
      <c r="C9799" t="s">
        <v>10</v>
      </c>
      <c r="D9799" t="s">
        <v>10</v>
      </c>
      <c r="E9799" t="str">
        <f>"$ 602"</f>
        <v>$ 602</v>
      </c>
      <c r="F9799">
        <v>656</v>
      </c>
    </row>
    <row r="9800" spans="1:6">
      <c r="A9800" t="s">
        <v>9684</v>
      </c>
      <c r="B9800" t="str">
        <f t="shared" si="378"/>
        <v>0.00008%</v>
      </c>
      <c r="C9800" t="s">
        <v>10</v>
      </c>
      <c r="D9800" t="s">
        <v>10</v>
      </c>
      <c r="E9800" t="str">
        <f>"$ 611"</f>
        <v>$ 611</v>
      </c>
      <c r="F9800">
        <v>795</v>
      </c>
    </row>
    <row r="9801" spans="1:6">
      <c r="A9801" t="s">
        <v>9685</v>
      </c>
      <c r="B9801" t="str">
        <f t="shared" si="378"/>
        <v>0.00008%</v>
      </c>
      <c r="C9801" t="s">
        <v>10</v>
      </c>
      <c r="D9801" t="s">
        <v>10</v>
      </c>
      <c r="E9801" t="str">
        <f>"$ 628"</f>
        <v>$ 628</v>
      </c>
      <c r="F9801">
        <v>627</v>
      </c>
    </row>
    <row r="9802" spans="1:6">
      <c r="A9802" t="s">
        <v>9686</v>
      </c>
      <c r="B9802" t="str">
        <f t="shared" si="378"/>
        <v>0.00008%</v>
      </c>
      <c r="C9802" t="s">
        <v>10</v>
      </c>
      <c r="D9802" t="s">
        <v>10</v>
      </c>
      <c r="E9802" t="str">
        <f>"$ 626"</f>
        <v>$ 626</v>
      </c>
      <c r="F9802">
        <v>334</v>
      </c>
    </row>
    <row r="9803" spans="1:6">
      <c r="A9803" t="s">
        <v>9687</v>
      </c>
      <c r="B9803" t="str">
        <f t="shared" si="378"/>
        <v>0.00008%</v>
      </c>
      <c r="C9803" t="s">
        <v>10</v>
      </c>
      <c r="D9803" t="s">
        <v>10</v>
      </c>
      <c r="E9803" t="str">
        <f>"$ 632"</f>
        <v>$ 632</v>
      </c>
      <c r="F9803">
        <v>33</v>
      </c>
    </row>
    <row r="9804" spans="1:6">
      <c r="A9804" t="s">
        <v>9688</v>
      </c>
      <c r="B9804" t="str">
        <f t="shared" si="378"/>
        <v>0.00008%</v>
      </c>
      <c r="C9804" t="s">
        <v>10</v>
      </c>
      <c r="D9804" t="s">
        <v>10</v>
      </c>
      <c r="E9804" t="str">
        <f>"$ 627"</f>
        <v>$ 627</v>
      </c>
      <c r="F9804">
        <v>33</v>
      </c>
    </row>
    <row r="9805" spans="1:6">
      <c r="A9805" t="s">
        <v>9689</v>
      </c>
      <c r="B9805" t="str">
        <f t="shared" si="378"/>
        <v>0.00008%</v>
      </c>
      <c r="C9805" t="s">
        <v>10</v>
      </c>
      <c r="D9805" t="s">
        <v>10</v>
      </c>
      <c r="E9805" t="str">
        <f>"$ 591"</f>
        <v>$ 591</v>
      </c>
      <c r="F9805">
        <v>40</v>
      </c>
    </row>
    <row r="9806" spans="1:6">
      <c r="A9806" t="s">
        <v>7768</v>
      </c>
      <c r="B9806" t="str">
        <f t="shared" si="378"/>
        <v>0.00008%</v>
      </c>
      <c r="C9806" t="s">
        <v>10</v>
      </c>
      <c r="D9806" t="s">
        <v>10</v>
      </c>
      <c r="E9806" t="str">
        <f>"$ 626"</f>
        <v>$ 626</v>
      </c>
      <c r="F9806">
        <v>544</v>
      </c>
    </row>
    <row r="9807" spans="1:6">
      <c r="A9807" t="s">
        <v>9690</v>
      </c>
      <c r="B9807" t="str">
        <f t="shared" si="378"/>
        <v>0.00008%</v>
      </c>
      <c r="C9807" t="s">
        <v>10</v>
      </c>
      <c r="D9807" t="s">
        <v>10</v>
      </c>
      <c r="E9807" t="str">
        <f>"$ 611"</f>
        <v>$ 611</v>
      </c>
      <c r="F9807">
        <v>100</v>
      </c>
    </row>
    <row r="9808" spans="1:6">
      <c r="A9808" t="s">
        <v>9691</v>
      </c>
      <c r="B9808" t="str">
        <f t="shared" si="378"/>
        <v>0.00008%</v>
      </c>
      <c r="C9808" t="s">
        <v>10</v>
      </c>
      <c r="D9808" t="s">
        <v>10</v>
      </c>
      <c r="E9808" t="str">
        <f>"$ 625"</f>
        <v>$ 625</v>
      </c>
      <c r="F9808">
        <v>171</v>
      </c>
    </row>
    <row r="9809" spans="1:6">
      <c r="A9809" t="s">
        <v>9692</v>
      </c>
      <c r="B9809" t="str">
        <f t="shared" si="378"/>
        <v>0.00008%</v>
      </c>
      <c r="C9809" t="s">
        <v>10</v>
      </c>
      <c r="D9809" t="s">
        <v>10</v>
      </c>
      <c r="E9809" t="str">
        <f>"$ 636"</f>
        <v>$ 636</v>
      </c>
      <c r="F9809" s="1">
        <v>1273</v>
      </c>
    </row>
    <row r="9810" spans="1:6">
      <c r="A9810" t="s">
        <v>9315</v>
      </c>
      <c r="B9810" t="str">
        <f t="shared" si="378"/>
        <v>0.00008%</v>
      </c>
      <c r="C9810" t="s">
        <v>10</v>
      </c>
      <c r="D9810" t="s">
        <v>10</v>
      </c>
      <c r="E9810" t="str">
        <f>"$ 653"</f>
        <v>$ 653</v>
      </c>
      <c r="F9810">
        <v>818</v>
      </c>
    </row>
    <row r="9811" spans="1:6">
      <c r="A9811" t="s">
        <v>9693</v>
      </c>
      <c r="B9811" t="str">
        <f t="shared" si="378"/>
        <v>0.00008%</v>
      </c>
      <c r="C9811" t="s">
        <v>10</v>
      </c>
      <c r="D9811" t="s">
        <v>10</v>
      </c>
      <c r="E9811" t="str">
        <f>"$ 616"</f>
        <v>$ 616</v>
      </c>
      <c r="F9811">
        <v>231</v>
      </c>
    </row>
    <row r="9812" spans="1:6">
      <c r="A9812" t="s">
        <v>9694</v>
      </c>
      <c r="B9812" t="str">
        <f t="shared" si="378"/>
        <v>0.00008%</v>
      </c>
      <c r="C9812" t="s">
        <v>10</v>
      </c>
      <c r="D9812" t="s">
        <v>10</v>
      </c>
      <c r="E9812" t="str">
        <f>"$ 605"</f>
        <v>$ 605</v>
      </c>
      <c r="F9812">
        <v>303</v>
      </c>
    </row>
    <row r="9813" spans="1:6">
      <c r="A9813" t="s">
        <v>9695</v>
      </c>
      <c r="B9813" t="str">
        <f t="shared" si="378"/>
        <v>0.00008%</v>
      </c>
      <c r="C9813" t="s">
        <v>10</v>
      </c>
      <c r="D9813" t="s">
        <v>10</v>
      </c>
      <c r="E9813" t="str">
        <f>"$ 599"</f>
        <v>$ 599</v>
      </c>
      <c r="F9813">
        <v>14</v>
      </c>
    </row>
    <row r="9814" spans="1:6">
      <c r="A9814" t="s">
        <v>9696</v>
      </c>
      <c r="B9814" t="str">
        <f t="shared" si="378"/>
        <v>0.00008%</v>
      </c>
      <c r="C9814" t="s">
        <v>10</v>
      </c>
      <c r="D9814" t="s">
        <v>10</v>
      </c>
      <c r="E9814" t="str">
        <f>"$ 614"</f>
        <v>$ 614</v>
      </c>
      <c r="F9814">
        <v>16</v>
      </c>
    </row>
    <row r="9815" spans="1:6">
      <c r="A9815" t="s">
        <v>9697</v>
      </c>
      <c r="B9815" t="str">
        <f t="shared" si="378"/>
        <v>0.00008%</v>
      </c>
      <c r="C9815" t="s">
        <v>10</v>
      </c>
      <c r="D9815" t="s">
        <v>10</v>
      </c>
      <c r="E9815" t="str">
        <f>"$ 579"</f>
        <v>$ 579</v>
      </c>
      <c r="F9815">
        <v>93</v>
      </c>
    </row>
    <row r="9816" spans="1:6">
      <c r="A9816" t="s">
        <v>9698</v>
      </c>
      <c r="B9816" t="str">
        <f t="shared" si="378"/>
        <v>0.00008%</v>
      </c>
      <c r="C9816" t="s">
        <v>10</v>
      </c>
      <c r="D9816" t="s">
        <v>10</v>
      </c>
      <c r="E9816" t="str">
        <f>"$ 580"</f>
        <v>$ 580</v>
      </c>
      <c r="F9816">
        <v>155</v>
      </c>
    </row>
    <row r="9817" spans="1:6">
      <c r="A9817" t="s">
        <v>9699</v>
      </c>
      <c r="B9817" t="str">
        <f t="shared" si="378"/>
        <v>0.00008%</v>
      </c>
      <c r="C9817" t="s">
        <v>10</v>
      </c>
      <c r="D9817" t="s">
        <v>10</v>
      </c>
      <c r="E9817" t="str">
        <f>"$ 632"</f>
        <v>$ 632</v>
      </c>
      <c r="F9817">
        <v>33</v>
      </c>
    </row>
    <row r="9818" spans="1:6">
      <c r="A9818" t="s">
        <v>9700</v>
      </c>
      <c r="B9818" t="str">
        <f t="shared" si="378"/>
        <v>0.00008%</v>
      </c>
      <c r="C9818" t="s">
        <v>10</v>
      </c>
      <c r="D9818" t="s">
        <v>10</v>
      </c>
      <c r="E9818" t="str">
        <f>"$ 587"</f>
        <v>$ 587</v>
      </c>
      <c r="F9818">
        <v>216</v>
      </c>
    </row>
    <row r="9819" spans="1:6">
      <c r="A9819" t="s">
        <v>9701</v>
      </c>
      <c r="B9819" t="str">
        <f t="shared" si="378"/>
        <v>0.00008%</v>
      </c>
      <c r="C9819" t="s">
        <v>10</v>
      </c>
      <c r="D9819" t="s">
        <v>10</v>
      </c>
      <c r="E9819" t="str">
        <f>"$ 626"</f>
        <v>$ 626</v>
      </c>
      <c r="F9819">
        <v>316</v>
      </c>
    </row>
    <row r="9820" spans="1:6">
      <c r="A9820" t="s">
        <v>9702</v>
      </c>
      <c r="B9820" t="str">
        <f t="shared" si="378"/>
        <v>0.00008%</v>
      </c>
      <c r="C9820" t="s">
        <v>10</v>
      </c>
      <c r="D9820" t="s">
        <v>10</v>
      </c>
      <c r="E9820" t="str">
        <f>"$ 627"</f>
        <v>$ 627</v>
      </c>
      <c r="F9820">
        <v>76</v>
      </c>
    </row>
    <row r="9821" spans="1:6">
      <c r="A9821" t="s">
        <v>9703</v>
      </c>
      <c r="B9821" t="str">
        <f t="shared" si="378"/>
        <v>0.00008%</v>
      </c>
      <c r="C9821" t="s">
        <v>10</v>
      </c>
      <c r="D9821" t="s">
        <v>10</v>
      </c>
      <c r="E9821" t="str">
        <f>"$ 636"</f>
        <v>$ 636</v>
      </c>
      <c r="F9821">
        <v>160</v>
      </c>
    </row>
    <row r="9822" spans="1:6">
      <c r="A9822" t="s">
        <v>9704</v>
      </c>
      <c r="B9822" t="str">
        <f t="shared" si="378"/>
        <v>0.00008%</v>
      </c>
      <c r="C9822" t="s">
        <v>10</v>
      </c>
      <c r="D9822" t="s">
        <v>10</v>
      </c>
      <c r="E9822" t="str">
        <f>"$ 652"</f>
        <v>$ 652</v>
      </c>
      <c r="F9822">
        <v>315</v>
      </c>
    </row>
    <row r="9823" spans="1:6">
      <c r="A9823" t="s">
        <v>9705</v>
      </c>
      <c r="B9823" t="str">
        <f t="shared" si="378"/>
        <v>0.00008%</v>
      </c>
      <c r="C9823" t="s">
        <v>10</v>
      </c>
      <c r="D9823" t="s">
        <v>10</v>
      </c>
      <c r="E9823" t="str">
        <f>"$ 625"</f>
        <v>$ 625</v>
      </c>
      <c r="F9823">
        <v>50</v>
      </c>
    </row>
    <row r="9824" spans="1:6">
      <c r="A9824" t="s">
        <v>9706</v>
      </c>
      <c r="B9824" t="str">
        <f t="shared" si="378"/>
        <v>0.00008%</v>
      </c>
      <c r="C9824" t="s">
        <v>10</v>
      </c>
      <c r="D9824" t="s">
        <v>10</v>
      </c>
      <c r="E9824" t="str">
        <f>"$ 599"</f>
        <v>$ 599</v>
      </c>
      <c r="F9824" s="1">
        <v>1083</v>
      </c>
    </row>
    <row r="9825" spans="1:6">
      <c r="A9825" t="s">
        <v>9707</v>
      </c>
      <c r="B9825" t="str">
        <f t="shared" si="378"/>
        <v>0.00008%</v>
      </c>
      <c r="C9825" t="s">
        <v>10</v>
      </c>
      <c r="D9825" t="s">
        <v>10</v>
      </c>
      <c r="E9825" t="str">
        <f>"$ 608"</f>
        <v>$ 608</v>
      </c>
      <c r="F9825" s="1">
        <v>1171</v>
      </c>
    </row>
    <row r="9826" spans="1:6">
      <c r="A9826" t="s">
        <v>9708</v>
      </c>
      <c r="B9826" t="str">
        <f t="shared" si="378"/>
        <v>0.00008%</v>
      </c>
      <c r="C9826" t="s">
        <v>10</v>
      </c>
      <c r="D9826" t="s">
        <v>10</v>
      </c>
      <c r="E9826" t="str">
        <f>"$ 588"</f>
        <v>$ 588</v>
      </c>
      <c r="F9826">
        <v>124</v>
      </c>
    </row>
    <row r="9827" spans="1:6">
      <c r="A9827" t="s">
        <v>9709</v>
      </c>
      <c r="B9827" t="str">
        <f t="shared" si="378"/>
        <v>0.00008%</v>
      </c>
      <c r="C9827" t="s">
        <v>10</v>
      </c>
      <c r="D9827" t="s">
        <v>10</v>
      </c>
      <c r="E9827" t="str">
        <f>"$ 651"</f>
        <v>$ 651</v>
      </c>
      <c r="F9827">
        <v>135</v>
      </c>
    </row>
    <row r="9828" spans="1:6">
      <c r="A9828" t="s">
        <v>9710</v>
      </c>
      <c r="B9828" t="str">
        <f t="shared" si="378"/>
        <v>0.00008%</v>
      </c>
      <c r="C9828" t="s">
        <v>10</v>
      </c>
      <c r="D9828" t="s">
        <v>10</v>
      </c>
      <c r="E9828" t="str">
        <f>"$ 600"</f>
        <v>$ 600</v>
      </c>
      <c r="F9828">
        <v>131</v>
      </c>
    </row>
    <row r="9829" spans="1:6">
      <c r="A9829" t="s">
        <v>7976</v>
      </c>
      <c r="B9829" t="str">
        <f t="shared" si="378"/>
        <v>0.00008%</v>
      </c>
      <c r="C9829" t="s">
        <v>10</v>
      </c>
      <c r="D9829" t="s">
        <v>10</v>
      </c>
      <c r="E9829" t="str">
        <f>"$ 631"</f>
        <v>$ 631</v>
      </c>
      <c r="F9829">
        <v>158</v>
      </c>
    </row>
    <row r="9830" spans="1:6">
      <c r="A9830" t="s">
        <v>9711</v>
      </c>
      <c r="B9830" t="str">
        <f t="shared" si="378"/>
        <v>0.00008%</v>
      </c>
      <c r="C9830" t="s">
        <v>10</v>
      </c>
      <c r="D9830" t="s">
        <v>10</v>
      </c>
      <c r="E9830" t="str">
        <f>"$ 641"</f>
        <v>$ 641</v>
      </c>
      <c r="F9830">
        <v>276</v>
      </c>
    </row>
    <row r="9831" spans="1:6">
      <c r="A9831" t="s">
        <v>9712</v>
      </c>
      <c r="B9831" t="str">
        <f t="shared" ref="B9831:B9894" si="379">"0.00007%"</f>
        <v>0.00007%</v>
      </c>
      <c r="C9831" t="s">
        <v>10</v>
      </c>
      <c r="D9831" t="s">
        <v>10</v>
      </c>
      <c r="E9831" t="str">
        <f>"$ 525"</f>
        <v>$ 525</v>
      </c>
      <c r="F9831">
        <v>529</v>
      </c>
    </row>
    <row r="9832" spans="1:6">
      <c r="A9832" t="s">
        <v>9713</v>
      </c>
      <c r="B9832" t="str">
        <f t="shared" si="379"/>
        <v>0.00007%</v>
      </c>
      <c r="C9832" t="s">
        <v>10</v>
      </c>
      <c r="D9832" t="s">
        <v>10</v>
      </c>
      <c r="E9832" t="str">
        <f>"$ 554"</f>
        <v>$ 554</v>
      </c>
      <c r="F9832">
        <v>165</v>
      </c>
    </row>
    <row r="9833" spans="1:6">
      <c r="A9833" t="s">
        <v>9714</v>
      </c>
      <c r="B9833" t="str">
        <f t="shared" si="379"/>
        <v>0.00007%</v>
      </c>
      <c r="C9833" t="s">
        <v>10</v>
      </c>
      <c r="D9833" t="s">
        <v>10</v>
      </c>
      <c r="E9833" t="str">
        <f>"$ 573"</f>
        <v>$ 573</v>
      </c>
      <c r="F9833" s="1">
        <v>1018</v>
      </c>
    </row>
    <row r="9834" spans="1:6">
      <c r="A9834" t="s">
        <v>9715</v>
      </c>
      <c r="B9834" t="str">
        <f t="shared" si="379"/>
        <v>0.00007%</v>
      </c>
      <c r="C9834" t="s">
        <v>10</v>
      </c>
      <c r="D9834" t="s">
        <v>10</v>
      </c>
      <c r="E9834" t="str">
        <f>"$ 543"</f>
        <v>$ 543</v>
      </c>
      <c r="F9834">
        <v>149</v>
      </c>
    </row>
    <row r="9835" spans="1:6">
      <c r="A9835" t="s">
        <v>9716</v>
      </c>
      <c r="B9835" t="str">
        <f t="shared" si="379"/>
        <v>0.00007%</v>
      </c>
      <c r="C9835" t="s">
        <v>10</v>
      </c>
      <c r="D9835" t="s">
        <v>10</v>
      </c>
      <c r="E9835" t="str">
        <f>"$ 545"</f>
        <v>$ 545</v>
      </c>
      <c r="F9835">
        <v>846</v>
      </c>
    </row>
    <row r="9836" spans="1:6">
      <c r="A9836" t="s">
        <v>9717</v>
      </c>
      <c r="B9836" t="str">
        <f t="shared" si="379"/>
        <v>0.00007%</v>
      </c>
      <c r="C9836" t="s">
        <v>10</v>
      </c>
      <c r="D9836" t="s">
        <v>10</v>
      </c>
      <c r="E9836" t="str">
        <f>"$ 540"</f>
        <v>$ 540</v>
      </c>
      <c r="F9836">
        <v>392</v>
      </c>
    </row>
    <row r="9837" spans="1:6">
      <c r="A9837" t="s">
        <v>9718</v>
      </c>
      <c r="B9837" t="str">
        <f t="shared" si="379"/>
        <v>0.00007%</v>
      </c>
      <c r="C9837" t="s">
        <v>10</v>
      </c>
      <c r="D9837" t="s">
        <v>10</v>
      </c>
      <c r="E9837" t="str">
        <f>"$ 551"</f>
        <v>$ 551</v>
      </c>
      <c r="F9837">
        <v>243</v>
      </c>
    </row>
    <row r="9838" spans="1:6">
      <c r="A9838" t="s">
        <v>9719</v>
      </c>
      <c r="B9838" t="str">
        <f t="shared" si="379"/>
        <v>0.00007%</v>
      </c>
      <c r="C9838" t="s">
        <v>10</v>
      </c>
      <c r="D9838" t="s">
        <v>10</v>
      </c>
      <c r="E9838" t="str">
        <f>"$ 508"</f>
        <v>$ 508</v>
      </c>
      <c r="F9838">
        <v>611</v>
      </c>
    </row>
    <row r="9839" spans="1:6">
      <c r="A9839" t="s">
        <v>9720</v>
      </c>
      <c r="B9839" t="str">
        <f t="shared" si="379"/>
        <v>0.00007%</v>
      </c>
      <c r="C9839" t="s">
        <v>10</v>
      </c>
      <c r="D9839" t="s">
        <v>10</v>
      </c>
      <c r="E9839" t="str">
        <f>"$ 530"</f>
        <v>$ 530</v>
      </c>
      <c r="F9839">
        <v>468</v>
      </c>
    </row>
    <row r="9840" spans="1:6">
      <c r="A9840" t="s">
        <v>9717</v>
      </c>
      <c r="B9840" t="str">
        <f t="shared" si="379"/>
        <v>0.00007%</v>
      </c>
      <c r="C9840" t="s">
        <v>10</v>
      </c>
      <c r="D9840" t="s">
        <v>10</v>
      </c>
      <c r="E9840" t="str">
        <f>"$ 532"</f>
        <v>$ 532</v>
      </c>
      <c r="F9840">
        <v>386</v>
      </c>
    </row>
    <row r="9841" spans="1:6">
      <c r="A9841" t="s">
        <v>9721</v>
      </c>
      <c r="B9841" t="str">
        <f t="shared" si="379"/>
        <v>0.00007%</v>
      </c>
      <c r="C9841" t="s">
        <v>10</v>
      </c>
      <c r="D9841" t="s">
        <v>10</v>
      </c>
      <c r="E9841" t="str">
        <f>"$ 563"</f>
        <v>$ 563</v>
      </c>
      <c r="F9841">
        <v>408</v>
      </c>
    </row>
    <row r="9842" spans="1:6">
      <c r="A9842" t="s">
        <v>9722</v>
      </c>
      <c r="B9842" t="str">
        <f t="shared" si="379"/>
        <v>0.00007%</v>
      </c>
      <c r="C9842" t="s">
        <v>10</v>
      </c>
      <c r="D9842" t="s">
        <v>10</v>
      </c>
      <c r="E9842" t="str">
        <f>"$ 567"</f>
        <v>$ 567</v>
      </c>
      <c r="F9842">
        <v>186</v>
      </c>
    </row>
    <row r="9843" spans="1:6">
      <c r="A9843" t="s">
        <v>9723</v>
      </c>
      <c r="B9843" t="str">
        <f t="shared" si="379"/>
        <v>0.00007%</v>
      </c>
      <c r="C9843" t="s">
        <v>10</v>
      </c>
      <c r="D9843" t="s">
        <v>10</v>
      </c>
      <c r="E9843" t="str">
        <f>"$ 505"</f>
        <v>$ 505</v>
      </c>
      <c r="F9843">
        <v>153</v>
      </c>
    </row>
    <row r="9844" spans="1:6">
      <c r="A9844" t="s">
        <v>9724</v>
      </c>
      <c r="B9844" t="str">
        <f t="shared" si="379"/>
        <v>0.00007%</v>
      </c>
      <c r="C9844" t="s">
        <v>10</v>
      </c>
      <c r="D9844" t="s">
        <v>10</v>
      </c>
      <c r="E9844" t="str">
        <f>"$ 509"</f>
        <v>$ 509</v>
      </c>
      <c r="F9844">
        <v>292</v>
      </c>
    </row>
    <row r="9845" spans="1:6">
      <c r="A9845" t="s">
        <v>9725</v>
      </c>
      <c r="B9845" t="str">
        <f t="shared" si="379"/>
        <v>0.00007%</v>
      </c>
      <c r="C9845" t="s">
        <v>10</v>
      </c>
      <c r="D9845" t="s">
        <v>10</v>
      </c>
      <c r="E9845" t="str">
        <f>"$ 502"</f>
        <v>$ 502</v>
      </c>
      <c r="F9845">
        <v>154</v>
      </c>
    </row>
    <row r="9846" spans="1:6">
      <c r="A9846" t="s">
        <v>9726</v>
      </c>
      <c r="B9846" t="str">
        <f t="shared" si="379"/>
        <v>0.00007%</v>
      </c>
      <c r="C9846" t="s">
        <v>10</v>
      </c>
      <c r="D9846" t="s">
        <v>10</v>
      </c>
      <c r="E9846" t="str">
        <f>"$ 565"</f>
        <v>$ 565</v>
      </c>
      <c r="F9846">
        <v>474</v>
      </c>
    </row>
    <row r="9847" spans="1:6">
      <c r="A9847" t="s">
        <v>9727</v>
      </c>
      <c r="B9847" t="str">
        <f t="shared" si="379"/>
        <v>0.00007%</v>
      </c>
      <c r="C9847" t="s">
        <v>10</v>
      </c>
      <c r="D9847" t="s">
        <v>10</v>
      </c>
      <c r="E9847" t="str">
        <f>"$ 572"</f>
        <v>$ 572</v>
      </c>
      <c r="F9847">
        <v>491</v>
      </c>
    </row>
    <row r="9848" spans="1:6">
      <c r="A9848" t="s">
        <v>9725</v>
      </c>
      <c r="B9848" t="str">
        <f t="shared" si="379"/>
        <v>0.00007%</v>
      </c>
      <c r="C9848" t="s">
        <v>10</v>
      </c>
      <c r="D9848" t="s">
        <v>10</v>
      </c>
      <c r="E9848" t="str">
        <f>"$ 579"</f>
        <v>$ 579</v>
      </c>
      <c r="F9848">
        <v>177</v>
      </c>
    </row>
    <row r="9849" spans="1:6">
      <c r="A9849" t="s">
        <v>9728</v>
      </c>
      <c r="B9849" t="str">
        <f t="shared" si="379"/>
        <v>0.00007%</v>
      </c>
      <c r="C9849" t="s">
        <v>10</v>
      </c>
      <c r="D9849" t="s">
        <v>10</v>
      </c>
      <c r="E9849" t="str">
        <f>"$ 533"</f>
        <v>$ 533</v>
      </c>
      <c r="F9849">
        <v>202</v>
      </c>
    </row>
    <row r="9850" spans="1:6">
      <c r="A9850" t="s">
        <v>9729</v>
      </c>
      <c r="B9850" t="str">
        <f t="shared" si="379"/>
        <v>0.00007%</v>
      </c>
      <c r="C9850" t="s">
        <v>10</v>
      </c>
      <c r="D9850" t="s">
        <v>10</v>
      </c>
      <c r="E9850" t="str">
        <f>"$ 538"</f>
        <v>$ 538</v>
      </c>
      <c r="F9850">
        <v>209</v>
      </c>
    </row>
    <row r="9851" spans="1:6">
      <c r="A9851" t="s">
        <v>9730</v>
      </c>
      <c r="B9851" t="str">
        <f t="shared" si="379"/>
        <v>0.00007%</v>
      </c>
      <c r="C9851" t="s">
        <v>10</v>
      </c>
      <c r="D9851" t="s">
        <v>10</v>
      </c>
      <c r="E9851" t="str">
        <f>"$ 544"</f>
        <v>$ 544</v>
      </c>
      <c r="F9851">
        <v>16</v>
      </c>
    </row>
    <row r="9852" spans="1:6">
      <c r="A9852" t="s">
        <v>9731</v>
      </c>
      <c r="B9852" t="str">
        <f t="shared" si="379"/>
        <v>0.00007%</v>
      </c>
      <c r="C9852" t="s">
        <v>10</v>
      </c>
      <c r="D9852" t="s">
        <v>10</v>
      </c>
      <c r="E9852" t="str">
        <f>"$ 548"</f>
        <v>$ 548</v>
      </c>
      <c r="F9852">
        <v>338</v>
      </c>
    </row>
    <row r="9853" spans="1:6">
      <c r="A9853" t="s">
        <v>9732</v>
      </c>
      <c r="B9853" t="str">
        <f t="shared" si="379"/>
        <v>0.00007%</v>
      </c>
      <c r="C9853" t="s">
        <v>10</v>
      </c>
      <c r="D9853" t="s">
        <v>10</v>
      </c>
      <c r="E9853" t="str">
        <f>"$ 530"</f>
        <v>$ 530</v>
      </c>
      <c r="F9853">
        <v>33</v>
      </c>
    </row>
    <row r="9854" spans="1:6">
      <c r="A9854" t="s">
        <v>9733</v>
      </c>
      <c r="B9854" t="str">
        <f t="shared" si="379"/>
        <v>0.00007%</v>
      </c>
      <c r="C9854" t="s">
        <v>10</v>
      </c>
      <c r="D9854" t="s">
        <v>10</v>
      </c>
      <c r="E9854" t="str">
        <f>"$ 519"</f>
        <v>$ 519</v>
      </c>
      <c r="F9854">
        <v>126</v>
      </c>
    </row>
    <row r="9855" spans="1:6">
      <c r="A9855" t="s">
        <v>9734</v>
      </c>
      <c r="B9855" t="str">
        <f t="shared" si="379"/>
        <v>0.00007%</v>
      </c>
      <c r="C9855" t="s">
        <v>10</v>
      </c>
      <c r="D9855" t="s">
        <v>10</v>
      </c>
      <c r="E9855" t="str">
        <f>"$ 531"</f>
        <v>$ 531</v>
      </c>
      <c r="F9855">
        <v>808</v>
      </c>
    </row>
    <row r="9856" spans="1:6">
      <c r="A9856" t="s">
        <v>9735</v>
      </c>
      <c r="B9856" t="str">
        <f t="shared" si="379"/>
        <v>0.00007%</v>
      </c>
      <c r="C9856" t="s">
        <v>10</v>
      </c>
      <c r="D9856" t="s">
        <v>10</v>
      </c>
      <c r="E9856" t="str">
        <f>"$ 534"</f>
        <v>$ 534</v>
      </c>
      <c r="F9856">
        <v>625</v>
      </c>
    </row>
    <row r="9857" spans="1:6">
      <c r="A9857" t="s">
        <v>9736</v>
      </c>
      <c r="B9857" t="str">
        <f t="shared" si="379"/>
        <v>0.00007%</v>
      </c>
      <c r="C9857" t="s">
        <v>10</v>
      </c>
      <c r="D9857" t="s">
        <v>10</v>
      </c>
      <c r="E9857" t="str">
        <f>"$ 555"</f>
        <v>$ 555</v>
      </c>
      <c r="F9857">
        <v>361</v>
      </c>
    </row>
    <row r="9858" spans="1:6">
      <c r="A9858" t="s">
        <v>9737</v>
      </c>
      <c r="B9858" t="str">
        <f t="shared" si="379"/>
        <v>0.00007%</v>
      </c>
      <c r="C9858" t="s">
        <v>10</v>
      </c>
      <c r="D9858" t="s">
        <v>10</v>
      </c>
      <c r="E9858" t="str">
        <f>"$ 564"</f>
        <v>$ 564</v>
      </c>
      <c r="F9858">
        <v>99</v>
      </c>
    </row>
    <row r="9859" spans="1:6">
      <c r="A9859" t="s">
        <v>9738</v>
      </c>
      <c r="B9859" t="str">
        <f t="shared" si="379"/>
        <v>0.00007%</v>
      </c>
      <c r="C9859" t="s">
        <v>10</v>
      </c>
      <c r="D9859" t="s">
        <v>10</v>
      </c>
      <c r="E9859" t="str">
        <f>"$ 559"</f>
        <v>$ 559</v>
      </c>
      <c r="F9859">
        <v>33</v>
      </c>
    </row>
    <row r="9860" spans="1:6">
      <c r="A9860" t="s">
        <v>9739</v>
      </c>
      <c r="B9860" t="str">
        <f t="shared" si="379"/>
        <v>0.00007%</v>
      </c>
      <c r="C9860" t="s">
        <v>10</v>
      </c>
      <c r="D9860" t="s">
        <v>10</v>
      </c>
      <c r="E9860" t="str">
        <f>"$ 514"</f>
        <v>$ 514</v>
      </c>
      <c r="F9860">
        <v>434</v>
      </c>
    </row>
    <row r="9861" spans="1:6">
      <c r="A9861" t="s">
        <v>9740</v>
      </c>
      <c r="B9861" t="str">
        <f t="shared" si="379"/>
        <v>0.00007%</v>
      </c>
      <c r="C9861" t="s">
        <v>10</v>
      </c>
      <c r="D9861" t="s">
        <v>10</v>
      </c>
      <c r="E9861" t="str">
        <f>"$ 508"</f>
        <v>$ 508</v>
      </c>
      <c r="F9861">
        <v>486</v>
      </c>
    </row>
    <row r="9862" spans="1:6">
      <c r="A9862" t="s">
        <v>9741</v>
      </c>
      <c r="B9862" t="str">
        <f t="shared" si="379"/>
        <v>0.00007%</v>
      </c>
      <c r="C9862" t="s">
        <v>10</v>
      </c>
      <c r="D9862" t="s">
        <v>10</v>
      </c>
      <c r="E9862" t="str">
        <f>"$ 559"</f>
        <v>$ 559</v>
      </c>
      <c r="F9862">
        <v>104</v>
      </c>
    </row>
    <row r="9863" spans="1:6">
      <c r="A9863" t="s">
        <v>9742</v>
      </c>
      <c r="B9863" t="str">
        <f t="shared" si="379"/>
        <v>0.00007%</v>
      </c>
      <c r="C9863" t="s">
        <v>10</v>
      </c>
      <c r="D9863" t="s">
        <v>10</v>
      </c>
      <c r="E9863" t="str">
        <f>"$ 562"</f>
        <v>$ 562</v>
      </c>
      <c r="F9863">
        <v>689</v>
      </c>
    </row>
    <row r="9864" spans="1:6">
      <c r="A9864" t="s">
        <v>9743</v>
      </c>
      <c r="B9864" t="str">
        <f t="shared" si="379"/>
        <v>0.00007%</v>
      </c>
      <c r="C9864" t="s">
        <v>10</v>
      </c>
      <c r="D9864" t="s">
        <v>10</v>
      </c>
      <c r="E9864" t="str">
        <f>"$ 570"</f>
        <v>$ 570</v>
      </c>
      <c r="F9864">
        <v>82</v>
      </c>
    </row>
    <row r="9865" spans="1:6">
      <c r="A9865" t="s">
        <v>9744</v>
      </c>
      <c r="B9865" t="str">
        <f t="shared" si="379"/>
        <v>0.00007%</v>
      </c>
      <c r="C9865" t="s">
        <v>10</v>
      </c>
      <c r="D9865" t="s">
        <v>10</v>
      </c>
      <c r="E9865" t="str">
        <f>"$ 571"</f>
        <v>$ 571</v>
      </c>
      <c r="F9865">
        <v>726</v>
      </c>
    </row>
    <row r="9866" spans="1:6">
      <c r="A9866" t="s">
        <v>9745</v>
      </c>
      <c r="B9866" t="str">
        <f t="shared" si="379"/>
        <v>0.00007%</v>
      </c>
      <c r="C9866" t="s">
        <v>10</v>
      </c>
      <c r="D9866" t="s">
        <v>10</v>
      </c>
      <c r="E9866" t="str">
        <f>"$ 514"</f>
        <v>$ 514</v>
      </c>
      <c r="F9866">
        <v>614</v>
      </c>
    </row>
    <row r="9867" spans="1:6">
      <c r="A9867" t="s">
        <v>9746</v>
      </c>
      <c r="B9867" t="str">
        <f t="shared" si="379"/>
        <v>0.00007%</v>
      </c>
      <c r="C9867" t="s">
        <v>10</v>
      </c>
      <c r="D9867" t="s">
        <v>10</v>
      </c>
      <c r="E9867" t="str">
        <f>"$ 506"</f>
        <v>$ 506</v>
      </c>
      <c r="F9867">
        <v>474</v>
      </c>
    </row>
    <row r="9868" spans="1:6">
      <c r="A9868" t="s">
        <v>9747</v>
      </c>
      <c r="B9868" t="str">
        <f t="shared" si="379"/>
        <v>0.00007%</v>
      </c>
      <c r="C9868" t="s">
        <v>10</v>
      </c>
      <c r="D9868" t="s">
        <v>10</v>
      </c>
      <c r="E9868" t="str">
        <f>"$ 509"</f>
        <v>$ 509</v>
      </c>
      <c r="F9868">
        <v>809</v>
      </c>
    </row>
    <row r="9869" spans="1:6">
      <c r="A9869" t="s">
        <v>9748</v>
      </c>
      <c r="B9869" t="str">
        <f t="shared" si="379"/>
        <v>0.00007%</v>
      </c>
      <c r="C9869" t="s">
        <v>10</v>
      </c>
      <c r="D9869" t="s">
        <v>10</v>
      </c>
      <c r="E9869" t="str">
        <f>"$ 522"</f>
        <v>$ 522</v>
      </c>
      <c r="F9869">
        <v>237</v>
      </c>
    </row>
    <row r="9870" spans="1:6">
      <c r="A9870" t="s">
        <v>9749</v>
      </c>
      <c r="B9870" t="str">
        <f t="shared" si="379"/>
        <v>0.00007%</v>
      </c>
      <c r="C9870" t="s">
        <v>10</v>
      </c>
      <c r="D9870" t="s">
        <v>10</v>
      </c>
      <c r="E9870" t="str">
        <f>"$ 530"</f>
        <v>$ 530</v>
      </c>
      <c r="F9870">
        <v>149</v>
      </c>
    </row>
    <row r="9871" spans="1:6">
      <c r="A9871" t="s">
        <v>9750</v>
      </c>
      <c r="B9871" t="str">
        <f t="shared" si="379"/>
        <v>0.00007%</v>
      </c>
      <c r="C9871" t="s">
        <v>10</v>
      </c>
      <c r="D9871" t="s">
        <v>10</v>
      </c>
      <c r="E9871" t="str">
        <f>"$ 525"</f>
        <v>$ 525</v>
      </c>
      <c r="F9871">
        <v>203</v>
      </c>
    </row>
    <row r="9872" spans="1:6">
      <c r="A9872" t="s">
        <v>9751</v>
      </c>
      <c r="B9872" t="str">
        <f t="shared" si="379"/>
        <v>0.00007%</v>
      </c>
      <c r="C9872" t="s">
        <v>10</v>
      </c>
      <c r="D9872" t="s">
        <v>10</v>
      </c>
      <c r="E9872" t="str">
        <f>"$ 524"</f>
        <v>$ 524</v>
      </c>
      <c r="F9872">
        <v>790</v>
      </c>
    </row>
    <row r="9873" spans="1:6">
      <c r="A9873" t="s">
        <v>9752</v>
      </c>
      <c r="B9873" t="str">
        <f t="shared" si="379"/>
        <v>0.00007%</v>
      </c>
      <c r="C9873" t="s">
        <v>10</v>
      </c>
      <c r="D9873" t="s">
        <v>10</v>
      </c>
      <c r="E9873" t="str">
        <f>"$ 533"</f>
        <v>$ 533</v>
      </c>
      <c r="F9873">
        <v>350</v>
      </c>
    </row>
    <row r="9874" spans="1:6">
      <c r="A9874" t="s">
        <v>9190</v>
      </c>
      <c r="B9874" t="str">
        <f t="shared" si="379"/>
        <v>0.00007%</v>
      </c>
      <c r="C9874" t="s">
        <v>10</v>
      </c>
      <c r="D9874" t="s">
        <v>10</v>
      </c>
      <c r="E9874" t="str">
        <f>"$ 544"</f>
        <v>$ 544</v>
      </c>
      <c r="F9874" s="1">
        <v>1334</v>
      </c>
    </row>
    <row r="9875" spans="1:6">
      <c r="A9875" t="s">
        <v>9753</v>
      </c>
      <c r="B9875" t="str">
        <f t="shared" si="379"/>
        <v>0.00007%</v>
      </c>
      <c r="C9875" t="s">
        <v>10</v>
      </c>
      <c r="D9875" t="s">
        <v>10</v>
      </c>
      <c r="E9875" t="str">
        <f>"$ 535"</f>
        <v>$ 535</v>
      </c>
      <c r="F9875">
        <v>360</v>
      </c>
    </row>
    <row r="9876" spans="1:6">
      <c r="A9876" t="s">
        <v>9754</v>
      </c>
      <c r="B9876" t="str">
        <f t="shared" si="379"/>
        <v>0.00007%</v>
      </c>
      <c r="C9876" t="s">
        <v>10</v>
      </c>
      <c r="D9876" t="s">
        <v>10</v>
      </c>
      <c r="E9876" t="str">
        <f>"$ 554"</f>
        <v>$ 554</v>
      </c>
      <c r="F9876" s="1">
        <v>1090</v>
      </c>
    </row>
    <row r="9877" spans="1:6">
      <c r="A9877" t="s">
        <v>9755</v>
      </c>
      <c r="B9877" t="str">
        <f t="shared" si="379"/>
        <v>0.00007%</v>
      </c>
      <c r="C9877" t="s">
        <v>10</v>
      </c>
      <c r="D9877" t="s">
        <v>10</v>
      </c>
      <c r="E9877" t="str">
        <f>"$ 533"</f>
        <v>$ 533</v>
      </c>
      <c r="F9877">
        <v>59</v>
      </c>
    </row>
    <row r="9878" spans="1:6">
      <c r="A9878" t="s">
        <v>9756</v>
      </c>
      <c r="B9878" t="str">
        <f t="shared" si="379"/>
        <v>0.00007%</v>
      </c>
      <c r="C9878" t="s">
        <v>10</v>
      </c>
      <c r="D9878" t="s">
        <v>10</v>
      </c>
      <c r="E9878" t="str">
        <f>"$ 511"</f>
        <v>$ 511</v>
      </c>
      <c r="F9878">
        <v>390</v>
      </c>
    </row>
    <row r="9879" spans="1:6">
      <c r="A9879" t="s">
        <v>9757</v>
      </c>
      <c r="B9879" t="str">
        <f t="shared" si="379"/>
        <v>0.00007%</v>
      </c>
      <c r="C9879" t="s">
        <v>10</v>
      </c>
      <c r="D9879" t="s">
        <v>10</v>
      </c>
      <c r="E9879" t="str">
        <f>"$ 533"</f>
        <v>$ 533</v>
      </c>
      <c r="F9879">
        <v>77</v>
      </c>
    </row>
    <row r="9880" spans="1:6">
      <c r="A9880" t="s">
        <v>9758</v>
      </c>
      <c r="B9880" t="str">
        <f t="shared" si="379"/>
        <v>0.00007%</v>
      </c>
      <c r="C9880" t="s">
        <v>10</v>
      </c>
      <c r="D9880" t="s">
        <v>10</v>
      </c>
      <c r="E9880" t="str">
        <f>"$ 520"</f>
        <v>$ 520</v>
      </c>
      <c r="F9880">
        <v>438</v>
      </c>
    </row>
    <row r="9881" spans="1:6">
      <c r="A9881" t="s">
        <v>7791</v>
      </c>
      <c r="B9881" t="str">
        <f t="shared" si="379"/>
        <v>0.00007%</v>
      </c>
      <c r="C9881" t="s">
        <v>10</v>
      </c>
      <c r="D9881" t="s">
        <v>10</v>
      </c>
      <c r="E9881" t="str">
        <f>"$ 549"</f>
        <v>$ 549</v>
      </c>
      <c r="F9881">
        <v>830</v>
      </c>
    </row>
    <row r="9882" spans="1:6">
      <c r="A9882" t="s">
        <v>9759</v>
      </c>
      <c r="B9882" t="str">
        <f t="shared" si="379"/>
        <v>0.00007%</v>
      </c>
      <c r="C9882" t="s">
        <v>10</v>
      </c>
      <c r="D9882" t="s">
        <v>10</v>
      </c>
      <c r="E9882" t="str">
        <f>"$ 547"</f>
        <v>$ 547</v>
      </c>
      <c r="F9882" s="1">
        <v>2080</v>
      </c>
    </row>
    <row r="9883" spans="1:6">
      <c r="A9883" t="s">
        <v>9760</v>
      </c>
      <c r="B9883" t="str">
        <f t="shared" si="379"/>
        <v>0.00007%</v>
      </c>
      <c r="C9883" t="s">
        <v>10</v>
      </c>
      <c r="D9883" t="s">
        <v>10</v>
      </c>
      <c r="E9883" t="str">
        <f>"$ 512"</f>
        <v>$ 512</v>
      </c>
      <c r="F9883">
        <v>205</v>
      </c>
    </row>
    <row r="9884" spans="1:6">
      <c r="A9884" t="s">
        <v>9761</v>
      </c>
      <c r="B9884" t="str">
        <f t="shared" si="379"/>
        <v>0.00007%</v>
      </c>
      <c r="C9884" t="s">
        <v>10</v>
      </c>
      <c r="D9884" t="s">
        <v>10</v>
      </c>
      <c r="E9884" t="str">
        <f>"$ 509"</f>
        <v>$ 509</v>
      </c>
      <c r="F9884">
        <v>159</v>
      </c>
    </row>
    <row r="9885" spans="1:6">
      <c r="A9885" t="s">
        <v>9762</v>
      </c>
      <c r="B9885" t="str">
        <f t="shared" si="379"/>
        <v>0.00007%</v>
      </c>
      <c r="C9885" t="s">
        <v>10</v>
      </c>
      <c r="D9885" t="s">
        <v>10</v>
      </c>
      <c r="E9885" t="str">
        <f>"$ 536"</f>
        <v>$ 536</v>
      </c>
      <c r="F9885">
        <v>33</v>
      </c>
    </row>
    <row r="9886" spans="1:6">
      <c r="A9886" t="s">
        <v>9763</v>
      </c>
      <c r="B9886" t="str">
        <f t="shared" si="379"/>
        <v>0.00007%</v>
      </c>
      <c r="C9886" t="s">
        <v>10</v>
      </c>
      <c r="D9886" t="s">
        <v>10</v>
      </c>
      <c r="E9886" t="str">
        <f>"$ 550"</f>
        <v>$ 550</v>
      </c>
      <c r="F9886">
        <v>660</v>
      </c>
    </row>
    <row r="9887" spans="1:6">
      <c r="A9887" t="s">
        <v>9764</v>
      </c>
      <c r="B9887" t="str">
        <f t="shared" si="379"/>
        <v>0.00007%</v>
      </c>
      <c r="C9887" t="s">
        <v>10</v>
      </c>
      <c r="D9887" t="s">
        <v>10</v>
      </c>
      <c r="E9887" t="str">
        <f>"$ 573"</f>
        <v>$ 573</v>
      </c>
      <c r="F9887">
        <v>177</v>
      </c>
    </row>
    <row r="9888" spans="1:6">
      <c r="A9888" t="s">
        <v>9765</v>
      </c>
      <c r="B9888" t="str">
        <f t="shared" si="379"/>
        <v>0.00007%</v>
      </c>
      <c r="C9888" t="s">
        <v>10</v>
      </c>
      <c r="D9888" t="s">
        <v>10</v>
      </c>
      <c r="E9888" t="str">
        <f>"$ 518"</f>
        <v>$ 518</v>
      </c>
      <c r="F9888">
        <v>165</v>
      </c>
    </row>
    <row r="9889" spans="1:6">
      <c r="A9889" t="s">
        <v>9766</v>
      </c>
      <c r="B9889" t="str">
        <f t="shared" si="379"/>
        <v>0.00007%</v>
      </c>
      <c r="C9889" t="s">
        <v>10</v>
      </c>
      <c r="D9889" t="s">
        <v>10</v>
      </c>
      <c r="E9889" t="str">
        <f>"$ 522"</f>
        <v>$ 522</v>
      </c>
      <c r="F9889">
        <v>395</v>
      </c>
    </row>
    <row r="9890" spans="1:6">
      <c r="A9890" t="s">
        <v>9767</v>
      </c>
      <c r="B9890" t="str">
        <f t="shared" si="379"/>
        <v>0.00007%</v>
      </c>
      <c r="C9890" t="s">
        <v>10</v>
      </c>
      <c r="D9890" t="s">
        <v>10</v>
      </c>
      <c r="E9890" t="str">
        <f>"$ 565"</f>
        <v>$ 565</v>
      </c>
      <c r="F9890">
        <v>479</v>
      </c>
    </row>
    <row r="9891" spans="1:6">
      <c r="A9891" t="s">
        <v>9768</v>
      </c>
      <c r="B9891" t="str">
        <f t="shared" si="379"/>
        <v>0.00007%</v>
      </c>
      <c r="C9891" t="s">
        <v>10</v>
      </c>
      <c r="D9891" t="s">
        <v>10</v>
      </c>
      <c r="E9891" t="str">
        <f>"$ 553"</f>
        <v>$ 553</v>
      </c>
      <c r="F9891">
        <v>264</v>
      </c>
    </row>
    <row r="9892" spans="1:6">
      <c r="A9892" t="s">
        <v>9769</v>
      </c>
      <c r="B9892" t="str">
        <f t="shared" si="379"/>
        <v>0.00007%</v>
      </c>
      <c r="C9892" t="s">
        <v>10</v>
      </c>
      <c r="D9892" t="s">
        <v>10</v>
      </c>
      <c r="E9892" t="str">
        <f>"$ 519"</f>
        <v>$ 519</v>
      </c>
      <c r="F9892">
        <v>28</v>
      </c>
    </row>
    <row r="9893" spans="1:6">
      <c r="A9893" t="s">
        <v>9770</v>
      </c>
      <c r="B9893" t="str">
        <f t="shared" si="379"/>
        <v>0.00007%</v>
      </c>
      <c r="C9893" t="s">
        <v>10</v>
      </c>
      <c r="D9893" t="s">
        <v>10</v>
      </c>
      <c r="E9893" t="str">
        <f>"$ 536"</f>
        <v>$ 536</v>
      </c>
      <c r="F9893">
        <v>66</v>
      </c>
    </row>
    <row r="9894" spans="1:6">
      <c r="A9894" t="s">
        <v>9771</v>
      </c>
      <c r="B9894" t="str">
        <f t="shared" si="379"/>
        <v>0.00007%</v>
      </c>
      <c r="C9894" t="s">
        <v>10</v>
      </c>
      <c r="D9894" t="s">
        <v>10</v>
      </c>
      <c r="E9894" t="str">
        <f>"$ 542"</f>
        <v>$ 542</v>
      </c>
      <c r="F9894" s="1">
        <v>1163</v>
      </c>
    </row>
    <row r="9895" spans="1:6">
      <c r="A9895" t="s">
        <v>9772</v>
      </c>
      <c r="B9895" t="str">
        <f t="shared" ref="B9895:B9958" si="380">"0.00007%"</f>
        <v>0.00007%</v>
      </c>
      <c r="C9895" t="s">
        <v>10</v>
      </c>
      <c r="D9895" t="s">
        <v>10</v>
      </c>
      <c r="E9895" t="str">
        <f>"$ 530"</f>
        <v>$ 530</v>
      </c>
      <c r="F9895">
        <v>465</v>
      </c>
    </row>
    <row r="9896" spans="1:6">
      <c r="A9896" t="s">
        <v>9773</v>
      </c>
      <c r="B9896" t="str">
        <f t="shared" si="380"/>
        <v>0.00007%</v>
      </c>
      <c r="C9896" t="s">
        <v>10</v>
      </c>
      <c r="D9896" t="s">
        <v>10</v>
      </c>
      <c r="E9896" t="str">
        <f>"$ 556"</f>
        <v>$ 556</v>
      </c>
      <c r="F9896">
        <v>597</v>
      </c>
    </row>
    <row r="9897" spans="1:6">
      <c r="A9897" t="s">
        <v>9774</v>
      </c>
      <c r="B9897" t="str">
        <f t="shared" si="380"/>
        <v>0.00007%</v>
      </c>
      <c r="C9897" t="s">
        <v>10</v>
      </c>
      <c r="D9897" t="s">
        <v>10</v>
      </c>
      <c r="E9897" t="str">
        <f>"$ 562"</f>
        <v>$ 562</v>
      </c>
      <c r="F9897">
        <v>16</v>
      </c>
    </row>
    <row r="9898" spans="1:6">
      <c r="A9898" t="s">
        <v>9775</v>
      </c>
      <c r="B9898" t="str">
        <f t="shared" si="380"/>
        <v>0.00007%</v>
      </c>
      <c r="C9898" t="s">
        <v>10</v>
      </c>
      <c r="D9898" t="s">
        <v>10</v>
      </c>
      <c r="E9898" t="str">
        <f>"$ 516"</f>
        <v>$ 516</v>
      </c>
      <c r="F9898" s="1">
        <v>31671</v>
      </c>
    </row>
    <row r="9899" spans="1:6">
      <c r="A9899" t="s">
        <v>9776</v>
      </c>
      <c r="B9899" t="str">
        <f t="shared" si="380"/>
        <v>0.00007%</v>
      </c>
      <c r="C9899" t="s">
        <v>10</v>
      </c>
      <c r="D9899" t="s">
        <v>10</v>
      </c>
      <c r="E9899" t="str">
        <f>"$ 530"</f>
        <v>$ 530</v>
      </c>
      <c r="F9899">
        <v>295</v>
      </c>
    </row>
    <row r="9900" spans="1:6">
      <c r="A9900" t="s">
        <v>9777</v>
      </c>
      <c r="B9900" t="str">
        <f t="shared" si="380"/>
        <v>0.00007%</v>
      </c>
      <c r="C9900" t="s">
        <v>10</v>
      </c>
      <c r="D9900" t="s">
        <v>10</v>
      </c>
      <c r="E9900" t="str">
        <f>"$ 523"</f>
        <v>$ 523</v>
      </c>
      <c r="F9900">
        <v>234</v>
      </c>
    </row>
    <row r="9901" spans="1:6">
      <c r="A9901" t="s">
        <v>9778</v>
      </c>
      <c r="B9901" t="str">
        <f t="shared" si="380"/>
        <v>0.00007%</v>
      </c>
      <c r="C9901" t="s">
        <v>10</v>
      </c>
      <c r="D9901" t="s">
        <v>10</v>
      </c>
      <c r="E9901" t="str">
        <f>"$ 543"</f>
        <v>$ 543</v>
      </c>
      <c r="F9901">
        <v>397</v>
      </c>
    </row>
    <row r="9902" spans="1:6">
      <c r="A9902" t="s">
        <v>9779</v>
      </c>
      <c r="B9902" t="str">
        <f t="shared" si="380"/>
        <v>0.00007%</v>
      </c>
      <c r="C9902" t="s">
        <v>10</v>
      </c>
      <c r="D9902" t="s">
        <v>10</v>
      </c>
      <c r="E9902" t="str">
        <f>"$ 547"</f>
        <v>$ 547</v>
      </c>
      <c r="F9902">
        <v>313</v>
      </c>
    </row>
    <row r="9903" spans="1:6">
      <c r="A9903" t="s">
        <v>9780</v>
      </c>
      <c r="B9903" t="str">
        <f t="shared" si="380"/>
        <v>0.00007%</v>
      </c>
      <c r="C9903" t="s">
        <v>10</v>
      </c>
      <c r="D9903" t="s">
        <v>10</v>
      </c>
      <c r="E9903" t="str">
        <f>"$ 545"</f>
        <v>$ 545</v>
      </c>
      <c r="F9903">
        <v>37</v>
      </c>
    </row>
    <row r="9904" spans="1:6">
      <c r="A9904" t="s">
        <v>9781</v>
      </c>
      <c r="B9904" t="str">
        <f t="shared" si="380"/>
        <v>0.00007%</v>
      </c>
      <c r="C9904" t="s">
        <v>10</v>
      </c>
      <c r="D9904" t="s">
        <v>10</v>
      </c>
      <c r="E9904" t="str">
        <f>"$ 578"</f>
        <v>$ 578</v>
      </c>
      <c r="F9904">
        <v>48</v>
      </c>
    </row>
    <row r="9905" spans="1:6">
      <c r="A9905" t="s">
        <v>9782</v>
      </c>
      <c r="B9905" t="str">
        <f t="shared" si="380"/>
        <v>0.00007%</v>
      </c>
      <c r="C9905" t="s">
        <v>10</v>
      </c>
      <c r="D9905" t="s">
        <v>10</v>
      </c>
      <c r="E9905" t="str">
        <f>"$ 579"</f>
        <v>$ 579</v>
      </c>
      <c r="F9905">
        <v>136</v>
      </c>
    </row>
    <row r="9906" spans="1:6">
      <c r="A9906" t="s">
        <v>9783</v>
      </c>
      <c r="B9906" t="str">
        <f t="shared" si="380"/>
        <v>0.00007%</v>
      </c>
      <c r="C9906" t="s">
        <v>10</v>
      </c>
      <c r="D9906" t="s">
        <v>10</v>
      </c>
      <c r="E9906" t="str">
        <f>"$ 516"</f>
        <v>$ 516</v>
      </c>
      <c r="F9906" s="1">
        <v>44459</v>
      </c>
    </row>
    <row r="9907" spans="1:6">
      <c r="A9907" t="s">
        <v>9784</v>
      </c>
      <c r="B9907" t="str">
        <f t="shared" si="380"/>
        <v>0.00007%</v>
      </c>
      <c r="C9907" t="s">
        <v>10</v>
      </c>
      <c r="D9907" t="s">
        <v>10</v>
      </c>
      <c r="E9907" t="str">
        <f>"$ 520"</f>
        <v>$ 520</v>
      </c>
      <c r="F9907">
        <v>863</v>
      </c>
    </row>
    <row r="9908" spans="1:6">
      <c r="A9908" t="s">
        <v>9785</v>
      </c>
      <c r="B9908" t="str">
        <f t="shared" si="380"/>
        <v>0.00007%</v>
      </c>
      <c r="C9908" t="s">
        <v>10</v>
      </c>
      <c r="D9908" t="s">
        <v>10</v>
      </c>
      <c r="E9908" t="str">
        <f>"$ 509"</f>
        <v>$ 509</v>
      </c>
      <c r="F9908">
        <v>358</v>
      </c>
    </row>
    <row r="9909" spans="1:6">
      <c r="A9909" t="s">
        <v>9786</v>
      </c>
      <c r="B9909" t="str">
        <f t="shared" si="380"/>
        <v>0.00007%</v>
      </c>
      <c r="C9909" t="s">
        <v>10</v>
      </c>
      <c r="D9909" t="s">
        <v>10</v>
      </c>
      <c r="E9909" t="str">
        <f>"$ 508"</f>
        <v>$ 508</v>
      </c>
      <c r="F9909">
        <v>169</v>
      </c>
    </row>
    <row r="9910" spans="1:6">
      <c r="A9910" t="s">
        <v>9787</v>
      </c>
      <c r="B9910" t="str">
        <f t="shared" si="380"/>
        <v>0.00007%</v>
      </c>
      <c r="C9910" t="s">
        <v>10</v>
      </c>
      <c r="D9910" t="s">
        <v>10</v>
      </c>
      <c r="E9910" t="str">
        <f>"$ 507"</f>
        <v>$ 507</v>
      </c>
      <c r="F9910">
        <v>50</v>
      </c>
    </row>
    <row r="9911" spans="1:6">
      <c r="A9911" t="s">
        <v>9788</v>
      </c>
      <c r="B9911" t="str">
        <f t="shared" si="380"/>
        <v>0.00007%</v>
      </c>
      <c r="C9911" t="s">
        <v>10</v>
      </c>
      <c r="D9911" t="s">
        <v>10</v>
      </c>
      <c r="E9911" t="str">
        <f>"$ 513"</f>
        <v>$ 513</v>
      </c>
      <c r="F9911">
        <v>251</v>
      </c>
    </row>
    <row r="9912" spans="1:6">
      <c r="A9912" t="s">
        <v>9789</v>
      </c>
      <c r="B9912" t="str">
        <f t="shared" si="380"/>
        <v>0.00007%</v>
      </c>
      <c r="C9912" t="s">
        <v>10</v>
      </c>
      <c r="D9912" t="s">
        <v>10</v>
      </c>
      <c r="E9912" t="str">
        <f>"$ 511"</f>
        <v>$ 511</v>
      </c>
      <c r="F9912">
        <v>16</v>
      </c>
    </row>
    <row r="9913" spans="1:6">
      <c r="A9913" t="s">
        <v>9790</v>
      </c>
      <c r="B9913" t="str">
        <f t="shared" si="380"/>
        <v>0.00007%</v>
      </c>
      <c r="C9913" t="s">
        <v>10</v>
      </c>
      <c r="D9913" t="s">
        <v>10</v>
      </c>
      <c r="E9913" t="str">
        <f>"$ 512"</f>
        <v>$ 512</v>
      </c>
      <c r="F9913">
        <v>33</v>
      </c>
    </row>
    <row r="9914" spans="1:6">
      <c r="A9914" t="s">
        <v>9791</v>
      </c>
      <c r="B9914" t="str">
        <f t="shared" si="380"/>
        <v>0.00007%</v>
      </c>
      <c r="C9914" t="s">
        <v>10</v>
      </c>
      <c r="D9914" t="s">
        <v>10</v>
      </c>
      <c r="E9914" t="str">
        <f>"$ 504"</f>
        <v>$ 504</v>
      </c>
      <c r="F9914">
        <v>258</v>
      </c>
    </row>
    <row r="9915" spans="1:6">
      <c r="A9915" t="s">
        <v>9792</v>
      </c>
      <c r="B9915" t="str">
        <f t="shared" si="380"/>
        <v>0.00007%</v>
      </c>
      <c r="C9915" t="s">
        <v>10</v>
      </c>
      <c r="D9915" t="s">
        <v>10</v>
      </c>
      <c r="E9915" t="str">
        <f>"$ 524"</f>
        <v>$ 524</v>
      </c>
      <c r="F9915">
        <v>507</v>
      </c>
    </row>
    <row r="9916" spans="1:6">
      <c r="A9916" t="s">
        <v>9793</v>
      </c>
      <c r="B9916" t="str">
        <f t="shared" si="380"/>
        <v>0.00007%</v>
      </c>
      <c r="C9916" t="s">
        <v>10</v>
      </c>
      <c r="D9916" t="s">
        <v>10</v>
      </c>
      <c r="E9916" t="str">
        <f>"$ 534"</f>
        <v>$ 534</v>
      </c>
      <c r="F9916">
        <v>350</v>
      </c>
    </row>
    <row r="9917" spans="1:6">
      <c r="A9917" t="s">
        <v>9794</v>
      </c>
      <c r="B9917" t="str">
        <f t="shared" si="380"/>
        <v>0.00007%</v>
      </c>
      <c r="C9917" t="s">
        <v>10</v>
      </c>
      <c r="D9917" t="s">
        <v>10</v>
      </c>
      <c r="E9917" t="str">
        <f>"$ 532"</f>
        <v>$ 532</v>
      </c>
      <c r="F9917">
        <v>226</v>
      </c>
    </row>
    <row r="9918" spans="1:6">
      <c r="A9918" t="s">
        <v>9795</v>
      </c>
      <c r="B9918" t="str">
        <f t="shared" si="380"/>
        <v>0.00007%</v>
      </c>
      <c r="C9918" t="s">
        <v>10</v>
      </c>
      <c r="D9918" t="s">
        <v>10</v>
      </c>
      <c r="E9918" t="str">
        <f>"$ 554"</f>
        <v>$ 554</v>
      </c>
      <c r="F9918">
        <v>33</v>
      </c>
    </row>
    <row r="9919" spans="1:6">
      <c r="A9919" t="s">
        <v>9796</v>
      </c>
      <c r="B9919" t="str">
        <f t="shared" si="380"/>
        <v>0.00007%</v>
      </c>
      <c r="C9919" t="s">
        <v>10</v>
      </c>
      <c r="D9919" t="s">
        <v>10</v>
      </c>
      <c r="E9919" t="str">
        <f>"$ 554"</f>
        <v>$ 554</v>
      </c>
      <c r="F9919">
        <v>210</v>
      </c>
    </row>
    <row r="9920" spans="1:6">
      <c r="A9920" t="s">
        <v>9797</v>
      </c>
      <c r="B9920" t="str">
        <f t="shared" si="380"/>
        <v>0.00007%</v>
      </c>
      <c r="C9920" t="s">
        <v>10</v>
      </c>
      <c r="D9920" t="s">
        <v>10</v>
      </c>
      <c r="E9920" t="str">
        <f>"$ 547"</f>
        <v>$ 547</v>
      </c>
      <c r="F9920">
        <v>70</v>
      </c>
    </row>
    <row r="9921" spans="1:6">
      <c r="A9921" t="s">
        <v>9798</v>
      </c>
      <c r="B9921" t="str">
        <f t="shared" si="380"/>
        <v>0.00007%</v>
      </c>
      <c r="C9921" t="s">
        <v>10</v>
      </c>
      <c r="D9921" t="s">
        <v>10</v>
      </c>
      <c r="E9921" t="str">
        <f>"$ 573"</f>
        <v>$ 573</v>
      </c>
      <c r="F9921">
        <v>114</v>
      </c>
    </row>
    <row r="9922" spans="1:6">
      <c r="A9922" t="s">
        <v>9799</v>
      </c>
      <c r="B9922" t="str">
        <f t="shared" si="380"/>
        <v>0.00007%</v>
      </c>
      <c r="C9922" t="s">
        <v>10</v>
      </c>
      <c r="D9922" t="s">
        <v>10</v>
      </c>
      <c r="E9922" t="str">
        <f>"$ 513"</f>
        <v>$ 513</v>
      </c>
      <c r="F9922">
        <v>129</v>
      </c>
    </row>
    <row r="9923" spans="1:6">
      <c r="A9923" t="s">
        <v>9800</v>
      </c>
      <c r="B9923" t="str">
        <f t="shared" si="380"/>
        <v>0.00007%</v>
      </c>
      <c r="C9923" t="s">
        <v>10</v>
      </c>
      <c r="D9923" t="s">
        <v>10</v>
      </c>
      <c r="E9923" t="str">
        <f>"$ 565"</f>
        <v>$ 565</v>
      </c>
      <c r="F9923">
        <v>41</v>
      </c>
    </row>
    <row r="9924" spans="1:6">
      <c r="A9924" t="s">
        <v>9801</v>
      </c>
      <c r="B9924" t="str">
        <f t="shared" si="380"/>
        <v>0.00007%</v>
      </c>
      <c r="C9924" t="s">
        <v>10</v>
      </c>
      <c r="D9924" t="s">
        <v>10</v>
      </c>
      <c r="E9924" t="str">
        <f>"$ 535"</f>
        <v>$ 535</v>
      </c>
      <c r="F9924">
        <v>235</v>
      </c>
    </row>
    <row r="9925" spans="1:6">
      <c r="A9925" t="s">
        <v>9802</v>
      </c>
      <c r="B9925" t="str">
        <f t="shared" si="380"/>
        <v>0.00007%</v>
      </c>
      <c r="C9925" t="s">
        <v>10</v>
      </c>
      <c r="D9925" t="s">
        <v>10</v>
      </c>
      <c r="E9925" t="str">
        <f>"$ 535"</f>
        <v>$ 535</v>
      </c>
      <c r="F9925">
        <v>295</v>
      </c>
    </row>
    <row r="9926" spans="1:6">
      <c r="A9926" t="s">
        <v>9803</v>
      </c>
      <c r="B9926" t="str">
        <f t="shared" si="380"/>
        <v>0.00007%</v>
      </c>
      <c r="C9926" t="s">
        <v>10</v>
      </c>
      <c r="D9926" t="s">
        <v>10</v>
      </c>
      <c r="E9926" t="str">
        <f>"$ 536"</f>
        <v>$ 536</v>
      </c>
      <c r="F9926">
        <v>31</v>
      </c>
    </row>
    <row r="9927" spans="1:6">
      <c r="A9927" t="s">
        <v>9804</v>
      </c>
      <c r="B9927" t="str">
        <f t="shared" si="380"/>
        <v>0.00007%</v>
      </c>
      <c r="C9927" t="s">
        <v>10</v>
      </c>
      <c r="D9927" t="s">
        <v>10</v>
      </c>
      <c r="E9927" t="str">
        <f>"$ 538"</f>
        <v>$ 538</v>
      </c>
      <c r="F9927">
        <v>556</v>
      </c>
    </row>
    <row r="9928" spans="1:6">
      <c r="A9928" t="s">
        <v>9805</v>
      </c>
      <c r="B9928" t="str">
        <f t="shared" si="380"/>
        <v>0.00007%</v>
      </c>
      <c r="C9928" t="s">
        <v>10</v>
      </c>
      <c r="D9928" t="s">
        <v>10</v>
      </c>
      <c r="E9928" t="str">
        <f>"$ 550"</f>
        <v>$ 550</v>
      </c>
      <c r="F9928" s="1">
        <v>3959</v>
      </c>
    </row>
    <row r="9929" spans="1:6">
      <c r="A9929" t="s">
        <v>9806</v>
      </c>
      <c r="B9929" t="str">
        <f t="shared" si="380"/>
        <v>0.00007%</v>
      </c>
      <c r="C9929" t="s">
        <v>10</v>
      </c>
      <c r="D9929" t="s">
        <v>10</v>
      </c>
      <c r="E9929" t="str">
        <f>"$ 544"</f>
        <v>$ 544</v>
      </c>
      <c r="F9929">
        <v>33</v>
      </c>
    </row>
    <row r="9930" spans="1:6">
      <c r="A9930" t="s">
        <v>9807</v>
      </c>
      <c r="B9930" t="str">
        <f t="shared" si="380"/>
        <v>0.00007%</v>
      </c>
      <c r="C9930" t="s">
        <v>10</v>
      </c>
      <c r="D9930" t="s">
        <v>10</v>
      </c>
      <c r="E9930" t="str">
        <f>"$ 525"</f>
        <v>$ 525</v>
      </c>
      <c r="F9930">
        <v>134</v>
      </c>
    </row>
    <row r="9931" spans="1:6">
      <c r="A9931" t="s">
        <v>9808</v>
      </c>
      <c r="B9931" t="str">
        <f t="shared" si="380"/>
        <v>0.00007%</v>
      </c>
      <c r="C9931" t="s">
        <v>10</v>
      </c>
      <c r="D9931" t="s">
        <v>10</v>
      </c>
      <c r="E9931" t="str">
        <f>"$ 531"</f>
        <v>$ 531</v>
      </c>
      <c r="F9931">
        <v>580</v>
      </c>
    </row>
    <row r="9932" spans="1:6">
      <c r="A9932" t="s">
        <v>9809</v>
      </c>
      <c r="B9932" t="str">
        <f t="shared" si="380"/>
        <v>0.00007%</v>
      </c>
      <c r="C9932" t="s">
        <v>10</v>
      </c>
      <c r="D9932" t="s">
        <v>10</v>
      </c>
      <c r="E9932" t="str">
        <f>"$ 563"</f>
        <v>$ 563</v>
      </c>
      <c r="F9932">
        <v>841</v>
      </c>
    </row>
    <row r="9933" spans="1:6">
      <c r="A9933" t="s">
        <v>9810</v>
      </c>
      <c r="B9933" t="str">
        <f t="shared" si="380"/>
        <v>0.00007%</v>
      </c>
      <c r="C9933" t="s">
        <v>10</v>
      </c>
      <c r="D9933" t="s">
        <v>10</v>
      </c>
      <c r="E9933" t="str">
        <f>"$ 570"</f>
        <v>$ 570</v>
      </c>
      <c r="F9933" s="1">
        <v>1943</v>
      </c>
    </row>
    <row r="9934" spans="1:6">
      <c r="A9934" t="s">
        <v>9811</v>
      </c>
      <c r="B9934" t="str">
        <f t="shared" si="380"/>
        <v>0.00007%</v>
      </c>
      <c r="C9934" t="s">
        <v>10</v>
      </c>
      <c r="D9934" t="s">
        <v>10</v>
      </c>
      <c r="E9934" t="str">
        <f>"$ 555"</f>
        <v>$ 555</v>
      </c>
      <c r="F9934">
        <v>553</v>
      </c>
    </row>
    <row r="9935" spans="1:6">
      <c r="A9935" t="s">
        <v>9812</v>
      </c>
      <c r="B9935" t="str">
        <f t="shared" si="380"/>
        <v>0.00007%</v>
      </c>
      <c r="C9935" t="s">
        <v>10</v>
      </c>
      <c r="D9935" t="s">
        <v>10</v>
      </c>
      <c r="E9935" t="str">
        <f>"$ 556"</f>
        <v>$ 556</v>
      </c>
      <c r="F9935">
        <v>531</v>
      </c>
    </row>
    <row r="9936" spans="1:6">
      <c r="A9936" t="s">
        <v>9813</v>
      </c>
      <c r="B9936" t="str">
        <f t="shared" si="380"/>
        <v>0.00007%</v>
      </c>
      <c r="C9936" t="s">
        <v>10</v>
      </c>
      <c r="D9936" t="s">
        <v>10</v>
      </c>
      <c r="E9936" t="str">
        <f>"$ 559"</f>
        <v>$ 559</v>
      </c>
      <c r="F9936">
        <v>293</v>
      </c>
    </row>
    <row r="9937" spans="1:6">
      <c r="A9937" t="s">
        <v>9814</v>
      </c>
      <c r="B9937" t="str">
        <f t="shared" si="380"/>
        <v>0.00007%</v>
      </c>
      <c r="C9937" t="s">
        <v>10</v>
      </c>
      <c r="D9937" t="s">
        <v>10</v>
      </c>
      <c r="E9937" t="str">
        <f>"$ 556"</f>
        <v>$ 556</v>
      </c>
      <c r="F9937">
        <v>745</v>
      </c>
    </row>
    <row r="9938" spans="1:6">
      <c r="A9938" t="s">
        <v>9815</v>
      </c>
      <c r="B9938" t="str">
        <f t="shared" si="380"/>
        <v>0.00007%</v>
      </c>
      <c r="C9938" t="s">
        <v>10</v>
      </c>
      <c r="D9938" t="s">
        <v>10</v>
      </c>
      <c r="E9938" t="str">
        <f>"$ 540"</f>
        <v>$ 540</v>
      </c>
      <c r="F9938">
        <v>181</v>
      </c>
    </row>
    <row r="9939" spans="1:6">
      <c r="A9939" t="s">
        <v>8221</v>
      </c>
      <c r="B9939" t="str">
        <f t="shared" si="380"/>
        <v>0.00007%</v>
      </c>
      <c r="C9939" t="s">
        <v>10</v>
      </c>
      <c r="D9939" t="s">
        <v>10</v>
      </c>
      <c r="E9939" t="str">
        <f>"$ 530"</f>
        <v>$ 530</v>
      </c>
      <c r="F9939">
        <v>785</v>
      </c>
    </row>
    <row r="9940" spans="1:6">
      <c r="A9940" t="s">
        <v>9816</v>
      </c>
      <c r="B9940" t="str">
        <f t="shared" si="380"/>
        <v>0.00007%</v>
      </c>
      <c r="C9940" t="s">
        <v>10</v>
      </c>
      <c r="D9940" t="s">
        <v>10</v>
      </c>
      <c r="E9940" t="str">
        <f>"$ 513"</f>
        <v>$ 513</v>
      </c>
      <c r="F9940">
        <v>613</v>
      </c>
    </row>
    <row r="9941" spans="1:6">
      <c r="A9941" t="s">
        <v>9817</v>
      </c>
      <c r="B9941" t="str">
        <f t="shared" si="380"/>
        <v>0.00007%</v>
      </c>
      <c r="C9941" t="s">
        <v>10</v>
      </c>
      <c r="D9941" t="s">
        <v>10</v>
      </c>
      <c r="E9941" t="str">
        <f>"$ 524"</f>
        <v>$ 524</v>
      </c>
      <c r="F9941">
        <v>320</v>
      </c>
    </row>
    <row r="9942" spans="1:6">
      <c r="A9942" t="s">
        <v>9818</v>
      </c>
      <c r="B9942" t="str">
        <f t="shared" si="380"/>
        <v>0.00007%</v>
      </c>
      <c r="C9942" t="s">
        <v>10</v>
      </c>
      <c r="D9942" t="s">
        <v>10</v>
      </c>
      <c r="E9942" t="str">
        <f>"$ 560"</f>
        <v>$ 560</v>
      </c>
      <c r="F9942">
        <v>279</v>
      </c>
    </row>
    <row r="9943" spans="1:6">
      <c r="A9943" t="s">
        <v>9819</v>
      </c>
      <c r="B9943" t="str">
        <f t="shared" si="380"/>
        <v>0.00007%</v>
      </c>
      <c r="C9943" t="s">
        <v>10</v>
      </c>
      <c r="D9943" t="s">
        <v>10</v>
      </c>
      <c r="E9943" t="str">
        <f>"$ 562"</f>
        <v>$ 562</v>
      </c>
      <c r="F9943">
        <v>176</v>
      </c>
    </row>
    <row r="9944" spans="1:6">
      <c r="A9944" t="s">
        <v>9820</v>
      </c>
      <c r="B9944" t="str">
        <f t="shared" si="380"/>
        <v>0.00007%</v>
      </c>
      <c r="C9944" t="s">
        <v>10</v>
      </c>
      <c r="D9944" t="s">
        <v>10</v>
      </c>
      <c r="E9944" t="str">
        <f>"$ 574"</f>
        <v>$ 574</v>
      </c>
      <c r="F9944">
        <v>347</v>
      </c>
    </row>
    <row r="9945" spans="1:6">
      <c r="A9945" t="s">
        <v>9821</v>
      </c>
      <c r="B9945" t="str">
        <f t="shared" si="380"/>
        <v>0.00007%</v>
      </c>
      <c r="C9945" t="s">
        <v>10</v>
      </c>
      <c r="D9945" t="s">
        <v>10</v>
      </c>
      <c r="E9945" t="str">
        <f>"$ 503"</f>
        <v>$ 503</v>
      </c>
      <c r="F9945">
        <v>92</v>
      </c>
    </row>
    <row r="9946" spans="1:6">
      <c r="A9946" t="s">
        <v>9822</v>
      </c>
      <c r="B9946" t="str">
        <f t="shared" si="380"/>
        <v>0.00007%</v>
      </c>
      <c r="C9946" t="s">
        <v>10</v>
      </c>
      <c r="D9946" t="s">
        <v>10</v>
      </c>
      <c r="E9946" t="str">
        <f>"$ 568"</f>
        <v>$ 568</v>
      </c>
      <c r="F9946">
        <v>60</v>
      </c>
    </row>
    <row r="9947" spans="1:6">
      <c r="A9947" t="s">
        <v>9823</v>
      </c>
      <c r="B9947" t="str">
        <f t="shared" si="380"/>
        <v>0.00007%</v>
      </c>
      <c r="C9947" t="s">
        <v>10</v>
      </c>
      <c r="D9947" t="s">
        <v>10</v>
      </c>
      <c r="E9947" t="str">
        <f>"$ 564"</f>
        <v>$ 564</v>
      </c>
      <c r="F9947">
        <v>609</v>
      </c>
    </row>
    <row r="9948" spans="1:6">
      <c r="A9948" t="s">
        <v>9824</v>
      </c>
      <c r="B9948" t="str">
        <f t="shared" si="380"/>
        <v>0.00007%</v>
      </c>
      <c r="C9948" t="s">
        <v>10</v>
      </c>
      <c r="D9948" t="s">
        <v>10</v>
      </c>
      <c r="E9948" t="str">
        <f>"$ 524"</f>
        <v>$ 524</v>
      </c>
      <c r="F9948">
        <v>49</v>
      </c>
    </row>
    <row r="9949" spans="1:6">
      <c r="A9949" t="s">
        <v>9825</v>
      </c>
      <c r="B9949" t="str">
        <f t="shared" si="380"/>
        <v>0.00007%</v>
      </c>
      <c r="C9949" t="s">
        <v>10</v>
      </c>
      <c r="D9949" t="s">
        <v>10</v>
      </c>
      <c r="E9949" t="str">
        <f>"$ 525"</f>
        <v>$ 525</v>
      </c>
      <c r="F9949">
        <v>82</v>
      </c>
    </row>
    <row r="9950" spans="1:6">
      <c r="A9950" t="s">
        <v>9826</v>
      </c>
      <c r="B9950" t="str">
        <f t="shared" si="380"/>
        <v>0.00007%</v>
      </c>
      <c r="C9950" t="s">
        <v>10</v>
      </c>
      <c r="D9950" t="s">
        <v>10</v>
      </c>
      <c r="E9950" t="str">
        <f>"$ 551"</f>
        <v>$ 551</v>
      </c>
      <c r="F9950">
        <v>484</v>
      </c>
    </row>
    <row r="9951" spans="1:6">
      <c r="A9951" t="s">
        <v>9827</v>
      </c>
      <c r="B9951" t="str">
        <f t="shared" si="380"/>
        <v>0.00007%</v>
      </c>
      <c r="C9951" t="s">
        <v>10</v>
      </c>
      <c r="D9951" t="s">
        <v>10</v>
      </c>
      <c r="E9951" t="str">
        <f>"$ 558"</f>
        <v>$ 558</v>
      </c>
      <c r="F9951">
        <v>24</v>
      </c>
    </row>
    <row r="9952" spans="1:6">
      <c r="A9952" t="s">
        <v>9828</v>
      </c>
      <c r="B9952" t="str">
        <f t="shared" si="380"/>
        <v>0.00007%</v>
      </c>
      <c r="C9952" t="s">
        <v>10</v>
      </c>
      <c r="D9952" t="s">
        <v>10</v>
      </c>
      <c r="E9952" t="str">
        <f>"$ 541"</f>
        <v>$ 541</v>
      </c>
      <c r="F9952">
        <v>93</v>
      </c>
    </row>
    <row r="9953" spans="1:6">
      <c r="A9953" t="s">
        <v>9829</v>
      </c>
      <c r="B9953" t="str">
        <f t="shared" si="380"/>
        <v>0.00007%</v>
      </c>
      <c r="C9953" t="s">
        <v>10</v>
      </c>
      <c r="D9953" t="s">
        <v>10</v>
      </c>
      <c r="E9953" t="str">
        <f>"$ 533"</f>
        <v>$ 533</v>
      </c>
      <c r="F9953">
        <v>91</v>
      </c>
    </row>
    <row r="9954" spans="1:6">
      <c r="A9954" t="s">
        <v>9830</v>
      </c>
      <c r="B9954" t="str">
        <f t="shared" si="380"/>
        <v>0.00007%</v>
      </c>
      <c r="C9954" t="s">
        <v>10</v>
      </c>
      <c r="D9954" t="s">
        <v>10</v>
      </c>
      <c r="E9954" t="str">
        <f>"$ 540"</f>
        <v>$ 540</v>
      </c>
      <c r="F9954">
        <v>199</v>
      </c>
    </row>
    <row r="9955" spans="1:6">
      <c r="A9955" t="s">
        <v>8367</v>
      </c>
      <c r="B9955" t="str">
        <f t="shared" si="380"/>
        <v>0.00007%</v>
      </c>
      <c r="C9955" t="s">
        <v>10</v>
      </c>
      <c r="D9955" t="s">
        <v>10</v>
      </c>
      <c r="E9955" t="str">
        <f>"$ 544"</f>
        <v>$ 544</v>
      </c>
      <c r="F9955">
        <v>192</v>
      </c>
    </row>
    <row r="9956" spans="1:6">
      <c r="A9956" t="s">
        <v>9831</v>
      </c>
      <c r="B9956" t="str">
        <f t="shared" si="380"/>
        <v>0.00007%</v>
      </c>
      <c r="C9956" t="s">
        <v>10</v>
      </c>
      <c r="D9956" t="s">
        <v>10</v>
      </c>
      <c r="E9956" t="str">
        <f>"$ 531"</f>
        <v>$ 531</v>
      </c>
      <c r="F9956">
        <v>383</v>
      </c>
    </row>
    <row r="9957" spans="1:6">
      <c r="A9957" t="s">
        <v>9832</v>
      </c>
      <c r="B9957" t="str">
        <f t="shared" si="380"/>
        <v>0.00007%</v>
      </c>
      <c r="C9957" t="s">
        <v>10</v>
      </c>
      <c r="D9957" t="s">
        <v>10</v>
      </c>
      <c r="E9957" t="str">
        <f>"$ 549"</f>
        <v>$ 549</v>
      </c>
      <c r="F9957">
        <v>42</v>
      </c>
    </row>
    <row r="9958" spans="1:6">
      <c r="A9958" t="s">
        <v>9833</v>
      </c>
      <c r="B9958" t="str">
        <f t="shared" si="380"/>
        <v>0.00007%</v>
      </c>
      <c r="C9958" t="s">
        <v>10</v>
      </c>
      <c r="D9958" t="s">
        <v>10</v>
      </c>
      <c r="E9958" t="str">
        <f>"$ 551"</f>
        <v>$ 551</v>
      </c>
      <c r="F9958">
        <v>275</v>
      </c>
    </row>
    <row r="9959" spans="1:6">
      <c r="A9959" t="s">
        <v>9834</v>
      </c>
      <c r="B9959" t="str">
        <f t="shared" ref="B9959:B10022" si="381">"0.00007%"</f>
        <v>0.00007%</v>
      </c>
      <c r="C9959" t="s">
        <v>10</v>
      </c>
      <c r="D9959" t="s">
        <v>10</v>
      </c>
      <c r="E9959" t="str">
        <f>"$ 579"</f>
        <v>$ 579</v>
      </c>
      <c r="F9959">
        <v>4</v>
      </c>
    </row>
    <row r="9960" spans="1:6">
      <c r="A9960" t="s">
        <v>9835</v>
      </c>
      <c r="B9960" t="str">
        <f t="shared" si="381"/>
        <v>0.00007%</v>
      </c>
      <c r="C9960" t="s">
        <v>10</v>
      </c>
      <c r="D9960" t="s">
        <v>10</v>
      </c>
      <c r="E9960" t="str">
        <f>"$ 563"</f>
        <v>$ 563</v>
      </c>
      <c r="F9960">
        <v>37</v>
      </c>
    </row>
    <row r="9961" spans="1:6">
      <c r="A9961" t="s">
        <v>9836</v>
      </c>
      <c r="B9961" t="str">
        <f t="shared" si="381"/>
        <v>0.00007%</v>
      </c>
      <c r="C9961" t="s">
        <v>10</v>
      </c>
      <c r="D9961" t="s">
        <v>10</v>
      </c>
      <c r="E9961" t="str">
        <f>"$ 513"</f>
        <v>$ 513</v>
      </c>
      <c r="F9961">
        <v>326</v>
      </c>
    </row>
    <row r="9962" spans="1:6">
      <c r="A9962" t="s">
        <v>9837</v>
      </c>
      <c r="B9962" t="str">
        <f t="shared" si="381"/>
        <v>0.00007%</v>
      </c>
      <c r="C9962" t="s">
        <v>10</v>
      </c>
      <c r="D9962" t="s">
        <v>10</v>
      </c>
      <c r="E9962" t="str">
        <f>"$ 506"</f>
        <v>$ 506</v>
      </c>
      <c r="F9962">
        <v>33</v>
      </c>
    </row>
    <row r="9963" spans="1:6">
      <c r="A9963" t="s">
        <v>9838</v>
      </c>
      <c r="B9963" t="str">
        <f t="shared" si="381"/>
        <v>0.00007%</v>
      </c>
      <c r="C9963" t="s">
        <v>10</v>
      </c>
      <c r="D9963" t="s">
        <v>10</v>
      </c>
      <c r="E9963" t="str">
        <f>"$ 506"</f>
        <v>$ 506</v>
      </c>
      <c r="F9963">
        <v>219</v>
      </c>
    </row>
    <row r="9964" spans="1:6">
      <c r="A9964" t="s">
        <v>9839</v>
      </c>
      <c r="B9964" t="str">
        <f t="shared" si="381"/>
        <v>0.00007%</v>
      </c>
      <c r="C9964" t="s">
        <v>10</v>
      </c>
      <c r="D9964" t="s">
        <v>10</v>
      </c>
      <c r="E9964" t="str">
        <f>"$ 565"</f>
        <v>$ 565</v>
      </c>
      <c r="F9964">
        <v>33</v>
      </c>
    </row>
    <row r="9965" spans="1:6">
      <c r="A9965" t="s">
        <v>9840</v>
      </c>
      <c r="B9965" t="str">
        <f t="shared" si="381"/>
        <v>0.00007%</v>
      </c>
      <c r="C9965" t="s">
        <v>10</v>
      </c>
      <c r="D9965" t="s">
        <v>10</v>
      </c>
      <c r="E9965" t="str">
        <f>"$ 553"</f>
        <v>$ 553</v>
      </c>
      <c r="F9965">
        <v>69</v>
      </c>
    </row>
    <row r="9966" spans="1:6">
      <c r="A9966" t="s">
        <v>9841</v>
      </c>
      <c r="B9966" t="str">
        <f t="shared" si="381"/>
        <v>0.00007%</v>
      </c>
      <c r="C9966" t="s">
        <v>10</v>
      </c>
      <c r="D9966" t="s">
        <v>10</v>
      </c>
      <c r="E9966" t="str">
        <f>"$ 560"</f>
        <v>$ 560</v>
      </c>
      <c r="F9966">
        <v>364</v>
      </c>
    </row>
    <row r="9967" spans="1:6">
      <c r="A9967" t="s">
        <v>9842</v>
      </c>
      <c r="B9967" t="str">
        <f t="shared" si="381"/>
        <v>0.00007%</v>
      </c>
      <c r="C9967" t="s">
        <v>10</v>
      </c>
      <c r="D9967" t="s">
        <v>10</v>
      </c>
      <c r="E9967" t="str">
        <f>"$ 550"</f>
        <v>$ 550</v>
      </c>
      <c r="F9967">
        <v>287</v>
      </c>
    </row>
    <row r="9968" spans="1:6">
      <c r="A9968" t="s">
        <v>9843</v>
      </c>
      <c r="B9968" t="str">
        <f t="shared" si="381"/>
        <v>0.00007%</v>
      </c>
      <c r="C9968" t="s">
        <v>10</v>
      </c>
      <c r="D9968" t="s">
        <v>10</v>
      </c>
      <c r="E9968" t="str">
        <f>"$ 539"</f>
        <v>$ 539</v>
      </c>
      <c r="F9968">
        <v>11</v>
      </c>
    </row>
    <row r="9969" spans="1:6">
      <c r="A9969" t="s">
        <v>9844</v>
      </c>
      <c r="B9969" t="str">
        <f t="shared" si="381"/>
        <v>0.00007%</v>
      </c>
      <c r="C9969" t="s">
        <v>10</v>
      </c>
      <c r="D9969" t="s">
        <v>10</v>
      </c>
      <c r="E9969" t="str">
        <f>"$ 533"</f>
        <v>$ 533</v>
      </c>
      <c r="F9969">
        <v>707</v>
      </c>
    </row>
    <row r="9970" spans="1:6">
      <c r="A9970" t="s">
        <v>9845</v>
      </c>
      <c r="B9970" t="str">
        <f t="shared" si="381"/>
        <v>0.00007%</v>
      </c>
      <c r="C9970" t="s">
        <v>10</v>
      </c>
      <c r="D9970" t="s">
        <v>10</v>
      </c>
      <c r="E9970" t="str">
        <f>"$ 514"</f>
        <v>$ 514</v>
      </c>
      <c r="F9970">
        <v>641</v>
      </c>
    </row>
    <row r="9971" spans="1:6">
      <c r="A9971" t="s">
        <v>9846</v>
      </c>
      <c r="B9971" t="str">
        <f t="shared" si="381"/>
        <v>0.00007%</v>
      </c>
      <c r="C9971" t="s">
        <v>10</v>
      </c>
      <c r="D9971" t="s">
        <v>10</v>
      </c>
      <c r="E9971" t="str">
        <f>"$ 515"</f>
        <v>$ 515</v>
      </c>
      <c r="F9971">
        <v>118</v>
      </c>
    </row>
    <row r="9972" spans="1:6">
      <c r="A9972" t="s">
        <v>9847</v>
      </c>
      <c r="B9972" t="str">
        <f t="shared" si="381"/>
        <v>0.00007%</v>
      </c>
      <c r="C9972" t="s">
        <v>10</v>
      </c>
      <c r="D9972" t="s">
        <v>10</v>
      </c>
      <c r="E9972" t="str">
        <f>"$ 519"</f>
        <v>$ 519</v>
      </c>
      <c r="F9972" s="1">
        <v>15363</v>
      </c>
    </row>
    <row r="9973" spans="1:6">
      <c r="A9973" t="s">
        <v>9848</v>
      </c>
      <c r="B9973" t="str">
        <f t="shared" si="381"/>
        <v>0.00007%</v>
      </c>
      <c r="C9973" t="s">
        <v>10</v>
      </c>
      <c r="D9973" t="s">
        <v>10</v>
      </c>
      <c r="E9973" t="str">
        <f>"$ 561"</f>
        <v>$ 561</v>
      </c>
      <c r="F9973">
        <v>49</v>
      </c>
    </row>
    <row r="9974" spans="1:6">
      <c r="A9974" t="s">
        <v>9849</v>
      </c>
      <c r="B9974" t="str">
        <f t="shared" si="381"/>
        <v>0.00007%</v>
      </c>
      <c r="C9974" t="s">
        <v>10</v>
      </c>
      <c r="D9974" t="s">
        <v>10</v>
      </c>
      <c r="E9974" t="str">
        <f>"$ 504"</f>
        <v>$ 504</v>
      </c>
      <c r="F9974">
        <v>880</v>
      </c>
    </row>
    <row r="9975" spans="1:6">
      <c r="A9975" t="s">
        <v>9850</v>
      </c>
      <c r="B9975" t="str">
        <f t="shared" si="381"/>
        <v>0.00007%</v>
      </c>
      <c r="C9975" t="s">
        <v>10</v>
      </c>
      <c r="D9975" t="s">
        <v>10</v>
      </c>
      <c r="E9975" t="str">
        <f>"$ 509"</f>
        <v>$ 509</v>
      </c>
      <c r="F9975">
        <v>85</v>
      </c>
    </row>
    <row r="9976" spans="1:6">
      <c r="A9976" t="s">
        <v>9851</v>
      </c>
      <c r="B9976" t="str">
        <f t="shared" si="381"/>
        <v>0.00007%</v>
      </c>
      <c r="C9976" t="s">
        <v>10</v>
      </c>
      <c r="D9976" t="s">
        <v>10</v>
      </c>
      <c r="E9976" t="str">
        <f>"$ 568"</f>
        <v>$ 568</v>
      </c>
      <c r="F9976">
        <v>43</v>
      </c>
    </row>
    <row r="9977" spans="1:6">
      <c r="A9977" t="s">
        <v>9852</v>
      </c>
      <c r="B9977" t="str">
        <f t="shared" si="381"/>
        <v>0.00007%</v>
      </c>
      <c r="C9977" t="s">
        <v>10</v>
      </c>
      <c r="D9977" t="s">
        <v>10</v>
      </c>
      <c r="E9977" t="str">
        <f>"$ 523"</f>
        <v>$ 523</v>
      </c>
      <c r="F9977">
        <v>15</v>
      </c>
    </row>
    <row r="9978" spans="1:6">
      <c r="A9978" t="s">
        <v>9853</v>
      </c>
      <c r="B9978" t="str">
        <f t="shared" si="381"/>
        <v>0.00007%</v>
      </c>
      <c r="C9978" t="s">
        <v>10</v>
      </c>
      <c r="D9978" t="s">
        <v>10</v>
      </c>
      <c r="E9978" t="str">
        <f>"$ 514"</f>
        <v>$ 514</v>
      </c>
      <c r="F9978">
        <v>129</v>
      </c>
    </row>
    <row r="9979" spans="1:6">
      <c r="A9979" t="s">
        <v>9854</v>
      </c>
      <c r="B9979" t="str">
        <f t="shared" si="381"/>
        <v>0.00007%</v>
      </c>
      <c r="C9979" t="s">
        <v>10</v>
      </c>
      <c r="D9979" t="s">
        <v>10</v>
      </c>
      <c r="E9979" t="str">
        <f>"$ 502"</f>
        <v>$ 502</v>
      </c>
      <c r="F9979">
        <v>33</v>
      </c>
    </row>
    <row r="9980" spans="1:6">
      <c r="A9980" t="s">
        <v>9855</v>
      </c>
      <c r="B9980" t="str">
        <f t="shared" si="381"/>
        <v>0.00007%</v>
      </c>
      <c r="C9980" t="s">
        <v>10</v>
      </c>
      <c r="D9980" t="s">
        <v>10</v>
      </c>
      <c r="E9980" t="str">
        <f>"$ 570"</f>
        <v>$ 570</v>
      </c>
      <c r="F9980" s="1">
        <v>2494</v>
      </c>
    </row>
    <row r="9981" spans="1:6">
      <c r="A9981" t="s">
        <v>9856</v>
      </c>
      <c r="B9981" t="str">
        <f t="shared" si="381"/>
        <v>0.00007%</v>
      </c>
      <c r="C9981" t="s">
        <v>10</v>
      </c>
      <c r="D9981" t="s">
        <v>10</v>
      </c>
      <c r="E9981" t="str">
        <f>"$ 516"</f>
        <v>$ 516</v>
      </c>
      <c r="F9981">
        <v>150</v>
      </c>
    </row>
    <row r="9982" spans="1:6">
      <c r="A9982" t="s">
        <v>9857</v>
      </c>
      <c r="B9982" t="str">
        <f t="shared" si="381"/>
        <v>0.00007%</v>
      </c>
      <c r="C9982" t="s">
        <v>10</v>
      </c>
      <c r="D9982" t="s">
        <v>10</v>
      </c>
      <c r="E9982" t="str">
        <f>"$ 521"</f>
        <v>$ 521</v>
      </c>
      <c r="F9982">
        <v>270</v>
      </c>
    </row>
    <row r="9983" spans="1:6">
      <c r="A9983" t="s">
        <v>9858</v>
      </c>
      <c r="B9983" t="str">
        <f t="shared" si="381"/>
        <v>0.00007%</v>
      </c>
      <c r="C9983" t="s">
        <v>10</v>
      </c>
      <c r="D9983" t="s">
        <v>10</v>
      </c>
      <c r="E9983" t="str">
        <f>"$ 557"</f>
        <v>$ 557</v>
      </c>
      <c r="F9983">
        <v>180</v>
      </c>
    </row>
    <row r="9984" spans="1:6">
      <c r="A9984" t="s">
        <v>9859</v>
      </c>
      <c r="B9984" t="str">
        <f t="shared" si="381"/>
        <v>0.00007%</v>
      </c>
      <c r="C9984" t="s">
        <v>10</v>
      </c>
      <c r="D9984" t="s">
        <v>10</v>
      </c>
      <c r="E9984" t="str">
        <f>"$ 532"</f>
        <v>$ 532</v>
      </c>
      <c r="F9984">
        <v>211</v>
      </c>
    </row>
    <row r="9985" spans="1:6">
      <c r="A9985" t="s">
        <v>9860</v>
      </c>
      <c r="B9985" t="str">
        <f t="shared" si="381"/>
        <v>0.00007%</v>
      </c>
      <c r="C9985" t="s">
        <v>10</v>
      </c>
      <c r="D9985" t="s">
        <v>10</v>
      </c>
      <c r="E9985" t="str">
        <f>"$ 540"</f>
        <v>$ 540</v>
      </c>
      <c r="F9985">
        <v>178</v>
      </c>
    </row>
    <row r="9986" spans="1:6">
      <c r="A9986" t="s">
        <v>9861</v>
      </c>
      <c r="B9986" t="str">
        <f t="shared" si="381"/>
        <v>0.00007%</v>
      </c>
      <c r="C9986" t="s">
        <v>10</v>
      </c>
      <c r="D9986" t="s">
        <v>10</v>
      </c>
      <c r="E9986" t="str">
        <f>"$ 512"</f>
        <v>$ 512</v>
      </c>
      <c r="F9986">
        <v>96</v>
      </c>
    </row>
    <row r="9987" spans="1:6">
      <c r="A9987" t="s">
        <v>9862</v>
      </c>
      <c r="B9987" t="str">
        <f t="shared" si="381"/>
        <v>0.00007%</v>
      </c>
      <c r="C9987" t="s">
        <v>10</v>
      </c>
      <c r="D9987" t="s">
        <v>10</v>
      </c>
      <c r="E9987" t="str">
        <f>"$ 507"</f>
        <v>$ 507</v>
      </c>
      <c r="F9987">
        <v>91</v>
      </c>
    </row>
    <row r="9988" spans="1:6">
      <c r="A9988" t="s">
        <v>9863</v>
      </c>
      <c r="B9988" t="str">
        <f t="shared" si="381"/>
        <v>0.00007%</v>
      </c>
      <c r="C9988" t="s">
        <v>10</v>
      </c>
      <c r="D9988" t="s">
        <v>10</v>
      </c>
      <c r="E9988" t="str">
        <f>"$ 508"</f>
        <v>$ 508</v>
      </c>
      <c r="F9988">
        <v>126</v>
      </c>
    </row>
    <row r="9989" spans="1:6">
      <c r="A9989" t="s">
        <v>9864</v>
      </c>
      <c r="B9989" t="str">
        <f t="shared" si="381"/>
        <v>0.00007%</v>
      </c>
      <c r="C9989" t="s">
        <v>10</v>
      </c>
      <c r="D9989" t="s">
        <v>10</v>
      </c>
      <c r="E9989" t="str">
        <f>"$ 512"</f>
        <v>$ 512</v>
      </c>
      <c r="F9989">
        <v>28</v>
      </c>
    </row>
    <row r="9990" spans="1:6">
      <c r="A9990" t="s">
        <v>9865</v>
      </c>
      <c r="B9990" t="str">
        <f t="shared" si="381"/>
        <v>0.00007%</v>
      </c>
      <c r="C9990" t="s">
        <v>10</v>
      </c>
      <c r="D9990" t="s">
        <v>10</v>
      </c>
      <c r="E9990" t="str">
        <f>"$ 520"</f>
        <v>$ 520</v>
      </c>
      <c r="F9990">
        <v>275</v>
      </c>
    </row>
    <row r="9991" spans="1:6">
      <c r="A9991" t="s">
        <v>9866</v>
      </c>
      <c r="B9991" t="str">
        <f t="shared" si="381"/>
        <v>0.00007%</v>
      </c>
      <c r="C9991" t="s">
        <v>10</v>
      </c>
      <c r="D9991" t="s">
        <v>10</v>
      </c>
      <c r="E9991" t="str">
        <f>"$ 531"</f>
        <v>$ 531</v>
      </c>
      <c r="F9991">
        <v>64</v>
      </c>
    </row>
    <row r="9992" spans="1:6">
      <c r="A9992" t="s">
        <v>9867</v>
      </c>
      <c r="B9992" t="str">
        <f t="shared" si="381"/>
        <v>0.00007%</v>
      </c>
      <c r="C9992" t="s">
        <v>10</v>
      </c>
      <c r="D9992" t="s">
        <v>10</v>
      </c>
      <c r="E9992" t="str">
        <f>"$ 567"</f>
        <v>$ 567</v>
      </c>
      <c r="F9992">
        <v>280</v>
      </c>
    </row>
    <row r="9993" spans="1:6">
      <c r="A9993" t="s">
        <v>9868</v>
      </c>
      <c r="B9993" t="str">
        <f t="shared" si="381"/>
        <v>0.00007%</v>
      </c>
      <c r="C9993" t="s">
        <v>10</v>
      </c>
      <c r="D9993" t="s">
        <v>10</v>
      </c>
      <c r="E9993" t="str">
        <f>"$ 506"</f>
        <v>$ 506</v>
      </c>
      <c r="F9993">
        <v>212</v>
      </c>
    </row>
    <row r="9994" spans="1:6">
      <c r="A9994" t="s">
        <v>9869</v>
      </c>
      <c r="B9994" t="str">
        <f t="shared" si="381"/>
        <v>0.00007%</v>
      </c>
      <c r="C9994" t="s">
        <v>10</v>
      </c>
      <c r="D9994" t="s">
        <v>10</v>
      </c>
      <c r="E9994" t="str">
        <f>"$ 505"</f>
        <v>$ 505</v>
      </c>
      <c r="F9994">
        <v>98</v>
      </c>
    </row>
    <row r="9995" spans="1:6">
      <c r="A9995" t="s">
        <v>9870</v>
      </c>
      <c r="B9995" t="str">
        <f t="shared" si="381"/>
        <v>0.00007%</v>
      </c>
      <c r="C9995" t="s">
        <v>10</v>
      </c>
      <c r="D9995" t="s">
        <v>10</v>
      </c>
      <c r="E9995" t="str">
        <f>"$ 567"</f>
        <v>$ 567</v>
      </c>
      <c r="F9995">
        <v>232</v>
      </c>
    </row>
    <row r="9996" spans="1:6">
      <c r="A9996" t="s">
        <v>9871</v>
      </c>
      <c r="B9996" t="str">
        <f t="shared" si="381"/>
        <v>0.00007%</v>
      </c>
      <c r="C9996" t="s">
        <v>10</v>
      </c>
      <c r="D9996" t="s">
        <v>10</v>
      </c>
      <c r="E9996" t="str">
        <f>"$ 577"</f>
        <v>$ 577</v>
      </c>
      <c r="F9996">
        <v>205</v>
      </c>
    </row>
    <row r="9997" spans="1:6">
      <c r="A9997" t="s">
        <v>9872</v>
      </c>
      <c r="B9997" t="str">
        <f t="shared" si="381"/>
        <v>0.00007%</v>
      </c>
      <c r="C9997" t="s">
        <v>10</v>
      </c>
      <c r="D9997" t="s">
        <v>10</v>
      </c>
      <c r="E9997" t="str">
        <f>"$ 530"</f>
        <v>$ 530</v>
      </c>
      <c r="F9997">
        <v>582</v>
      </c>
    </row>
    <row r="9998" spans="1:6">
      <c r="A9998" t="s">
        <v>9873</v>
      </c>
      <c r="B9998" t="str">
        <f t="shared" si="381"/>
        <v>0.00007%</v>
      </c>
      <c r="C9998" t="s">
        <v>10</v>
      </c>
      <c r="D9998" t="s">
        <v>10</v>
      </c>
      <c r="E9998" t="str">
        <f>"$ 548"</f>
        <v>$ 548</v>
      </c>
      <c r="F9998" s="1">
        <v>1319</v>
      </c>
    </row>
    <row r="9999" spans="1:6">
      <c r="A9999" t="s">
        <v>9874</v>
      </c>
      <c r="B9999" t="str">
        <f t="shared" si="381"/>
        <v>0.00007%</v>
      </c>
      <c r="C9999" t="s">
        <v>10</v>
      </c>
      <c r="D9999" t="s">
        <v>10</v>
      </c>
      <c r="E9999" t="str">
        <f>"$ 527"</f>
        <v>$ 527</v>
      </c>
      <c r="F9999">
        <v>43</v>
      </c>
    </row>
    <row r="10000" spans="1:6">
      <c r="A10000" t="s">
        <v>9875</v>
      </c>
      <c r="B10000" t="str">
        <f t="shared" si="381"/>
        <v>0.00007%</v>
      </c>
      <c r="C10000" t="s">
        <v>10</v>
      </c>
      <c r="D10000" t="s">
        <v>10</v>
      </c>
      <c r="E10000" t="str">
        <f>"$ 528"</f>
        <v>$ 528</v>
      </c>
      <c r="F10000">
        <v>544</v>
      </c>
    </row>
    <row r="10001" spans="1:6">
      <c r="A10001" t="s">
        <v>9876</v>
      </c>
      <c r="B10001" t="str">
        <f t="shared" si="381"/>
        <v>0.00007%</v>
      </c>
      <c r="C10001" t="s">
        <v>10</v>
      </c>
      <c r="D10001" t="s">
        <v>10</v>
      </c>
      <c r="E10001" t="str">
        <f>"$ 533"</f>
        <v>$ 533</v>
      </c>
      <c r="F10001">
        <v>88</v>
      </c>
    </row>
    <row r="10002" spans="1:6">
      <c r="A10002" t="s">
        <v>9877</v>
      </c>
      <c r="B10002" t="str">
        <f t="shared" si="381"/>
        <v>0.00007%</v>
      </c>
      <c r="C10002" t="s">
        <v>10</v>
      </c>
      <c r="D10002" t="s">
        <v>10</v>
      </c>
      <c r="E10002" t="str">
        <f>"$ 536"</f>
        <v>$ 536</v>
      </c>
      <c r="F10002">
        <v>38</v>
      </c>
    </row>
    <row r="10003" spans="1:6">
      <c r="A10003" t="s">
        <v>9878</v>
      </c>
      <c r="B10003" t="str">
        <f t="shared" si="381"/>
        <v>0.00007%</v>
      </c>
      <c r="C10003" t="s">
        <v>10</v>
      </c>
      <c r="D10003" t="s">
        <v>10</v>
      </c>
      <c r="E10003" t="str">
        <f>"$ 556"</f>
        <v>$ 556</v>
      </c>
      <c r="F10003">
        <v>248</v>
      </c>
    </row>
    <row r="10004" spans="1:6">
      <c r="A10004" t="s">
        <v>9879</v>
      </c>
      <c r="B10004" t="str">
        <f t="shared" si="381"/>
        <v>0.00007%</v>
      </c>
      <c r="C10004" t="s">
        <v>10</v>
      </c>
      <c r="D10004" t="s">
        <v>10</v>
      </c>
      <c r="E10004" t="str">
        <f>"$ 553"</f>
        <v>$ 553</v>
      </c>
      <c r="F10004">
        <v>76</v>
      </c>
    </row>
    <row r="10005" spans="1:6">
      <c r="A10005" t="s">
        <v>9880</v>
      </c>
      <c r="B10005" t="str">
        <f t="shared" si="381"/>
        <v>0.00007%</v>
      </c>
      <c r="C10005" t="s">
        <v>10</v>
      </c>
      <c r="D10005" t="s">
        <v>10</v>
      </c>
      <c r="E10005" t="str">
        <f>"$ 555"</f>
        <v>$ 555</v>
      </c>
      <c r="F10005">
        <v>57</v>
      </c>
    </row>
    <row r="10006" spans="1:6">
      <c r="A10006" t="s">
        <v>9881</v>
      </c>
      <c r="B10006" t="str">
        <f t="shared" si="381"/>
        <v>0.00007%</v>
      </c>
      <c r="C10006" t="s">
        <v>10</v>
      </c>
      <c r="D10006" t="s">
        <v>10</v>
      </c>
      <c r="E10006" t="str">
        <f>"$ 563"</f>
        <v>$ 563</v>
      </c>
      <c r="F10006">
        <v>738</v>
      </c>
    </row>
    <row r="10007" spans="1:6">
      <c r="A10007" t="s">
        <v>9882</v>
      </c>
      <c r="B10007" t="str">
        <f t="shared" si="381"/>
        <v>0.00007%</v>
      </c>
      <c r="C10007" t="s">
        <v>10</v>
      </c>
      <c r="D10007" t="s">
        <v>10</v>
      </c>
      <c r="E10007" t="str">
        <f>"$ 568"</f>
        <v>$ 568</v>
      </c>
      <c r="F10007">
        <v>370</v>
      </c>
    </row>
    <row r="10008" spans="1:6">
      <c r="A10008" t="s">
        <v>9883</v>
      </c>
      <c r="B10008" t="str">
        <f t="shared" si="381"/>
        <v>0.00007%</v>
      </c>
      <c r="C10008" t="s">
        <v>10</v>
      </c>
      <c r="D10008" t="s">
        <v>10</v>
      </c>
      <c r="E10008" t="str">
        <f>"$ 574"</f>
        <v>$ 574</v>
      </c>
      <c r="F10008">
        <v>73</v>
      </c>
    </row>
    <row r="10009" spans="1:6">
      <c r="A10009" t="s">
        <v>9884</v>
      </c>
      <c r="B10009" t="str">
        <f t="shared" si="381"/>
        <v>0.00007%</v>
      </c>
      <c r="C10009" t="s">
        <v>10</v>
      </c>
      <c r="D10009" t="s">
        <v>10</v>
      </c>
      <c r="E10009" t="str">
        <f>"$ 539"</f>
        <v>$ 539</v>
      </c>
      <c r="F10009">
        <v>173</v>
      </c>
    </row>
    <row r="10010" spans="1:6">
      <c r="A10010" t="s">
        <v>9885</v>
      </c>
      <c r="B10010" t="str">
        <f t="shared" si="381"/>
        <v>0.00007%</v>
      </c>
      <c r="C10010" t="s">
        <v>10</v>
      </c>
      <c r="D10010" t="s">
        <v>10</v>
      </c>
      <c r="E10010" t="str">
        <f>"$ 520"</f>
        <v>$ 520</v>
      </c>
      <c r="F10010">
        <v>287</v>
      </c>
    </row>
    <row r="10011" spans="1:6">
      <c r="A10011" t="s">
        <v>9886</v>
      </c>
      <c r="B10011" t="str">
        <f t="shared" si="381"/>
        <v>0.00007%</v>
      </c>
      <c r="C10011" t="s">
        <v>10</v>
      </c>
      <c r="D10011" t="s">
        <v>10</v>
      </c>
      <c r="E10011" t="str">
        <f>"$ 545"</f>
        <v>$ 545</v>
      </c>
      <c r="F10011">
        <v>449</v>
      </c>
    </row>
    <row r="10012" spans="1:6">
      <c r="A10012" t="s">
        <v>9887</v>
      </c>
      <c r="B10012" t="str">
        <f t="shared" si="381"/>
        <v>0.00007%</v>
      </c>
      <c r="C10012" t="s">
        <v>10</v>
      </c>
      <c r="D10012" t="s">
        <v>10</v>
      </c>
      <c r="E10012" t="str">
        <f>"$ 538"</f>
        <v>$ 538</v>
      </c>
      <c r="F10012">
        <v>165</v>
      </c>
    </row>
    <row r="10013" spans="1:6">
      <c r="A10013" t="s">
        <v>9888</v>
      </c>
      <c r="B10013" t="str">
        <f t="shared" si="381"/>
        <v>0.00007%</v>
      </c>
      <c r="C10013" t="s">
        <v>10</v>
      </c>
      <c r="D10013" t="s">
        <v>10</v>
      </c>
      <c r="E10013" t="str">
        <f>"$ 542"</f>
        <v>$ 542</v>
      </c>
      <c r="F10013">
        <v>82</v>
      </c>
    </row>
    <row r="10014" spans="1:6">
      <c r="A10014" t="s">
        <v>9889</v>
      </c>
      <c r="B10014" t="str">
        <f t="shared" si="381"/>
        <v>0.00007%</v>
      </c>
      <c r="C10014" t="s">
        <v>10</v>
      </c>
      <c r="D10014" t="s">
        <v>10</v>
      </c>
      <c r="E10014" t="str">
        <f>"$ 524"</f>
        <v>$ 524</v>
      </c>
      <c r="F10014">
        <v>186</v>
      </c>
    </row>
    <row r="10015" spans="1:6">
      <c r="A10015" t="s">
        <v>9890</v>
      </c>
      <c r="B10015" t="str">
        <f t="shared" si="381"/>
        <v>0.00007%</v>
      </c>
      <c r="C10015" t="s">
        <v>10</v>
      </c>
      <c r="D10015" t="s">
        <v>10</v>
      </c>
      <c r="E10015" t="str">
        <f>"$ 569"</f>
        <v>$ 569</v>
      </c>
      <c r="F10015">
        <v>115</v>
      </c>
    </row>
    <row r="10016" spans="1:6">
      <c r="A10016" t="s">
        <v>9891</v>
      </c>
      <c r="B10016" t="str">
        <f t="shared" si="381"/>
        <v>0.00007%</v>
      </c>
      <c r="C10016" t="s">
        <v>10</v>
      </c>
      <c r="D10016" t="s">
        <v>10</v>
      </c>
      <c r="E10016" t="str">
        <f>"$ 557"</f>
        <v>$ 557</v>
      </c>
      <c r="F10016">
        <v>538</v>
      </c>
    </row>
    <row r="10017" spans="1:6">
      <c r="A10017" t="s">
        <v>9892</v>
      </c>
      <c r="B10017" t="str">
        <f t="shared" si="381"/>
        <v>0.00007%</v>
      </c>
      <c r="C10017" t="s">
        <v>10</v>
      </c>
      <c r="D10017" t="s">
        <v>10</v>
      </c>
      <c r="E10017" t="str">
        <f>"$ 559"</f>
        <v>$ 559</v>
      </c>
      <c r="F10017">
        <v>159</v>
      </c>
    </row>
    <row r="10018" spans="1:6">
      <c r="A10018" t="s">
        <v>9893</v>
      </c>
      <c r="B10018" t="str">
        <f t="shared" si="381"/>
        <v>0.00007%</v>
      </c>
      <c r="C10018" t="s">
        <v>10</v>
      </c>
      <c r="D10018" t="s">
        <v>10</v>
      </c>
      <c r="E10018" t="str">
        <f>"$ 527"</f>
        <v>$ 527</v>
      </c>
      <c r="F10018">
        <v>192</v>
      </c>
    </row>
    <row r="10019" spans="1:6">
      <c r="A10019" t="s">
        <v>7650</v>
      </c>
      <c r="B10019" t="str">
        <f t="shared" si="381"/>
        <v>0.00007%</v>
      </c>
      <c r="C10019" t="s">
        <v>10</v>
      </c>
      <c r="D10019" t="s">
        <v>10</v>
      </c>
      <c r="E10019" t="str">
        <f>"$ 561"</f>
        <v>$ 561</v>
      </c>
      <c r="F10019">
        <v>248</v>
      </c>
    </row>
    <row r="10020" spans="1:6">
      <c r="A10020" t="s">
        <v>9894</v>
      </c>
      <c r="B10020" t="str">
        <f t="shared" si="381"/>
        <v>0.00007%</v>
      </c>
      <c r="C10020" t="s">
        <v>10</v>
      </c>
      <c r="D10020" t="s">
        <v>10</v>
      </c>
      <c r="E10020" t="str">
        <f>"$ 524"</f>
        <v>$ 524</v>
      </c>
      <c r="F10020">
        <v>154</v>
      </c>
    </row>
    <row r="10021" spans="1:6">
      <c r="A10021" t="s">
        <v>9895</v>
      </c>
      <c r="B10021" t="str">
        <f t="shared" si="381"/>
        <v>0.00007%</v>
      </c>
      <c r="C10021" t="s">
        <v>10</v>
      </c>
      <c r="D10021" t="s">
        <v>10</v>
      </c>
      <c r="E10021" t="str">
        <f>"$ 509"</f>
        <v>$ 509</v>
      </c>
      <c r="F10021">
        <v>54</v>
      </c>
    </row>
    <row r="10022" spans="1:6">
      <c r="A10022" t="s">
        <v>9278</v>
      </c>
      <c r="B10022" t="str">
        <f t="shared" si="381"/>
        <v>0.00007%</v>
      </c>
      <c r="C10022" t="s">
        <v>10</v>
      </c>
      <c r="D10022" t="s">
        <v>10</v>
      </c>
      <c r="E10022" t="str">
        <f>"$ 547"</f>
        <v>$ 547</v>
      </c>
      <c r="F10022">
        <v>65</v>
      </c>
    </row>
    <row r="10023" spans="1:6">
      <c r="A10023" t="s">
        <v>9896</v>
      </c>
      <c r="B10023" t="str">
        <f t="shared" ref="B10023:B10081" si="382">"0.00007%"</f>
        <v>0.00007%</v>
      </c>
      <c r="C10023" t="s">
        <v>10</v>
      </c>
      <c r="D10023" t="s">
        <v>10</v>
      </c>
      <c r="E10023" t="str">
        <f>"$ 528"</f>
        <v>$ 528</v>
      </c>
      <c r="F10023">
        <v>98</v>
      </c>
    </row>
    <row r="10024" spans="1:6">
      <c r="A10024" t="s">
        <v>9897</v>
      </c>
      <c r="B10024" t="str">
        <f t="shared" si="382"/>
        <v>0.00007%</v>
      </c>
      <c r="C10024" t="s">
        <v>10</v>
      </c>
      <c r="D10024" t="s">
        <v>10</v>
      </c>
      <c r="E10024" t="str">
        <f>"$ 530"</f>
        <v>$ 530</v>
      </c>
      <c r="F10024">
        <v>61</v>
      </c>
    </row>
    <row r="10025" spans="1:6">
      <c r="A10025" t="s">
        <v>9898</v>
      </c>
      <c r="B10025" t="str">
        <f t="shared" si="382"/>
        <v>0.00007%</v>
      </c>
      <c r="C10025" t="s">
        <v>10</v>
      </c>
      <c r="D10025" t="s">
        <v>10</v>
      </c>
      <c r="E10025" t="str">
        <f>"$ 565"</f>
        <v>$ 565</v>
      </c>
      <c r="F10025">
        <v>82</v>
      </c>
    </row>
    <row r="10026" spans="1:6">
      <c r="A10026" t="s">
        <v>9899</v>
      </c>
      <c r="B10026" t="str">
        <f t="shared" si="382"/>
        <v>0.00007%</v>
      </c>
      <c r="C10026" t="s">
        <v>10</v>
      </c>
      <c r="D10026" t="s">
        <v>10</v>
      </c>
      <c r="E10026" t="str">
        <f>"$ 553"</f>
        <v>$ 553</v>
      </c>
      <c r="F10026">
        <v>33</v>
      </c>
    </row>
    <row r="10027" spans="1:6">
      <c r="A10027" t="s">
        <v>9900</v>
      </c>
      <c r="B10027" t="str">
        <f t="shared" si="382"/>
        <v>0.00007%</v>
      </c>
      <c r="C10027" t="s">
        <v>10</v>
      </c>
      <c r="D10027" t="s">
        <v>10</v>
      </c>
      <c r="E10027" t="str">
        <f>"$ 526"</f>
        <v>$ 526</v>
      </c>
      <c r="F10027">
        <v>472</v>
      </c>
    </row>
    <row r="10028" spans="1:6">
      <c r="A10028" t="s">
        <v>9901</v>
      </c>
      <c r="B10028" t="str">
        <f t="shared" si="382"/>
        <v>0.00007%</v>
      </c>
      <c r="C10028" t="s">
        <v>10</v>
      </c>
      <c r="D10028" t="s">
        <v>10</v>
      </c>
      <c r="E10028" t="str">
        <f>"$ 541"</f>
        <v>$ 541</v>
      </c>
      <c r="F10028">
        <v>80</v>
      </c>
    </row>
    <row r="10029" spans="1:6">
      <c r="A10029" t="s">
        <v>9902</v>
      </c>
      <c r="B10029" t="str">
        <f t="shared" si="382"/>
        <v>0.00007%</v>
      </c>
      <c r="C10029" t="s">
        <v>10</v>
      </c>
      <c r="D10029" t="s">
        <v>10</v>
      </c>
      <c r="E10029" t="str">
        <f>"$ 515"</f>
        <v>$ 515</v>
      </c>
      <c r="F10029">
        <v>465</v>
      </c>
    </row>
    <row r="10030" spans="1:6">
      <c r="A10030" t="s">
        <v>9903</v>
      </c>
      <c r="B10030" t="str">
        <f t="shared" si="382"/>
        <v>0.00007%</v>
      </c>
      <c r="C10030" t="s">
        <v>10</v>
      </c>
      <c r="D10030" t="s">
        <v>10</v>
      </c>
      <c r="E10030" t="str">
        <f>"$ 527"</f>
        <v>$ 527</v>
      </c>
      <c r="F10030">
        <v>308</v>
      </c>
    </row>
    <row r="10031" spans="1:6">
      <c r="A10031" t="s">
        <v>9904</v>
      </c>
      <c r="B10031" t="str">
        <f t="shared" si="382"/>
        <v>0.00007%</v>
      </c>
      <c r="C10031" t="s">
        <v>10</v>
      </c>
      <c r="D10031" t="s">
        <v>10</v>
      </c>
      <c r="E10031" t="str">
        <f>"$ 507"</f>
        <v>$ 507</v>
      </c>
      <c r="F10031">
        <v>359</v>
      </c>
    </row>
    <row r="10032" spans="1:6">
      <c r="A10032" t="s">
        <v>9905</v>
      </c>
      <c r="B10032" t="str">
        <f t="shared" si="382"/>
        <v>0.00007%</v>
      </c>
      <c r="C10032" t="s">
        <v>10</v>
      </c>
      <c r="D10032" t="s">
        <v>10</v>
      </c>
      <c r="E10032" t="str">
        <f>"$ 504"</f>
        <v>$ 504</v>
      </c>
      <c r="F10032">
        <v>428</v>
      </c>
    </row>
    <row r="10033" spans="1:6">
      <c r="A10033" t="s">
        <v>9906</v>
      </c>
      <c r="B10033" t="str">
        <f t="shared" si="382"/>
        <v>0.00007%</v>
      </c>
      <c r="C10033" t="s">
        <v>10</v>
      </c>
      <c r="D10033" t="s">
        <v>10</v>
      </c>
      <c r="E10033" t="str">
        <f>"$ 568"</f>
        <v>$ 568</v>
      </c>
      <c r="F10033">
        <v>33</v>
      </c>
    </row>
    <row r="10034" spans="1:6">
      <c r="A10034" t="s">
        <v>9907</v>
      </c>
      <c r="B10034" t="str">
        <f t="shared" si="382"/>
        <v>0.00007%</v>
      </c>
      <c r="C10034" t="s">
        <v>10</v>
      </c>
      <c r="D10034" t="s">
        <v>10</v>
      </c>
      <c r="E10034" t="str">
        <f>"$ 569"</f>
        <v>$ 569</v>
      </c>
      <c r="F10034" s="1">
        <v>1358</v>
      </c>
    </row>
    <row r="10035" spans="1:6">
      <c r="A10035" t="s">
        <v>9908</v>
      </c>
      <c r="B10035" t="str">
        <f t="shared" si="382"/>
        <v>0.00007%</v>
      </c>
      <c r="C10035" t="s">
        <v>10</v>
      </c>
      <c r="D10035" t="s">
        <v>10</v>
      </c>
      <c r="E10035" t="str">
        <f>"$ 529"</f>
        <v>$ 529</v>
      </c>
      <c r="F10035">
        <v>96</v>
      </c>
    </row>
    <row r="10036" spans="1:6">
      <c r="A10036" t="s">
        <v>9909</v>
      </c>
      <c r="B10036" t="str">
        <f t="shared" si="382"/>
        <v>0.00007%</v>
      </c>
      <c r="C10036" t="s">
        <v>10</v>
      </c>
      <c r="D10036" t="s">
        <v>10</v>
      </c>
      <c r="E10036" t="str">
        <f>"$ 539"</f>
        <v>$ 539</v>
      </c>
      <c r="F10036">
        <v>31</v>
      </c>
    </row>
    <row r="10037" spans="1:6">
      <c r="A10037" t="s">
        <v>9910</v>
      </c>
      <c r="B10037" t="str">
        <f t="shared" si="382"/>
        <v>0.00007%</v>
      </c>
      <c r="C10037" t="s">
        <v>10</v>
      </c>
      <c r="D10037" t="s">
        <v>10</v>
      </c>
      <c r="E10037" t="str">
        <f>"$ 522"</f>
        <v>$ 522</v>
      </c>
      <c r="F10037">
        <v>7</v>
      </c>
    </row>
    <row r="10038" spans="1:6">
      <c r="A10038" t="s">
        <v>9911</v>
      </c>
      <c r="B10038" t="str">
        <f t="shared" si="382"/>
        <v>0.00007%</v>
      </c>
      <c r="C10038" t="s">
        <v>10</v>
      </c>
      <c r="D10038" t="s">
        <v>10</v>
      </c>
      <c r="E10038" t="str">
        <f>"$ 513"</f>
        <v>$ 513</v>
      </c>
      <c r="F10038">
        <v>341</v>
      </c>
    </row>
    <row r="10039" spans="1:6">
      <c r="A10039" t="s">
        <v>9912</v>
      </c>
      <c r="B10039" t="str">
        <f t="shared" si="382"/>
        <v>0.00007%</v>
      </c>
      <c r="C10039" t="s">
        <v>10</v>
      </c>
      <c r="D10039" t="s">
        <v>10</v>
      </c>
      <c r="E10039" t="str">
        <f>"$ 538"</f>
        <v>$ 538</v>
      </c>
      <c r="F10039" s="1">
        <v>1667</v>
      </c>
    </row>
    <row r="10040" spans="1:6">
      <c r="A10040" t="s">
        <v>9913</v>
      </c>
      <c r="B10040" t="str">
        <f t="shared" si="382"/>
        <v>0.00007%</v>
      </c>
      <c r="C10040" t="s">
        <v>10</v>
      </c>
      <c r="D10040" t="s">
        <v>10</v>
      </c>
      <c r="E10040" t="str">
        <f>"$ 548"</f>
        <v>$ 548</v>
      </c>
      <c r="F10040">
        <v>178</v>
      </c>
    </row>
    <row r="10041" spans="1:6">
      <c r="A10041" t="s">
        <v>9914</v>
      </c>
      <c r="B10041" t="str">
        <f t="shared" si="382"/>
        <v>0.00007%</v>
      </c>
      <c r="C10041" t="s">
        <v>10</v>
      </c>
      <c r="D10041" t="s">
        <v>10</v>
      </c>
      <c r="E10041" t="str">
        <f>"$ 569"</f>
        <v>$ 569</v>
      </c>
      <c r="F10041">
        <v>271</v>
      </c>
    </row>
    <row r="10042" spans="1:6">
      <c r="A10042" t="s">
        <v>9915</v>
      </c>
      <c r="B10042" t="str">
        <f t="shared" si="382"/>
        <v>0.00007%</v>
      </c>
      <c r="C10042" t="s">
        <v>10</v>
      </c>
      <c r="D10042" t="s">
        <v>10</v>
      </c>
      <c r="E10042" t="str">
        <f>"$ 566"</f>
        <v>$ 566</v>
      </c>
      <c r="F10042">
        <v>698</v>
      </c>
    </row>
    <row r="10043" spans="1:6">
      <c r="A10043" t="s">
        <v>9916</v>
      </c>
      <c r="B10043" t="str">
        <f t="shared" si="382"/>
        <v>0.00007%</v>
      </c>
      <c r="C10043" t="s">
        <v>10</v>
      </c>
      <c r="D10043" t="s">
        <v>10</v>
      </c>
      <c r="E10043" t="str">
        <f>"$ 575"</f>
        <v>$ 575</v>
      </c>
      <c r="F10043">
        <v>876</v>
      </c>
    </row>
    <row r="10044" spans="1:6">
      <c r="A10044" t="s">
        <v>9917</v>
      </c>
      <c r="B10044" t="str">
        <f t="shared" si="382"/>
        <v>0.00007%</v>
      </c>
      <c r="C10044" t="s">
        <v>10</v>
      </c>
      <c r="D10044" t="s">
        <v>10</v>
      </c>
      <c r="E10044" t="str">
        <f>"$ 511"</f>
        <v>$ 511</v>
      </c>
      <c r="F10044">
        <v>281</v>
      </c>
    </row>
    <row r="10045" spans="1:6">
      <c r="A10045" t="s">
        <v>9918</v>
      </c>
      <c r="B10045" t="str">
        <f t="shared" si="382"/>
        <v>0.00007%</v>
      </c>
      <c r="C10045" t="s">
        <v>10</v>
      </c>
      <c r="D10045" t="s">
        <v>10</v>
      </c>
      <c r="E10045" t="str">
        <f>"$ 537"</f>
        <v>$ 537</v>
      </c>
      <c r="F10045">
        <v>481</v>
      </c>
    </row>
    <row r="10046" spans="1:6">
      <c r="A10046" t="s">
        <v>9919</v>
      </c>
      <c r="B10046" t="str">
        <f t="shared" si="382"/>
        <v>0.00007%</v>
      </c>
      <c r="C10046" t="s">
        <v>10</v>
      </c>
      <c r="D10046" t="s">
        <v>10</v>
      </c>
      <c r="E10046" t="str">
        <f>"$ 544"</f>
        <v>$ 544</v>
      </c>
      <c r="F10046">
        <v>397</v>
      </c>
    </row>
    <row r="10047" spans="1:6">
      <c r="A10047" t="s">
        <v>9920</v>
      </c>
      <c r="B10047" t="str">
        <f t="shared" si="382"/>
        <v>0.00007%</v>
      </c>
      <c r="C10047" t="s">
        <v>10</v>
      </c>
      <c r="D10047" t="s">
        <v>10</v>
      </c>
      <c r="E10047" t="str">
        <f>"$ 544"</f>
        <v>$ 544</v>
      </c>
      <c r="F10047">
        <v>39</v>
      </c>
    </row>
    <row r="10048" spans="1:6">
      <c r="A10048" t="s">
        <v>9921</v>
      </c>
      <c r="B10048" t="str">
        <f t="shared" si="382"/>
        <v>0.00007%</v>
      </c>
      <c r="C10048" t="s">
        <v>10</v>
      </c>
      <c r="D10048" t="s">
        <v>10</v>
      </c>
      <c r="E10048" t="str">
        <f>"$ 572"</f>
        <v>$ 572</v>
      </c>
      <c r="F10048">
        <v>205</v>
      </c>
    </row>
    <row r="10049" spans="1:6">
      <c r="A10049" t="s">
        <v>6684</v>
      </c>
      <c r="B10049" t="str">
        <f t="shared" si="382"/>
        <v>0.00007%</v>
      </c>
      <c r="C10049" t="s">
        <v>10</v>
      </c>
      <c r="D10049" t="s">
        <v>10</v>
      </c>
      <c r="E10049" t="str">
        <f>"$ 578"</f>
        <v>$ 578</v>
      </c>
      <c r="F10049">
        <v>233</v>
      </c>
    </row>
    <row r="10050" spans="1:6">
      <c r="A10050" t="s">
        <v>9922</v>
      </c>
      <c r="B10050" t="str">
        <f t="shared" si="382"/>
        <v>0.00007%</v>
      </c>
      <c r="C10050" t="s">
        <v>10</v>
      </c>
      <c r="D10050" t="s">
        <v>10</v>
      </c>
      <c r="E10050" t="str">
        <f>"$ 521"</f>
        <v>$ 521</v>
      </c>
      <c r="F10050">
        <v>89</v>
      </c>
    </row>
    <row r="10051" spans="1:6">
      <c r="A10051" t="s">
        <v>9923</v>
      </c>
      <c r="B10051" t="str">
        <f t="shared" si="382"/>
        <v>0.00007%</v>
      </c>
      <c r="C10051" t="s">
        <v>10</v>
      </c>
      <c r="D10051" t="s">
        <v>10</v>
      </c>
      <c r="E10051" t="str">
        <f>"$ 520"</f>
        <v>$ 520</v>
      </c>
      <c r="F10051" s="1">
        <v>1650</v>
      </c>
    </row>
    <row r="10052" spans="1:6">
      <c r="A10052" t="s">
        <v>8554</v>
      </c>
      <c r="B10052" t="str">
        <f t="shared" si="382"/>
        <v>0.00007%</v>
      </c>
      <c r="C10052" t="s">
        <v>10</v>
      </c>
      <c r="D10052" t="s">
        <v>10</v>
      </c>
      <c r="E10052" t="str">
        <f>"$ 564"</f>
        <v>$ 564</v>
      </c>
      <c r="F10052">
        <v>204</v>
      </c>
    </row>
    <row r="10053" spans="1:6">
      <c r="A10053" t="s">
        <v>9924</v>
      </c>
      <c r="B10053" t="str">
        <f t="shared" si="382"/>
        <v>0.00007%</v>
      </c>
      <c r="C10053" t="s">
        <v>10</v>
      </c>
      <c r="D10053" t="s">
        <v>10</v>
      </c>
      <c r="E10053" t="str">
        <f>"$ 555"</f>
        <v>$ 555</v>
      </c>
      <c r="F10053">
        <v>228</v>
      </c>
    </row>
    <row r="10054" spans="1:6">
      <c r="A10054" t="s">
        <v>9925</v>
      </c>
      <c r="B10054" t="str">
        <f t="shared" si="382"/>
        <v>0.00007%</v>
      </c>
      <c r="C10054" t="s">
        <v>10</v>
      </c>
      <c r="D10054" t="s">
        <v>10</v>
      </c>
      <c r="E10054" t="str">
        <f>"$ 562"</f>
        <v>$ 562</v>
      </c>
      <c r="F10054">
        <v>667</v>
      </c>
    </row>
    <row r="10055" spans="1:6">
      <c r="A10055" t="s">
        <v>9926</v>
      </c>
      <c r="B10055" t="str">
        <f t="shared" si="382"/>
        <v>0.00007%</v>
      </c>
      <c r="C10055" t="s">
        <v>10</v>
      </c>
      <c r="D10055" t="s">
        <v>10</v>
      </c>
      <c r="E10055" t="str">
        <f>"$ 572"</f>
        <v>$ 572</v>
      </c>
      <c r="F10055">
        <v>124</v>
      </c>
    </row>
    <row r="10056" spans="1:6">
      <c r="A10056" t="s">
        <v>9927</v>
      </c>
      <c r="B10056" t="str">
        <f t="shared" si="382"/>
        <v>0.00007%</v>
      </c>
      <c r="C10056" t="s">
        <v>10</v>
      </c>
      <c r="D10056" t="s">
        <v>10</v>
      </c>
      <c r="E10056" t="str">
        <f>"$ 519"</f>
        <v>$ 519</v>
      </c>
      <c r="F10056">
        <v>27</v>
      </c>
    </row>
    <row r="10057" spans="1:6">
      <c r="A10057" t="s">
        <v>9928</v>
      </c>
      <c r="B10057" t="str">
        <f t="shared" si="382"/>
        <v>0.00007%</v>
      </c>
      <c r="C10057" t="s">
        <v>10</v>
      </c>
      <c r="D10057" t="s">
        <v>10</v>
      </c>
      <c r="E10057" t="str">
        <f>"$ 517"</f>
        <v>$ 517</v>
      </c>
      <c r="F10057">
        <v>265</v>
      </c>
    </row>
    <row r="10058" spans="1:6">
      <c r="A10058" t="s">
        <v>9929</v>
      </c>
      <c r="B10058" t="str">
        <f t="shared" si="382"/>
        <v>0.00007%</v>
      </c>
      <c r="C10058" t="s">
        <v>10</v>
      </c>
      <c r="D10058" t="s">
        <v>10</v>
      </c>
      <c r="E10058" t="str">
        <f>"$ 508"</f>
        <v>$ 508</v>
      </c>
      <c r="F10058">
        <v>75</v>
      </c>
    </row>
    <row r="10059" spans="1:6">
      <c r="A10059" t="s">
        <v>9930</v>
      </c>
      <c r="B10059" t="str">
        <f t="shared" si="382"/>
        <v>0.00007%</v>
      </c>
      <c r="C10059" t="s">
        <v>10</v>
      </c>
      <c r="D10059" t="s">
        <v>10</v>
      </c>
      <c r="E10059" t="str">
        <f>"$ 565"</f>
        <v>$ 565</v>
      </c>
      <c r="F10059">
        <v>85</v>
      </c>
    </row>
    <row r="10060" spans="1:6">
      <c r="A10060" t="s">
        <v>8814</v>
      </c>
      <c r="B10060" t="str">
        <f t="shared" si="382"/>
        <v>0.00007%</v>
      </c>
      <c r="C10060" t="s">
        <v>10</v>
      </c>
      <c r="D10060" t="s">
        <v>10</v>
      </c>
      <c r="E10060" t="str">
        <f>"$ 558"</f>
        <v>$ 558</v>
      </c>
      <c r="F10060">
        <v>255</v>
      </c>
    </row>
    <row r="10061" spans="1:6">
      <c r="A10061" t="s">
        <v>9931</v>
      </c>
      <c r="B10061" t="str">
        <f t="shared" si="382"/>
        <v>0.00007%</v>
      </c>
      <c r="C10061" t="s">
        <v>10</v>
      </c>
      <c r="D10061" t="s">
        <v>10</v>
      </c>
      <c r="E10061" t="str">
        <f>"$ 576"</f>
        <v>$ 576</v>
      </c>
      <c r="F10061">
        <v>152</v>
      </c>
    </row>
    <row r="10062" spans="1:6">
      <c r="A10062" t="s">
        <v>9932</v>
      </c>
      <c r="B10062" t="str">
        <f t="shared" si="382"/>
        <v>0.00007%</v>
      </c>
      <c r="C10062" t="s">
        <v>10</v>
      </c>
      <c r="D10062" t="s">
        <v>10</v>
      </c>
      <c r="E10062" t="str">
        <f>"$ 517"</f>
        <v>$ 517</v>
      </c>
      <c r="F10062">
        <v>465</v>
      </c>
    </row>
    <row r="10063" spans="1:6">
      <c r="A10063" t="s">
        <v>9933</v>
      </c>
      <c r="B10063" t="str">
        <f t="shared" si="382"/>
        <v>0.00007%</v>
      </c>
      <c r="C10063" t="s">
        <v>10</v>
      </c>
      <c r="D10063" t="s">
        <v>10</v>
      </c>
      <c r="E10063" t="str">
        <f>"$ 549"</f>
        <v>$ 549</v>
      </c>
      <c r="F10063">
        <v>618</v>
      </c>
    </row>
    <row r="10064" spans="1:6">
      <c r="A10064" t="s">
        <v>9934</v>
      </c>
      <c r="B10064" t="str">
        <f t="shared" si="382"/>
        <v>0.00007%</v>
      </c>
      <c r="C10064" t="s">
        <v>10</v>
      </c>
      <c r="D10064" t="s">
        <v>10</v>
      </c>
      <c r="E10064" t="str">
        <f>"$ 537"</f>
        <v>$ 537</v>
      </c>
      <c r="F10064">
        <v>278</v>
      </c>
    </row>
    <row r="10065" spans="1:6">
      <c r="A10065" t="s">
        <v>9935</v>
      </c>
      <c r="B10065" t="str">
        <f t="shared" si="382"/>
        <v>0.00007%</v>
      </c>
      <c r="C10065" t="s">
        <v>10</v>
      </c>
      <c r="D10065" t="s">
        <v>10</v>
      </c>
      <c r="E10065" t="str">
        <f>"$ 546"</f>
        <v>$ 546</v>
      </c>
      <c r="F10065">
        <v>437</v>
      </c>
    </row>
    <row r="10066" spans="1:6">
      <c r="A10066" t="s">
        <v>9936</v>
      </c>
      <c r="B10066" t="str">
        <f t="shared" si="382"/>
        <v>0.00007%</v>
      </c>
      <c r="C10066" t="s">
        <v>10</v>
      </c>
      <c r="D10066" t="s">
        <v>10</v>
      </c>
      <c r="E10066" t="str">
        <f>"$ 529"</f>
        <v>$ 529</v>
      </c>
      <c r="F10066">
        <v>114</v>
      </c>
    </row>
    <row r="10067" spans="1:6">
      <c r="A10067" t="s">
        <v>9937</v>
      </c>
      <c r="B10067" t="str">
        <f t="shared" si="382"/>
        <v>0.00007%</v>
      </c>
      <c r="C10067" t="s">
        <v>10</v>
      </c>
      <c r="D10067" t="s">
        <v>10</v>
      </c>
      <c r="E10067" t="str">
        <f>"$ 534"</f>
        <v>$ 534</v>
      </c>
      <c r="F10067">
        <v>186</v>
      </c>
    </row>
    <row r="10068" spans="1:6">
      <c r="A10068" t="s">
        <v>9938</v>
      </c>
      <c r="B10068" t="str">
        <f t="shared" si="382"/>
        <v>0.00007%</v>
      </c>
      <c r="C10068" t="s">
        <v>10</v>
      </c>
      <c r="D10068" t="s">
        <v>10</v>
      </c>
      <c r="E10068" t="str">
        <f>"$ 558"</f>
        <v>$ 558</v>
      </c>
      <c r="F10068">
        <v>88</v>
      </c>
    </row>
    <row r="10069" spans="1:6">
      <c r="A10069" t="s">
        <v>9939</v>
      </c>
      <c r="B10069" t="str">
        <f t="shared" si="382"/>
        <v>0.00007%</v>
      </c>
      <c r="C10069" t="s">
        <v>10</v>
      </c>
      <c r="D10069" t="s">
        <v>10</v>
      </c>
      <c r="E10069" t="str">
        <f>"$ 575"</f>
        <v>$ 575</v>
      </c>
      <c r="F10069">
        <v>349</v>
      </c>
    </row>
    <row r="10070" spans="1:6">
      <c r="A10070" t="s">
        <v>9940</v>
      </c>
      <c r="B10070" t="str">
        <f t="shared" si="382"/>
        <v>0.00007%</v>
      </c>
      <c r="C10070" t="s">
        <v>10</v>
      </c>
      <c r="D10070" t="s">
        <v>10</v>
      </c>
      <c r="E10070" t="str">
        <f>"$ 505"</f>
        <v>$ 505</v>
      </c>
      <c r="F10070">
        <v>192</v>
      </c>
    </row>
    <row r="10071" spans="1:6">
      <c r="A10071" t="s">
        <v>9941</v>
      </c>
      <c r="B10071" t="str">
        <f t="shared" si="382"/>
        <v>0.00007%</v>
      </c>
      <c r="C10071" t="s">
        <v>10</v>
      </c>
      <c r="D10071" t="s">
        <v>10</v>
      </c>
      <c r="E10071" t="str">
        <f>"$ 507"</f>
        <v>$ 507</v>
      </c>
      <c r="F10071">
        <v>428</v>
      </c>
    </row>
    <row r="10072" spans="1:6">
      <c r="A10072" t="s">
        <v>9942</v>
      </c>
      <c r="B10072" t="str">
        <f t="shared" si="382"/>
        <v>0.00007%</v>
      </c>
      <c r="C10072" t="s">
        <v>10</v>
      </c>
      <c r="D10072" t="s">
        <v>10</v>
      </c>
      <c r="E10072" t="str">
        <f>"$ 509"</f>
        <v>$ 509</v>
      </c>
      <c r="F10072" s="1">
        <v>1084</v>
      </c>
    </row>
    <row r="10073" spans="1:6">
      <c r="A10073" t="s">
        <v>9943</v>
      </c>
      <c r="B10073" t="str">
        <f t="shared" si="382"/>
        <v>0.00007%</v>
      </c>
      <c r="C10073" t="s">
        <v>10</v>
      </c>
      <c r="D10073" t="s">
        <v>10</v>
      </c>
      <c r="E10073" t="str">
        <f>"$ 559"</f>
        <v>$ 559</v>
      </c>
      <c r="F10073" s="1">
        <v>1456</v>
      </c>
    </row>
    <row r="10074" spans="1:6">
      <c r="A10074" t="s">
        <v>9944</v>
      </c>
      <c r="B10074" t="str">
        <f t="shared" si="382"/>
        <v>0.00007%</v>
      </c>
      <c r="C10074" t="s">
        <v>10</v>
      </c>
      <c r="D10074" t="s">
        <v>10</v>
      </c>
      <c r="E10074" t="str">
        <f>"$ 535"</f>
        <v>$ 535</v>
      </c>
      <c r="F10074">
        <v>320</v>
      </c>
    </row>
    <row r="10075" spans="1:6">
      <c r="A10075" t="s">
        <v>9945</v>
      </c>
      <c r="B10075" t="str">
        <f t="shared" si="382"/>
        <v>0.00007%</v>
      </c>
      <c r="C10075" t="s">
        <v>10</v>
      </c>
      <c r="D10075" t="s">
        <v>10</v>
      </c>
      <c r="E10075" t="str">
        <f>"$ 543"</f>
        <v>$ 543</v>
      </c>
      <c r="F10075">
        <v>552</v>
      </c>
    </row>
    <row r="10076" spans="1:6">
      <c r="A10076" t="s">
        <v>9946</v>
      </c>
      <c r="B10076" t="str">
        <f t="shared" si="382"/>
        <v>0.00007%</v>
      </c>
      <c r="C10076" t="s">
        <v>10</v>
      </c>
      <c r="D10076" t="s">
        <v>10</v>
      </c>
      <c r="E10076" t="str">
        <f>"$ 516"</f>
        <v>$ 516</v>
      </c>
      <c r="F10076">
        <v>157</v>
      </c>
    </row>
    <row r="10077" spans="1:6">
      <c r="A10077" t="s">
        <v>9947</v>
      </c>
      <c r="B10077" t="str">
        <f t="shared" si="382"/>
        <v>0.00007%</v>
      </c>
      <c r="C10077" t="s">
        <v>10</v>
      </c>
      <c r="D10077" t="s">
        <v>10</v>
      </c>
      <c r="E10077" t="str">
        <f>"$ 514"</f>
        <v>$ 514</v>
      </c>
      <c r="F10077">
        <v>31</v>
      </c>
    </row>
    <row r="10078" spans="1:6">
      <c r="A10078" t="s">
        <v>9948</v>
      </c>
      <c r="B10078" t="str">
        <f t="shared" si="382"/>
        <v>0.00007%</v>
      </c>
      <c r="C10078" t="s">
        <v>10</v>
      </c>
      <c r="D10078" t="s">
        <v>10</v>
      </c>
      <c r="E10078" t="str">
        <f>"$ 513"</f>
        <v>$ 513</v>
      </c>
      <c r="F10078">
        <v>28</v>
      </c>
    </row>
    <row r="10079" spans="1:6">
      <c r="A10079" t="s">
        <v>9949</v>
      </c>
      <c r="B10079" t="str">
        <f t="shared" si="382"/>
        <v>0.00007%</v>
      </c>
      <c r="C10079" t="s">
        <v>10</v>
      </c>
      <c r="D10079" t="s">
        <v>10</v>
      </c>
      <c r="E10079" t="str">
        <f>"$ 537"</f>
        <v>$ 537</v>
      </c>
      <c r="F10079">
        <v>272</v>
      </c>
    </row>
    <row r="10080" spans="1:6">
      <c r="A10080" t="s">
        <v>9950</v>
      </c>
      <c r="B10080" t="str">
        <f t="shared" si="382"/>
        <v>0.00007%</v>
      </c>
      <c r="C10080" t="s">
        <v>10</v>
      </c>
      <c r="D10080" t="s">
        <v>10</v>
      </c>
      <c r="E10080" t="str">
        <f>"$ 559"</f>
        <v>$ 559</v>
      </c>
      <c r="F10080">
        <v>185</v>
      </c>
    </row>
    <row r="10081" spans="1:6">
      <c r="A10081" t="s">
        <v>9951</v>
      </c>
      <c r="B10081" t="str">
        <f t="shared" si="382"/>
        <v>0.00007%</v>
      </c>
      <c r="C10081" t="s">
        <v>10</v>
      </c>
      <c r="D10081" t="s">
        <v>10</v>
      </c>
      <c r="E10081" t="str">
        <f>"$ 553"</f>
        <v>$ 553</v>
      </c>
      <c r="F10081">
        <v>708</v>
      </c>
    </row>
    <row r="10082" spans="1:6">
      <c r="A10082" t="s">
        <v>9952</v>
      </c>
      <c r="B10082" t="str">
        <f t="shared" ref="B10082:B10145" si="383">"0.00006%"</f>
        <v>0.00006%</v>
      </c>
      <c r="C10082" t="s">
        <v>10</v>
      </c>
      <c r="D10082" t="s">
        <v>10</v>
      </c>
      <c r="E10082" t="str">
        <f>"$ 486"</f>
        <v>$ 486</v>
      </c>
      <c r="F10082">
        <v>261</v>
      </c>
    </row>
    <row r="10083" spans="1:6">
      <c r="A10083" t="s">
        <v>9504</v>
      </c>
      <c r="B10083" t="str">
        <f t="shared" si="383"/>
        <v>0.00006%</v>
      </c>
      <c r="C10083" t="s">
        <v>10</v>
      </c>
      <c r="D10083" t="s">
        <v>10</v>
      </c>
      <c r="E10083" t="str">
        <f>"$ 502"</f>
        <v>$ 502</v>
      </c>
      <c r="F10083">
        <v>623</v>
      </c>
    </row>
    <row r="10084" spans="1:6">
      <c r="A10084" t="s">
        <v>9953</v>
      </c>
      <c r="B10084" t="str">
        <f t="shared" si="383"/>
        <v>0.00006%</v>
      </c>
      <c r="C10084" t="s">
        <v>10</v>
      </c>
      <c r="D10084" t="s">
        <v>10</v>
      </c>
      <c r="E10084" t="str">
        <f>"$ 434"</f>
        <v>$ 434</v>
      </c>
      <c r="F10084">
        <v>82</v>
      </c>
    </row>
    <row r="10085" spans="1:6">
      <c r="A10085" t="s">
        <v>9954</v>
      </c>
      <c r="B10085" t="str">
        <f t="shared" si="383"/>
        <v>0.00006%</v>
      </c>
      <c r="C10085" t="s">
        <v>10</v>
      </c>
      <c r="D10085" t="s">
        <v>10</v>
      </c>
      <c r="E10085" t="str">
        <f>"$ 489"</f>
        <v>$ 489</v>
      </c>
      <c r="F10085">
        <v>273</v>
      </c>
    </row>
    <row r="10086" spans="1:6">
      <c r="A10086" t="s">
        <v>9955</v>
      </c>
      <c r="B10086" t="str">
        <f t="shared" si="383"/>
        <v>0.00006%</v>
      </c>
      <c r="C10086" t="s">
        <v>10</v>
      </c>
      <c r="D10086" t="s">
        <v>10</v>
      </c>
      <c r="E10086" t="str">
        <f>"$ 455"</f>
        <v>$ 455</v>
      </c>
      <c r="F10086">
        <v>121</v>
      </c>
    </row>
    <row r="10087" spans="1:6">
      <c r="A10087" t="s">
        <v>9956</v>
      </c>
      <c r="B10087" t="str">
        <f t="shared" si="383"/>
        <v>0.00006%</v>
      </c>
      <c r="C10087" t="s">
        <v>10</v>
      </c>
      <c r="D10087" t="s">
        <v>10</v>
      </c>
      <c r="E10087" t="str">
        <f>"$ 461"</f>
        <v>$ 461</v>
      </c>
      <c r="F10087">
        <v>137</v>
      </c>
    </row>
    <row r="10088" spans="1:6">
      <c r="A10088" t="s">
        <v>8576</v>
      </c>
      <c r="B10088" t="str">
        <f t="shared" si="383"/>
        <v>0.00006%</v>
      </c>
      <c r="C10088" t="s">
        <v>10</v>
      </c>
      <c r="D10088" t="s">
        <v>10</v>
      </c>
      <c r="E10088" t="str">
        <f>"$ 482"</f>
        <v>$ 482</v>
      </c>
      <c r="F10088">
        <v>423</v>
      </c>
    </row>
    <row r="10089" spans="1:6">
      <c r="A10089" t="s">
        <v>9957</v>
      </c>
      <c r="B10089" t="str">
        <f t="shared" si="383"/>
        <v>0.00006%</v>
      </c>
      <c r="C10089" t="s">
        <v>10</v>
      </c>
      <c r="D10089" t="s">
        <v>10</v>
      </c>
      <c r="E10089" t="str">
        <f>"$ 436"</f>
        <v>$ 436</v>
      </c>
      <c r="F10089">
        <v>398</v>
      </c>
    </row>
    <row r="10090" spans="1:6">
      <c r="A10090" t="s">
        <v>8991</v>
      </c>
      <c r="B10090" t="str">
        <f t="shared" si="383"/>
        <v>0.00006%</v>
      </c>
      <c r="C10090" t="s">
        <v>10</v>
      </c>
      <c r="D10090" t="s">
        <v>10</v>
      </c>
      <c r="E10090" t="str">
        <f>"$ 498"</f>
        <v>$ 498</v>
      </c>
      <c r="F10090">
        <v>229</v>
      </c>
    </row>
    <row r="10091" spans="1:6">
      <c r="A10091" t="s">
        <v>9718</v>
      </c>
      <c r="B10091" t="str">
        <f t="shared" si="383"/>
        <v>0.00006%</v>
      </c>
      <c r="C10091" t="s">
        <v>10</v>
      </c>
      <c r="D10091" t="s">
        <v>10</v>
      </c>
      <c r="E10091" t="str">
        <f>"$ 472"</f>
        <v>$ 472</v>
      </c>
      <c r="F10091">
        <v>209</v>
      </c>
    </row>
    <row r="10092" spans="1:6">
      <c r="A10092" t="s">
        <v>9958</v>
      </c>
      <c r="B10092" t="str">
        <f t="shared" si="383"/>
        <v>0.00006%</v>
      </c>
      <c r="C10092" t="s">
        <v>10</v>
      </c>
      <c r="D10092" t="s">
        <v>10</v>
      </c>
      <c r="E10092" t="str">
        <f>"$ 442"</f>
        <v>$ 442</v>
      </c>
      <c r="F10092">
        <v>407</v>
      </c>
    </row>
    <row r="10093" spans="1:6">
      <c r="A10093" t="s">
        <v>9959</v>
      </c>
      <c r="B10093" t="str">
        <f t="shared" si="383"/>
        <v>0.00006%</v>
      </c>
      <c r="C10093" t="s">
        <v>10</v>
      </c>
      <c r="D10093" t="s">
        <v>10</v>
      </c>
      <c r="E10093" t="str">
        <f>"$ 442"</f>
        <v>$ 442</v>
      </c>
      <c r="F10093">
        <v>44</v>
      </c>
    </row>
    <row r="10094" spans="1:6">
      <c r="A10094" t="s">
        <v>9960</v>
      </c>
      <c r="B10094" t="str">
        <f t="shared" si="383"/>
        <v>0.00006%</v>
      </c>
      <c r="C10094" t="s">
        <v>10</v>
      </c>
      <c r="D10094" t="s">
        <v>10</v>
      </c>
      <c r="E10094" t="str">
        <f>"$ 441"</f>
        <v>$ 441</v>
      </c>
      <c r="F10094">
        <v>241</v>
      </c>
    </row>
    <row r="10095" spans="1:6">
      <c r="A10095" t="s">
        <v>9961</v>
      </c>
      <c r="B10095" t="str">
        <f t="shared" si="383"/>
        <v>0.00006%</v>
      </c>
      <c r="C10095" t="s">
        <v>10</v>
      </c>
      <c r="D10095" t="s">
        <v>10</v>
      </c>
      <c r="E10095" t="str">
        <f>"$ 496"</f>
        <v>$ 496</v>
      </c>
      <c r="F10095">
        <v>217</v>
      </c>
    </row>
    <row r="10096" spans="1:6">
      <c r="A10096" t="s">
        <v>9962</v>
      </c>
      <c r="B10096" t="str">
        <f t="shared" si="383"/>
        <v>0.00006%</v>
      </c>
      <c r="C10096" t="s">
        <v>10</v>
      </c>
      <c r="D10096" t="s">
        <v>10</v>
      </c>
      <c r="E10096" t="str">
        <f>"$ 438"</f>
        <v>$ 438</v>
      </c>
      <c r="F10096">
        <v>194</v>
      </c>
    </row>
    <row r="10097" spans="1:6">
      <c r="A10097" t="s">
        <v>9963</v>
      </c>
      <c r="B10097" t="str">
        <f t="shared" si="383"/>
        <v>0.00006%</v>
      </c>
      <c r="C10097" t="s">
        <v>10</v>
      </c>
      <c r="D10097" t="s">
        <v>10</v>
      </c>
      <c r="E10097" t="str">
        <f>"$ 443"</f>
        <v>$ 443</v>
      </c>
      <c r="F10097">
        <v>79</v>
      </c>
    </row>
    <row r="10098" spans="1:6">
      <c r="A10098" t="s">
        <v>9964</v>
      </c>
      <c r="B10098" t="str">
        <f t="shared" si="383"/>
        <v>0.00006%</v>
      </c>
      <c r="C10098" t="s">
        <v>10</v>
      </c>
      <c r="D10098" t="s">
        <v>10</v>
      </c>
      <c r="E10098" t="str">
        <f>"$ 455"</f>
        <v>$ 455</v>
      </c>
      <c r="F10098">
        <v>290</v>
      </c>
    </row>
    <row r="10099" spans="1:6">
      <c r="A10099" t="s">
        <v>9965</v>
      </c>
      <c r="B10099" t="str">
        <f t="shared" si="383"/>
        <v>0.00006%</v>
      </c>
      <c r="C10099" t="s">
        <v>10</v>
      </c>
      <c r="D10099" t="s">
        <v>10</v>
      </c>
      <c r="E10099" t="str">
        <f>"$ 471"</f>
        <v>$ 471</v>
      </c>
      <c r="F10099">
        <v>168</v>
      </c>
    </row>
    <row r="10100" spans="1:6">
      <c r="A10100" t="s">
        <v>9966</v>
      </c>
      <c r="B10100" t="str">
        <f t="shared" si="383"/>
        <v>0.00006%</v>
      </c>
      <c r="C10100" t="s">
        <v>10</v>
      </c>
      <c r="D10100" t="s">
        <v>10</v>
      </c>
      <c r="E10100" t="str">
        <f>"$ 457"</f>
        <v>$ 457</v>
      </c>
      <c r="F10100">
        <v>174</v>
      </c>
    </row>
    <row r="10101" spans="1:6">
      <c r="A10101" t="s">
        <v>9344</v>
      </c>
      <c r="B10101" t="str">
        <f t="shared" si="383"/>
        <v>0.00006%</v>
      </c>
      <c r="C10101" t="s">
        <v>10</v>
      </c>
      <c r="D10101" t="s">
        <v>10</v>
      </c>
      <c r="E10101" t="str">
        <f>"$ 468"</f>
        <v>$ 468</v>
      </c>
      <c r="F10101">
        <v>42</v>
      </c>
    </row>
    <row r="10102" spans="1:6">
      <c r="A10102" t="s">
        <v>9967</v>
      </c>
      <c r="B10102" t="str">
        <f t="shared" si="383"/>
        <v>0.00006%</v>
      </c>
      <c r="C10102" t="s">
        <v>10</v>
      </c>
      <c r="D10102" t="s">
        <v>10</v>
      </c>
      <c r="E10102" t="str">
        <f>"$ 476"</f>
        <v>$ 476</v>
      </c>
      <c r="F10102">
        <v>631</v>
      </c>
    </row>
    <row r="10103" spans="1:6">
      <c r="A10103" t="s">
        <v>9968</v>
      </c>
      <c r="B10103" t="str">
        <f t="shared" si="383"/>
        <v>0.00006%</v>
      </c>
      <c r="C10103" t="s">
        <v>10</v>
      </c>
      <c r="D10103" t="s">
        <v>10</v>
      </c>
      <c r="E10103" t="str">
        <f>"$ 481"</f>
        <v>$ 481</v>
      </c>
      <c r="F10103" s="1">
        <v>1021</v>
      </c>
    </row>
    <row r="10104" spans="1:6">
      <c r="A10104" t="s">
        <v>9969</v>
      </c>
      <c r="B10104" t="str">
        <f t="shared" si="383"/>
        <v>0.00006%</v>
      </c>
      <c r="C10104" t="s">
        <v>10</v>
      </c>
      <c r="D10104" t="s">
        <v>10</v>
      </c>
      <c r="E10104" t="str">
        <f>"$ 467"</f>
        <v>$ 467</v>
      </c>
      <c r="F10104">
        <v>486</v>
      </c>
    </row>
    <row r="10105" spans="1:6">
      <c r="A10105" t="s">
        <v>9970</v>
      </c>
      <c r="B10105" t="str">
        <f t="shared" si="383"/>
        <v>0.00006%</v>
      </c>
      <c r="C10105" t="s">
        <v>10</v>
      </c>
      <c r="D10105" t="s">
        <v>10</v>
      </c>
      <c r="E10105" t="str">
        <f>"$ 460"</f>
        <v>$ 460</v>
      </c>
      <c r="F10105">
        <v>384</v>
      </c>
    </row>
    <row r="10106" spans="1:6">
      <c r="A10106" t="s">
        <v>9971</v>
      </c>
      <c r="B10106" t="str">
        <f t="shared" si="383"/>
        <v>0.00006%</v>
      </c>
      <c r="C10106" t="s">
        <v>10</v>
      </c>
      <c r="D10106" t="s">
        <v>10</v>
      </c>
      <c r="E10106" t="str">
        <f>"$ 499"</f>
        <v>$ 499</v>
      </c>
      <c r="F10106">
        <v>377</v>
      </c>
    </row>
    <row r="10107" spans="1:6">
      <c r="A10107" t="s">
        <v>9972</v>
      </c>
      <c r="B10107" t="str">
        <f t="shared" si="383"/>
        <v>0.00006%</v>
      </c>
      <c r="C10107" t="s">
        <v>10</v>
      </c>
      <c r="D10107" t="s">
        <v>10</v>
      </c>
      <c r="E10107" t="str">
        <f>"$ 434"</f>
        <v>$ 434</v>
      </c>
      <c r="F10107">
        <v>66</v>
      </c>
    </row>
    <row r="10108" spans="1:6">
      <c r="A10108" t="s">
        <v>9973</v>
      </c>
      <c r="B10108" t="str">
        <f t="shared" si="383"/>
        <v>0.00006%</v>
      </c>
      <c r="C10108" t="s">
        <v>10</v>
      </c>
      <c r="D10108" t="s">
        <v>10</v>
      </c>
      <c r="E10108" t="str">
        <f>"$ 496"</f>
        <v>$ 496</v>
      </c>
      <c r="F10108">
        <v>405</v>
      </c>
    </row>
    <row r="10109" spans="1:6">
      <c r="A10109" t="s">
        <v>9974</v>
      </c>
      <c r="B10109" t="str">
        <f t="shared" si="383"/>
        <v>0.00006%</v>
      </c>
      <c r="C10109" t="s">
        <v>10</v>
      </c>
      <c r="D10109" t="s">
        <v>10</v>
      </c>
      <c r="E10109" t="str">
        <f>"$ 451"</f>
        <v>$ 451</v>
      </c>
      <c r="F10109">
        <v>583</v>
      </c>
    </row>
    <row r="10110" spans="1:6">
      <c r="A10110" t="s">
        <v>8842</v>
      </c>
      <c r="B10110" t="str">
        <f t="shared" si="383"/>
        <v>0.00006%</v>
      </c>
      <c r="C10110" t="s">
        <v>10</v>
      </c>
      <c r="D10110" t="s">
        <v>10</v>
      </c>
      <c r="E10110" t="str">
        <f>"$ 442"</f>
        <v>$ 442</v>
      </c>
      <c r="F10110">
        <v>461</v>
      </c>
    </row>
    <row r="10111" spans="1:6">
      <c r="A10111" t="s">
        <v>9975</v>
      </c>
      <c r="B10111" t="str">
        <f t="shared" si="383"/>
        <v>0.00006%</v>
      </c>
      <c r="C10111" t="s">
        <v>10</v>
      </c>
      <c r="D10111" t="s">
        <v>10</v>
      </c>
      <c r="E10111" t="str">
        <f>"$ 441"</f>
        <v>$ 441</v>
      </c>
      <c r="F10111">
        <v>284</v>
      </c>
    </row>
    <row r="10112" spans="1:6">
      <c r="A10112" t="s">
        <v>9976</v>
      </c>
      <c r="B10112" t="str">
        <f t="shared" si="383"/>
        <v>0.00006%</v>
      </c>
      <c r="C10112" t="s">
        <v>10</v>
      </c>
      <c r="D10112" t="s">
        <v>10</v>
      </c>
      <c r="E10112" t="str">
        <f>"$ 469"</f>
        <v>$ 469</v>
      </c>
      <c r="F10112">
        <v>330</v>
      </c>
    </row>
    <row r="10113" spans="1:6">
      <c r="A10113" t="s">
        <v>9360</v>
      </c>
      <c r="B10113" t="str">
        <f t="shared" si="383"/>
        <v>0.00006%</v>
      </c>
      <c r="C10113" t="s">
        <v>10</v>
      </c>
      <c r="D10113" t="s">
        <v>10</v>
      </c>
      <c r="E10113" t="str">
        <f>"$ 450"</f>
        <v>$ 450</v>
      </c>
      <c r="F10113">
        <v>285</v>
      </c>
    </row>
    <row r="10114" spans="1:6">
      <c r="A10114" t="s">
        <v>9977</v>
      </c>
      <c r="B10114" t="str">
        <f t="shared" si="383"/>
        <v>0.00006%</v>
      </c>
      <c r="C10114" t="s">
        <v>10</v>
      </c>
      <c r="D10114" t="s">
        <v>10</v>
      </c>
      <c r="E10114" t="str">
        <f>"$ 432"</f>
        <v>$ 432</v>
      </c>
      <c r="F10114">
        <v>117</v>
      </c>
    </row>
    <row r="10115" spans="1:6">
      <c r="A10115" t="s">
        <v>9978</v>
      </c>
      <c r="B10115" t="str">
        <f t="shared" si="383"/>
        <v>0.00006%</v>
      </c>
      <c r="C10115" t="s">
        <v>10</v>
      </c>
      <c r="D10115" t="s">
        <v>10</v>
      </c>
      <c r="E10115" t="str">
        <f>"$ 462"</f>
        <v>$ 462</v>
      </c>
      <c r="F10115" s="1">
        <v>3959</v>
      </c>
    </row>
    <row r="10116" spans="1:6">
      <c r="A10116" t="s">
        <v>9979</v>
      </c>
      <c r="B10116" t="str">
        <f t="shared" si="383"/>
        <v>0.00006%</v>
      </c>
      <c r="C10116" t="s">
        <v>10</v>
      </c>
      <c r="D10116" t="s">
        <v>10</v>
      </c>
      <c r="E10116" t="str">
        <f>"$ 472"</f>
        <v>$ 472</v>
      </c>
      <c r="F10116">
        <v>224</v>
      </c>
    </row>
    <row r="10117" spans="1:6">
      <c r="A10117" t="s">
        <v>9980</v>
      </c>
      <c r="B10117" t="str">
        <f t="shared" si="383"/>
        <v>0.00006%</v>
      </c>
      <c r="C10117" t="s">
        <v>10</v>
      </c>
      <c r="D10117" t="s">
        <v>10</v>
      </c>
      <c r="E10117" t="str">
        <f>"$ 475"</f>
        <v>$ 475</v>
      </c>
      <c r="F10117">
        <v>76</v>
      </c>
    </row>
    <row r="10118" spans="1:6">
      <c r="A10118" t="s">
        <v>9981</v>
      </c>
      <c r="B10118" t="str">
        <f t="shared" si="383"/>
        <v>0.00006%</v>
      </c>
      <c r="C10118" t="s">
        <v>10</v>
      </c>
      <c r="D10118" t="s">
        <v>10</v>
      </c>
      <c r="E10118" t="str">
        <f>"$ 490"</f>
        <v>$ 490</v>
      </c>
      <c r="F10118">
        <v>46</v>
      </c>
    </row>
    <row r="10119" spans="1:6">
      <c r="A10119" t="s">
        <v>9982</v>
      </c>
      <c r="B10119" t="str">
        <f t="shared" si="383"/>
        <v>0.00006%</v>
      </c>
      <c r="C10119" t="s">
        <v>10</v>
      </c>
      <c r="D10119" t="s">
        <v>10</v>
      </c>
      <c r="E10119" t="str">
        <f>"$ 491"</f>
        <v>$ 491</v>
      </c>
      <c r="F10119">
        <v>52</v>
      </c>
    </row>
    <row r="10120" spans="1:6">
      <c r="A10120" t="s">
        <v>9983</v>
      </c>
      <c r="B10120" t="str">
        <f t="shared" si="383"/>
        <v>0.00006%</v>
      </c>
      <c r="C10120" t="s">
        <v>10</v>
      </c>
      <c r="D10120" t="s">
        <v>10</v>
      </c>
      <c r="E10120" t="str">
        <f>"$ 474"</f>
        <v>$ 474</v>
      </c>
      <c r="F10120">
        <v>279</v>
      </c>
    </row>
    <row r="10121" spans="1:6">
      <c r="A10121" t="s">
        <v>9984</v>
      </c>
      <c r="B10121" t="str">
        <f t="shared" si="383"/>
        <v>0.00006%</v>
      </c>
      <c r="C10121" t="s">
        <v>10</v>
      </c>
      <c r="D10121" t="s">
        <v>10</v>
      </c>
      <c r="E10121" t="str">
        <f>"$ 484"</f>
        <v>$ 484</v>
      </c>
      <c r="F10121">
        <v>365</v>
      </c>
    </row>
    <row r="10122" spans="1:6">
      <c r="A10122" t="s">
        <v>9985</v>
      </c>
      <c r="B10122" t="str">
        <f t="shared" si="383"/>
        <v>0.00006%</v>
      </c>
      <c r="C10122" t="s">
        <v>10</v>
      </c>
      <c r="D10122" t="s">
        <v>10</v>
      </c>
      <c r="E10122" t="str">
        <f>"$ 475"</f>
        <v>$ 475</v>
      </c>
      <c r="F10122">
        <v>325</v>
      </c>
    </row>
    <row r="10123" spans="1:6">
      <c r="A10123" t="s">
        <v>6566</v>
      </c>
      <c r="B10123" t="str">
        <f t="shared" si="383"/>
        <v>0.00006%</v>
      </c>
      <c r="C10123" t="s">
        <v>10</v>
      </c>
      <c r="D10123" t="s">
        <v>10</v>
      </c>
      <c r="E10123" t="str">
        <f>"$ 496"</f>
        <v>$ 496</v>
      </c>
      <c r="F10123">
        <v>230</v>
      </c>
    </row>
    <row r="10124" spans="1:6">
      <c r="A10124" t="s">
        <v>9986</v>
      </c>
      <c r="B10124" t="str">
        <f t="shared" si="383"/>
        <v>0.00006%</v>
      </c>
      <c r="C10124" t="s">
        <v>10</v>
      </c>
      <c r="D10124" t="s">
        <v>10</v>
      </c>
      <c r="E10124" t="str">
        <f>"$ 495"</f>
        <v>$ 495</v>
      </c>
      <c r="F10124">
        <v>349</v>
      </c>
    </row>
    <row r="10125" spans="1:6">
      <c r="A10125" t="s">
        <v>9987</v>
      </c>
      <c r="B10125" t="str">
        <f t="shared" si="383"/>
        <v>0.00006%</v>
      </c>
      <c r="C10125" t="s">
        <v>10</v>
      </c>
      <c r="D10125" t="s">
        <v>10</v>
      </c>
      <c r="E10125" t="str">
        <f>"$ 434"</f>
        <v>$ 434</v>
      </c>
      <c r="F10125">
        <v>265</v>
      </c>
    </row>
    <row r="10126" spans="1:6">
      <c r="A10126" t="s">
        <v>9988</v>
      </c>
      <c r="B10126" t="str">
        <f t="shared" si="383"/>
        <v>0.00006%</v>
      </c>
      <c r="C10126" t="s">
        <v>10</v>
      </c>
      <c r="D10126" t="s">
        <v>10</v>
      </c>
      <c r="E10126" t="str">
        <f>"$ 468"</f>
        <v>$ 468</v>
      </c>
      <c r="F10126">
        <v>390</v>
      </c>
    </row>
    <row r="10127" spans="1:6">
      <c r="A10127" t="s">
        <v>9989</v>
      </c>
      <c r="B10127" t="str">
        <f t="shared" si="383"/>
        <v>0.00006%</v>
      </c>
      <c r="C10127" t="s">
        <v>10</v>
      </c>
      <c r="D10127" t="s">
        <v>10</v>
      </c>
      <c r="E10127" t="str">
        <f>"$ 444"</f>
        <v>$ 444</v>
      </c>
      <c r="F10127">
        <v>215</v>
      </c>
    </row>
    <row r="10128" spans="1:6">
      <c r="A10128" t="s">
        <v>9990</v>
      </c>
      <c r="B10128" t="str">
        <f t="shared" si="383"/>
        <v>0.00006%</v>
      </c>
      <c r="C10128" t="s">
        <v>10</v>
      </c>
      <c r="D10128" t="s">
        <v>10</v>
      </c>
      <c r="E10128" t="str">
        <f>"$ 459"</f>
        <v>$ 459</v>
      </c>
      <c r="F10128">
        <v>26</v>
      </c>
    </row>
    <row r="10129" spans="1:6">
      <c r="A10129" t="s">
        <v>9991</v>
      </c>
      <c r="B10129" t="str">
        <f t="shared" si="383"/>
        <v>0.00006%</v>
      </c>
      <c r="C10129" t="s">
        <v>10</v>
      </c>
      <c r="D10129" t="s">
        <v>10</v>
      </c>
      <c r="E10129" t="str">
        <f>"$ 427"</f>
        <v>$ 427</v>
      </c>
      <c r="F10129">
        <v>337</v>
      </c>
    </row>
    <row r="10130" spans="1:6">
      <c r="A10130" t="s">
        <v>9992</v>
      </c>
      <c r="B10130" t="str">
        <f t="shared" si="383"/>
        <v>0.00006%</v>
      </c>
      <c r="C10130" t="s">
        <v>10</v>
      </c>
      <c r="D10130" t="s">
        <v>10</v>
      </c>
      <c r="E10130" t="str">
        <f>"$ 464"</f>
        <v>$ 464</v>
      </c>
      <c r="F10130">
        <v>107</v>
      </c>
    </row>
    <row r="10131" spans="1:6">
      <c r="A10131" t="s">
        <v>9993</v>
      </c>
      <c r="B10131" t="str">
        <f t="shared" si="383"/>
        <v>0.00006%</v>
      </c>
      <c r="C10131" t="s">
        <v>10</v>
      </c>
      <c r="D10131" t="s">
        <v>10</v>
      </c>
      <c r="E10131" t="str">
        <f>"$ 448"</f>
        <v>$ 448</v>
      </c>
      <c r="F10131">
        <v>143</v>
      </c>
    </row>
    <row r="10132" spans="1:6">
      <c r="A10132" t="s">
        <v>9538</v>
      </c>
      <c r="B10132" t="str">
        <f t="shared" si="383"/>
        <v>0.00006%</v>
      </c>
      <c r="C10132" t="s">
        <v>10</v>
      </c>
      <c r="D10132" t="s">
        <v>10</v>
      </c>
      <c r="E10132" t="str">
        <f>"$ 440"</f>
        <v>$ 440</v>
      </c>
      <c r="F10132">
        <v>165</v>
      </c>
    </row>
    <row r="10133" spans="1:6">
      <c r="A10133" t="s">
        <v>9994</v>
      </c>
      <c r="B10133" t="str">
        <f t="shared" si="383"/>
        <v>0.00006%</v>
      </c>
      <c r="C10133" t="s">
        <v>10</v>
      </c>
      <c r="D10133" t="s">
        <v>10</v>
      </c>
      <c r="E10133" t="str">
        <f>"$ 458"</f>
        <v>$ 458</v>
      </c>
      <c r="F10133">
        <v>458</v>
      </c>
    </row>
    <row r="10134" spans="1:6">
      <c r="A10134" t="s">
        <v>9995</v>
      </c>
      <c r="B10134" t="str">
        <f t="shared" si="383"/>
        <v>0.00006%</v>
      </c>
      <c r="C10134" t="s">
        <v>10</v>
      </c>
      <c r="D10134" t="s">
        <v>10</v>
      </c>
      <c r="E10134" t="str">
        <f>"$ 475"</f>
        <v>$ 475</v>
      </c>
      <c r="F10134">
        <v>33</v>
      </c>
    </row>
    <row r="10135" spans="1:6">
      <c r="A10135" t="s">
        <v>9996</v>
      </c>
      <c r="B10135" t="str">
        <f t="shared" si="383"/>
        <v>0.00006%</v>
      </c>
      <c r="C10135" t="s">
        <v>10</v>
      </c>
      <c r="D10135" t="s">
        <v>10</v>
      </c>
      <c r="E10135" t="str">
        <f>"$ 487"</f>
        <v>$ 487</v>
      </c>
      <c r="F10135">
        <v>319</v>
      </c>
    </row>
    <row r="10136" spans="1:6">
      <c r="A10136" t="s">
        <v>9997</v>
      </c>
      <c r="B10136" t="str">
        <f t="shared" si="383"/>
        <v>0.00006%</v>
      </c>
      <c r="C10136" t="s">
        <v>10</v>
      </c>
      <c r="D10136" t="s">
        <v>10</v>
      </c>
      <c r="E10136" t="str">
        <f>"$ 487"</f>
        <v>$ 487</v>
      </c>
      <c r="F10136">
        <v>556</v>
      </c>
    </row>
    <row r="10137" spans="1:6">
      <c r="A10137" t="s">
        <v>9998</v>
      </c>
      <c r="B10137" t="str">
        <f t="shared" si="383"/>
        <v>0.00006%</v>
      </c>
      <c r="C10137" t="s">
        <v>10</v>
      </c>
      <c r="D10137" t="s">
        <v>10</v>
      </c>
      <c r="E10137" t="str">
        <f>"$ 487"</f>
        <v>$ 487</v>
      </c>
      <c r="F10137">
        <v>198</v>
      </c>
    </row>
    <row r="10138" spans="1:6">
      <c r="A10138" t="s">
        <v>9999</v>
      </c>
      <c r="B10138" t="str">
        <f t="shared" si="383"/>
        <v>0.00006%</v>
      </c>
      <c r="C10138" t="s">
        <v>10</v>
      </c>
      <c r="D10138" t="s">
        <v>10</v>
      </c>
      <c r="E10138" t="str">
        <f>"$ 494"</f>
        <v>$ 494</v>
      </c>
      <c r="F10138">
        <v>158</v>
      </c>
    </row>
    <row r="10139" spans="1:6">
      <c r="A10139" t="s">
        <v>10000</v>
      </c>
      <c r="B10139" t="str">
        <f t="shared" si="383"/>
        <v>0.00006%</v>
      </c>
      <c r="C10139" t="s">
        <v>10</v>
      </c>
      <c r="D10139" t="s">
        <v>10</v>
      </c>
      <c r="E10139" t="str">
        <f>"$ 427"</f>
        <v>$ 427</v>
      </c>
      <c r="F10139">
        <v>33</v>
      </c>
    </row>
    <row r="10140" spans="1:6">
      <c r="A10140" t="s">
        <v>10001</v>
      </c>
      <c r="B10140" t="str">
        <f t="shared" si="383"/>
        <v>0.00006%</v>
      </c>
      <c r="C10140" t="s">
        <v>10</v>
      </c>
      <c r="D10140" t="s">
        <v>10</v>
      </c>
      <c r="E10140" t="str">
        <f>"$ 433"</f>
        <v>$ 433</v>
      </c>
      <c r="F10140">
        <v>184</v>
      </c>
    </row>
    <row r="10141" spans="1:6">
      <c r="A10141" t="s">
        <v>10002</v>
      </c>
      <c r="B10141" t="str">
        <f t="shared" si="383"/>
        <v>0.00006%</v>
      </c>
      <c r="C10141" t="s">
        <v>10</v>
      </c>
      <c r="D10141" t="s">
        <v>10</v>
      </c>
      <c r="E10141" t="str">
        <f>"$ 457"</f>
        <v>$ 457</v>
      </c>
      <c r="F10141">
        <v>205</v>
      </c>
    </row>
    <row r="10142" spans="1:6">
      <c r="A10142" t="s">
        <v>10003</v>
      </c>
      <c r="B10142" t="str">
        <f t="shared" si="383"/>
        <v>0.00006%</v>
      </c>
      <c r="C10142" t="s">
        <v>10</v>
      </c>
      <c r="D10142" t="s">
        <v>10</v>
      </c>
      <c r="E10142" t="str">
        <f>"$ 443"</f>
        <v>$ 443</v>
      </c>
      <c r="F10142">
        <v>97</v>
      </c>
    </row>
    <row r="10143" spans="1:6">
      <c r="A10143" t="s">
        <v>8600</v>
      </c>
      <c r="B10143" t="str">
        <f t="shared" si="383"/>
        <v>0.00006%</v>
      </c>
      <c r="C10143" t="s">
        <v>10</v>
      </c>
      <c r="D10143" t="s">
        <v>10</v>
      </c>
      <c r="E10143" t="str">
        <f>"$ 445"</f>
        <v>$ 445</v>
      </c>
      <c r="F10143">
        <v>558</v>
      </c>
    </row>
    <row r="10144" spans="1:6">
      <c r="A10144" t="s">
        <v>10004</v>
      </c>
      <c r="B10144" t="str">
        <f t="shared" si="383"/>
        <v>0.00006%</v>
      </c>
      <c r="C10144" t="s">
        <v>10</v>
      </c>
      <c r="D10144" t="s">
        <v>10</v>
      </c>
      <c r="E10144" t="str">
        <f>"$ 459"</f>
        <v>$ 459</v>
      </c>
      <c r="F10144">
        <v>54</v>
      </c>
    </row>
    <row r="10145" spans="1:6">
      <c r="A10145" t="s">
        <v>10005</v>
      </c>
      <c r="B10145" t="str">
        <f t="shared" si="383"/>
        <v>0.00006%</v>
      </c>
      <c r="C10145" t="s">
        <v>10</v>
      </c>
      <c r="D10145" t="s">
        <v>10</v>
      </c>
      <c r="E10145" t="str">
        <f>"$ 460"</f>
        <v>$ 460</v>
      </c>
      <c r="F10145">
        <v>377</v>
      </c>
    </row>
    <row r="10146" spans="1:6">
      <c r="A10146" t="s">
        <v>10006</v>
      </c>
      <c r="B10146" t="str">
        <f t="shared" ref="B10146:B10209" si="384">"0.00006%"</f>
        <v>0.00006%</v>
      </c>
      <c r="C10146" t="s">
        <v>10</v>
      </c>
      <c r="D10146" t="s">
        <v>10</v>
      </c>
      <c r="E10146" t="str">
        <f>"$ 463"</f>
        <v>$ 463</v>
      </c>
      <c r="F10146">
        <v>46</v>
      </c>
    </row>
    <row r="10147" spans="1:6">
      <c r="A10147" t="s">
        <v>10007</v>
      </c>
      <c r="B10147" t="str">
        <f t="shared" si="384"/>
        <v>0.00006%</v>
      </c>
      <c r="C10147" t="s">
        <v>10</v>
      </c>
      <c r="D10147" t="s">
        <v>10</v>
      </c>
      <c r="E10147" t="str">
        <f>"$ 462"</f>
        <v>$ 462</v>
      </c>
      <c r="F10147">
        <v>530</v>
      </c>
    </row>
    <row r="10148" spans="1:6">
      <c r="A10148" t="s">
        <v>10008</v>
      </c>
      <c r="B10148" t="str">
        <f t="shared" si="384"/>
        <v>0.00006%</v>
      </c>
      <c r="C10148" t="s">
        <v>10</v>
      </c>
      <c r="D10148" t="s">
        <v>10</v>
      </c>
      <c r="E10148" t="str">
        <f>"$ 464"</f>
        <v>$ 464</v>
      </c>
      <c r="F10148">
        <v>48</v>
      </c>
    </row>
    <row r="10149" spans="1:6">
      <c r="A10149" t="s">
        <v>10009</v>
      </c>
      <c r="B10149" t="str">
        <f t="shared" si="384"/>
        <v>0.00006%</v>
      </c>
      <c r="C10149" t="s">
        <v>10</v>
      </c>
      <c r="D10149" t="s">
        <v>10</v>
      </c>
      <c r="E10149" t="str">
        <f>"$ 464"</f>
        <v>$ 464</v>
      </c>
      <c r="F10149">
        <v>181</v>
      </c>
    </row>
    <row r="10150" spans="1:6">
      <c r="A10150" t="s">
        <v>9542</v>
      </c>
      <c r="B10150" t="str">
        <f t="shared" si="384"/>
        <v>0.00006%</v>
      </c>
      <c r="C10150" t="s">
        <v>10</v>
      </c>
      <c r="D10150" t="s">
        <v>10</v>
      </c>
      <c r="E10150" t="str">
        <f>"$ 469"</f>
        <v>$ 469</v>
      </c>
      <c r="F10150">
        <v>735</v>
      </c>
    </row>
    <row r="10151" spans="1:6">
      <c r="A10151" t="s">
        <v>10010</v>
      </c>
      <c r="B10151" t="str">
        <f t="shared" si="384"/>
        <v>0.00006%</v>
      </c>
      <c r="C10151" t="s">
        <v>10</v>
      </c>
      <c r="D10151" t="s">
        <v>10</v>
      </c>
      <c r="E10151" t="str">
        <f>"$ 474"</f>
        <v>$ 474</v>
      </c>
      <c r="F10151">
        <v>81</v>
      </c>
    </row>
    <row r="10152" spans="1:6">
      <c r="A10152" t="s">
        <v>10011</v>
      </c>
      <c r="B10152" t="str">
        <f t="shared" si="384"/>
        <v>0.00006%</v>
      </c>
      <c r="C10152" t="s">
        <v>10</v>
      </c>
      <c r="D10152" t="s">
        <v>10</v>
      </c>
      <c r="E10152" t="str">
        <f>"$ 476"</f>
        <v>$ 476</v>
      </c>
      <c r="F10152">
        <v>163</v>
      </c>
    </row>
    <row r="10153" spans="1:6">
      <c r="A10153" t="s">
        <v>10012</v>
      </c>
      <c r="B10153" t="str">
        <f t="shared" si="384"/>
        <v>0.00006%</v>
      </c>
      <c r="C10153" t="s">
        <v>10</v>
      </c>
      <c r="D10153" t="s">
        <v>10</v>
      </c>
      <c r="E10153" t="str">
        <f>"$ 464"</f>
        <v>$ 464</v>
      </c>
      <c r="F10153">
        <v>48</v>
      </c>
    </row>
    <row r="10154" spans="1:6">
      <c r="A10154" t="s">
        <v>8463</v>
      </c>
      <c r="B10154" t="str">
        <f t="shared" si="384"/>
        <v>0.00006%</v>
      </c>
      <c r="C10154" t="s">
        <v>10</v>
      </c>
      <c r="D10154" t="s">
        <v>10</v>
      </c>
      <c r="E10154" t="str">
        <f>"$ 440"</f>
        <v>$ 440</v>
      </c>
      <c r="F10154">
        <v>246</v>
      </c>
    </row>
    <row r="10155" spans="1:6">
      <c r="A10155" t="s">
        <v>10013</v>
      </c>
      <c r="B10155" t="str">
        <f t="shared" si="384"/>
        <v>0.00006%</v>
      </c>
      <c r="C10155" t="s">
        <v>10</v>
      </c>
      <c r="D10155" t="s">
        <v>10</v>
      </c>
      <c r="E10155" t="str">
        <f>"$ 443"</f>
        <v>$ 443</v>
      </c>
      <c r="F10155">
        <v>62</v>
      </c>
    </row>
    <row r="10156" spans="1:6">
      <c r="A10156" t="s">
        <v>10014</v>
      </c>
      <c r="B10156" t="str">
        <f t="shared" si="384"/>
        <v>0.00006%</v>
      </c>
      <c r="C10156" t="s">
        <v>10</v>
      </c>
      <c r="D10156" t="s">
        <v>10</v>
      </c>
      <c r="E10156" t="str">
        <f>"$ 448"</f>
        <v>$ 448</v>
      </c>
      <c r="F10156">
        <v>149</v>
      </c>
    </row>
    <row r="10157" spans="1:6">
      <c r="A10157" t="s">
        <v>10015</v>
      </c>
      <c r="B10157" t="str">
        <f t="shared" si="384"/>
        <v>0.00006%</v>
      </c>
      <c r="C10157" t="s">
        <v>10</v>
      </c>
      <c r="D10157" t="s">
        <v>10</v>
      </c>
      <c r="E10157" t="str">
        <f>"$ 434"</f>
        <v>$ 434</v>
      </c>
      <c r="F10157">
        <v>258</v>
      </c>
    </row>
    <row r="10158" spans="1:6">
      <c r="A10158" t="s">
        <v>10016</v>
      </c>
      <c r="B10158" t="str">
        <f t="shared" si="384"/>
        <v>0.00006%</v>
      </c>
      <c r="C10158" t="s">
        <v>10</v>
      </c>
      <c r="D10158" t="s">
        <v>10</v>
      </c>
      <c r="E10158" t="str">
        <f>"$ 430"</f>
        <v>$ 430</v>
      </c>
      <c r="F10158">
        <v>227</v>
      </c>
    </row>
    <row r="10159" spans="1:6">
      <c r="A10159" t="s">
        <v>10017</v>
      </c>
      <c r="B10159" t="str">
        <f t="shared" si="384"/>
        <v>0.00006%</v>
      </c>
      <c r="C10159" t="s">
        <v>10</v>
      </c>
      <c r="D10159" t="s">
        <v>10</v>
      </c>
      <c r="E10159" t="str">
        <f>"$ 464"</f>
        <v>$ 464</v>
      </c>
      <c r="F10159" s="1">
        <v>1358</v>
      </c>
    </row>
    <row r="10160" spans="1:6">
      <c r="A10160" t="s">
        <v>10018</v>
      </c>
      <c r="B10160" t="str">
        <f t="shared" si="384"/>
        <v>0.00006%</v>
      </c>
      <c r="C10160" t="s">
        <v>10</v>
      </c>
      <c r="D10160" t="s">
        <v>10</v>
      </c>
      <c r="E10160" t="str">
        <f>"$ 486"</f>
        <v>$ 486</v>
      </c>
      <c r="F10160">
        <v>16</v>
      </c>
    </row>
    <row r="10161" spans="1:6">
      <c r="A10161" t="s">
        <v>10019</v>
      </c>
      <c r="B10161" t="str">
        <f t="shared" si="384"/>
        <v>0.00006%</v>
      </c>
      <c r="C10161" t="s">
        <v>10</v>
      </c>
      <c r="D10161" t="s">
        <v>10</v>
      </c>
      <c r="E10161" t="str">
        <f>"$ 483"</f>
        <v>$ 483</v>
      </c>
      <c r="F10161">
        <v>310</v>
      </c>
    </row>
    <row r="10162" spans="1:6">
      <c r="A10162" t="s">
        <v>10020</v>
      </c>
      <c r="B10162" t="str">
        <f t="shared" si="384"/>
        <v>0.00006%</v>
      </c>
      <c r="C10162" t="s">
        <v>10</v>
      </c>
      <c r="D10162" t="s">
        <v>10</v>
      </c>
      <c r="E10162" t="str">
        <f>"$ 475"</f>
        <v>$ 475</v>
      </c>
      <c r="F10162">
        <v>204</v>
      </c>
    </row>
    <row r="10163" spans="1:6">
      <c r="A10163" t="s">
        <v>10021</v>
      </c>
      <c r="B10163" t="str">
        <f t="shared" si="384"/>
        <v>0.00006%</v>
      </c>
      <c r="C10163" t="s">
        <v>10</v>
      </c>
      <c r="D10163" t="s">
        <v>10</v>
      </c>
      <c r="E10163" t="str">
        <f>"$ 502"</f>
        <v>$ 502</v>
      </c>
      <c r="F10163">
        <v>455</v>
      </c>
    </row>
    <row r="10164" spans="1:6">
      <c r="A10164" t="s">
        <v>10022</v>
      </c>
      <c r="B10164" t="str">
        <f t="shared" si="384"/>
        <v>0.00006%</v>
      </c>
      <c r="C10164" t="s">
        <v>10</v>
      </c>
      <c r="D10164" t="s">
        <v>10</v>
      </c>
      <c r="E10164" t="str">
        <f>"$ 499"</f>
        <v>$ 499</v>
      </c>
      <c r="F10164">
        <v>542</v>
      </c>
    </row>
    <row r="10165" spans="1:6">
      <c r="A10165" t="s">
        <v>10023</v>
      </c>
      <c r="B10165" t="str">
        <f t="shared" si="384"/>
        <v>0.00006%</v>
      </c>
      <c r="C10165" t="s">
        <v>10</v>
      </c>
      <c r="D10165" t="s">
        <v>10</v>
      </c>
      <c r="E10165" t="str">
        <f>"$ 459"</f>
        <v>$ 459</v>
      </c>
      <c r="F10165">
        <v>339</v>
      </c>
    </row>
    <row r="10166" spans="1:6">
      <c r="A10166" t="s">
        <v>10024</v>
      </c>
      <c r="B10166" t="str">
        <f t="shared" si="384"/>
        <v>0.00006%</v>
      </c>
      <c r="C10166" t="s">
        <v>10</v>
      </c>
      <c r="D10166" t="s">
        <v>10</v>
      </c>
      <c r="E10166" t="str">
        <f>"$ 446"</f>
        <v>$ 446</v>
      </c>
      <c r="F10166">
        <v>804</v>
      </c>
    </row>
    <row r="10167" spans="1:6">
      <c r="A10167" t="s">
        <v>10025</v>
      </c>
      <c r="B10167" t="str">
        <f t="shared" si="384"/>
        <v>0.00006%</v>
      </c>
      <c r="C10167" t="s">
        <v>10</v>
      </c>
      <c r="D10167" t="s">
        <v>10</v>
      </c>
      <c r="E10167" t="str">
        <f>"$ 427"</f>
        <v>$ 427</v>
      </c>
      <c r="F10167">
        <v>445</v>
      </c>
    </row>
    <row r="10168" spans="1:6">
      <c r="A10168" t="s">
        <v>10026</v>
      </c>
      <c r="B10168" t="str">
        <f t="shared" si="384"/>
        <v>0.00006%</v>
      </c>
      <c r="C10168" t="s">
        <v>10</v>
      </c>
      <c r="D10168" t="s">
        <v>10</v>
      </c>
      <c r="E10168" t="str">
        <f>"$ 426"</f>
        <v>$ 426</v>
      </c>
      <c r="F10168">
        <v>514</v>
      </c>
    </row>
    <row r="10169" spans="1:6">
      <c r="A10169" t="s">
        <v>10027</v>
      </c>
      <c r="B10169" t="str">
        <f t="shared" si="384"/>
        <v>0.00006%</v>
      </c>
      <c r="C10169" t="s">
        <v>10</v>
      </c>
      <c r="D10169" t="s">
        <v>10</v>
      </c>
      <c r="E10169" t="str">
        <f>"$ 427"</f>
        <v>$ 427</v>
      </c>
      <c r="F10169">
        <v>436</v>
      </c>
    </row>
    <row r="10170" spans="1:6">
      <c r="A10170" t="s">
        <v>10028</v>
      </c>
      <c r="B10170" t="str">
        <f t="shared" si="384"/>
        <v>0.00006%</v>
      </c>
      <c r="C10170" t="s">
        <v>10</v>
      </c>
      <c r="D10170" t="s">
        <v>10</v>
      </c>
      <c r="E10170" t="str">
        <f>"$ 427"</f>
        <v>$ 427</v>
      </c>
      <c r="F10170">
        <v>261</v>
      </c>
    </row>
    <row r="10171" spans="1:6">
      <c r="A10171" t="s">
        <v>10029</v>
      </c>
      <c r="B10171" t="str">
        <f t="shared" si="384"/>
        <v>0.00006%</v>
      </c>
      <c r="C10171" t="s">
        <v>10</v>
      </c>
      <c r="D10171" t="s">
        <v>10</v>
      </c>
      <c r="E10171" t="str">
        <f>"$ 433"</f>
        <v>$ 433</v>
      </c>
      <c r="F10171">
        <v>926</v>
      </c>
    </row>
    <row r="10172" spans="1:6">
      <c r="A10172" t="s">
        <v>10030</v>
      </c>
      <c r="B10172" t="str">
        <f t="shared" si="384"/>
        <v>0.00006%</v>
      </c>
      <c r="C10172" t="s">
        <v>10</v>
      </c>
      <c r="D10172" t="s">
        <v>10</v>
      </c>
      <c r="E10172" t="str">
        <f>"$ 432"</f>
        <v>$ 432</v>
      </c>
      <c r="F10172">
        <v>126</v>
      </c>
    </row>
    <row r="10173" spans="1:6">
      <c r="A10173" t="s">
        <v>9210</v>
      </c>
      <c r="B10173" t="str">
        <f t="shared" si="384"/>
        <v>0.00006%</v>
      </c>
      <c r="C10173" t="s">
        <v>10</v>
      </c>
      <c r="D10173" t="s">
        <v>10</v>
      </c>
      <c r="E10173" t="str">
        <f>"$ 438"</f>
        <v>$ 438</v>
      </c>
      <c r="F10173">
        <v>61</v>
      </c>
    </row>
    <row r="10174" spans="1:6">
      <c r="A10174" t="s">
        <v>10031</v>
      </c>
      <c r="B10174" t="str">
        <f t="shared" si="384"/>
        <v>0.00006%</v>
      </c>
      <c r="C10174" t="s">
        <v>10</v>
      </c>
      <c r="D10174" t="s">
        <v>10</v>
      </c>
      <c r="E10174" t="str">
        <f>"$ 435"</f>
        <v>$ 435</v>
      </c>
      <c r="F10174">
        <v>284</v>
      </c>
    </row>
    <row r="10175" spans="1:6">
      <c r="A10175" t="s">
        <v>10032</v>
      </c>
      <c r="B10175" t="str">
        <f t="shared" si="384"/>
        <v>0.00006%</v>
      </c>
      <c r="C10175" t="s">
        <v>10</v>
      </c>
      <c r="D10175" t="s">
        <v>10</v>
      </c>
      <c r="E10175" t="str">
        <f>"$ 471"</f>
        <v>$ 471</v>
      </c>
      <c r="F10175">
        <v>63</v>
      </c>
    </row>
    <row r="10176" spans="1:6">
      <c r="A10176" t="s">
        <v>10033</v>
      </c>
      <c r="B10176" t="str">
        <f t="shared" si="384"/>
        <v>0.00006%</v>
      </c>
      <c r="C10176" t="s">
        <v>10</v>
      </c>
      <c r="D10176" t="s">
        <v>10</v>
      </c>
      <c r="E10176" t="str">
        <f>"$ 468"</f>
        <v>$ 468</v>
      </c>
      <c r="F10176" s="1">
        <v>1095</v>
      </c>
    </row>
    <row r="10177" spans="1:6">
      <c r="A10177" t="s">
        <v>10034</v>
      </c>
      <c r="B10177" t="str">
        <f t="shared" si="384"/>
        <v>0.00006%</v>
      </c>
      <c r="C10177" t="s">
        <v>10</v>
      </c>
      <c r="D10177" t="s">
        <v>10</v>
      </c>
      <c r="E10177" t="str">
        <f>"$ 472"</f>
        <v>$ 472</v>
      </c>
      <c r="F10177">
        <v>140</v>
      </c>
    </row>
    <row r="10178" spans="1:6">
      <c r="A10178" t="s">
        <v>10035</v>
      </c>
      <c r="B10178" t="str">
        <f t="shared" si="384"/>
        <v>0.00006%</v>
      </c>
      <c r="C10178" t="s">
        <v>10</v>
      </c>
      <c r="D10178" t="s">
        <v>10</v>
      </c>
      <c r="E10178" t="str">
        <f>"$ 469"</f>
        <v>$ 469</v>
      </c>
      <c r="F10178">
        <v>659</v>
      </c>
    </row>
    <row r="10179" spans="1:6">
      <c r="A10179" t="s">
        <v>10036</v>
      </c>
      <c r="B10179" t="str">
        <f t="shared" si="384"/>
        <v>0.00006%</v>
      </c>
      <c r="C10179" t="s">
        <v>10</v>
      </c>
      <c r="D10179" t="s">
        <v>10</v>
      </c>
      <c r="E10179" t="str">
        <f>"$ 446"</f>
        <v>$ 446</v>
      </c>
      <c r="F10179">
        <v>441</v>
      </c>
    </row>
    <row r="10180" spans="1:6">
      <c r="A10180" t="s">
        <v>10037</v>
      </c>
      <c r="B10180" t="str">
        <f t="shared" si="384"/>
        <v>0.00006%</v>
      </c>
      <c r="C10180" t="s">
        <v>10</v>
      </c>
      <c r="D10180" t="s">
        <v>10</v>
      </c>
      <c r="E10180" t="str">
        <f>"$ 441"</f>
        <v>$ 441</v>
      </c>
      <c r="F10180">
        <v>87</v>
      </c>
    </row>
    <row r="10181" spans="1:6">
      <c r="A10181" t="s">
        <v>10038</v>
      </c>
      <c r="B10181" t="str">
        <f t="shared" si="384"/>
        <v>0.00006%</v>
      </c>
      <c r="C10181" t="s">
        <v>10</v>
      </c>
      <c r="D10181" t="s">
        <v>10</v>
      </c>
      <c r="E10181" t="str">
        <f>"$ 445"</f>
        <v>$ 445</v>
      </c>
      <c r="F10181">
        <v>269</v>
      </c>
    </row>
    <row r="10182" spans="1:6">
      <c r="A10182" t="s">
        <v>7713</v>
      </c>
      <c r="B10182" t="str">
        <f t="shared" si="384"/>
        <v>0.00006%</v>
      </c>
      <c r="C10182" t="s">
        <v>10</v>
      </c>
      <c r="D10182" t="s">
        <v>10</v>
      </c>
      <c r="E10182" t="str">
        <f>"$ 456"</f>
        <v>$ 456</v>
      </c>
      <c r="F10182">
        <v>476</v>
      </c>
    </row>
    <row r="10183" spans="1:6">
      <c r="A10183" t="s">
        <v>10039</v>
      </c>
      <c r="B10183" t="str">
        <f t="shared" si="384"/>
        <v>0.00006%</v>
      </c>
      <c r="C10183" t="s">
        <v>10</v>
      </c>
      <c r="D10183" t="s">
        <v>10</v>
      </c>
      <c r="E10183" t="str">
        <f>"$ 475"</f>
        <v>$ 475</v>
      </c>
      <c r="F10183" s="1">
        <v>3959</v>
      </c>
    </row>
    <row r="10184" spans="1:6">
      <c r="A10184" t="s">
        <v>10040</v>
      </c>
      <c r="B10184" t="str">
        <f t="shared" si="384"/>
        <v>0.00006%</v>
      </c>
      <c r="C10184" t="s">
        <v>10</v>
      </c>
      <c r="D10184" t="s">
        <v>10</v>
      </c>
      <c r="E10184" t="str">
        <f>"$ 462"</f>
        <v>$ 462</v>
      </c>
      <c r="F10184">
        <v>18</v>
      </c>
    </row>
    <row r="10185" spans="1:6">
      <c r="A10185" t="s">
        <v>10041</v>
      </c>
      <c r="B10185" t="str">
        <f t="shared" si="384"/>
        <v>0.00006%</v>
      </c>
      <c r="C10185" t="s">
        <v>10</v>
      </c>
      <c r="D10185" t="s">
        <v>10</v>
      </c>
      <c r="E10185" t="str">
        <f>"$ 447"</f>
        <v>$ 447</v>
      </c>
      <c r="F10185">
        <v>247</v>
      </c>
    </row>
    <row r="10186" spans="1:6">
      <c r="A10186" t="s">
        <v>10042</v>
      </c>
      <c r="B10186" t="str">
        <f t="shared" si="384"/>
        <v>0.00006%</v>
      </c>
      <c r="C10186" t="s">
        <v>10</v>
      </c>
      <c r="D10186" t="s">
        <v>10</v>
      </c>
      <c r="E10186" t="str">
        <f>"$ 436"</f>
        <v>$ 436</v>
      </c>
      <c r="F10186">
        <v>311</v>
      </c>
    </row>
    <row r="10187" spans="1:6">
      <c r="A10187" t="s">
        <v>10043</v>
      </c>
      <c r="B10187" t="str">
        <f t="shared" si="384"/>
        <v>0.00006%</v>
      </c>
      <c r="C10187" t="s">
        <v>10</v>
      </c>
      <c r="D10187" t="s">
        <v>10</v>
      </c>
      <c r="E10187" t="str">
        <f>"$ 425"</f>
        <v>$ 425</v>
      </c>
      <c r="F10187" s="1">
        <v>2220</v>
      </c>
    </row>
    <row r="10188" spans="1:6">
      <c r="A10188" t="s">
        <v>10044</v>
      </c>
      <c r="B10188" t="str">
        <f t="shared" si="384"/>
        <v>0.00006%</v>
      </c>
      <c r="C10188" t="s">
        <v>10</v>
      </c>
      <c r="D10188" t="s">
        <v>10</v>
      </c>
      <c r="E10188" t="str">
        <f>"$ 456"</f>
        <v>$ 456</v>
      </c>
      <c r="F10188">
        <v>85</v>
      </c>
    </row>
    <row r="10189" spans="1:6">
      <c r="A10189" t="s">
        <v>10045</v>
      </c>
      <c r="B10189" t="str">
        <f t="shared" si="384"/>
        <v>0.00006%</v>
      </c>
      <c r="C10189" t="s">
        <v>10</v>
      </c>
      <c r="D10189" t="s">
        <v>10</v>
      </c>
      <c r="E10189" t="str">
        <f>"$ 449"</f>
        <v>$ 449</v>
      </c>
      <c r="F10189">
        <v>215</v>
      </c>
    </row>
    <row r="10190" spans="1:6">
      <c r="A10190" t="s">
        <v>10046</v>
      </c>
      <c r="B10190" t="str">
        <f t="shared" si="384"/>
        <v>0.00006%</v>
      </c>
      <c r="C10190" t="s">
        <v>10</v>
      </c>
      <c r="D10190" t="s">
        <v>10</v>
      </c>
      <c r="E10190" t="str">
        <f>"$ 457"</f>
        <v>$ 457</v>
      </c>
      <c r="F10190">
        <v>150</v>
      </c>
    </row>
    <row r="10191" spans="1:6">
      <c r="A10191" t="s">
        <v>10047</v>
      </c>
      <c r="B10191" t="str">
        <f t="shared" si="384"/>
        <v>0.00006%</v>
      </c>
      <c r="C10191" t="s">
        <v>10</v>
      </c>
      <c r="D10191" t="s">
        <v>10</v>
      </c>
      <c r="E10191" t="str">
        <f>"$ 427"</f>
        <v>$ 427</v>
      </c>
      <c r="F10191">
        <v>632</v>
      </c>
    </row>
    <row r="10192" spans="1:6">
      <c r="A10192" t="s">
        <v>8614</v>
      </c>
      <c r="B10192" t="str">
        <f t="shared" si="384"/>
        <v>0.00006%</v>
      </c>
      <c r="C10192" t="s">
        <v>10</v>
      </c>
      <c r="D10192" t="s">
        <v>10</v>
      </c>
      <c r="E10192" t="str">
        <f>"$ 433"</f>
        <v>$ 433</v>
      </c>
      <c r="F10192">
        <v>293</v>
      </c>
    </row>
    <row r="10193" spans="1:6">
      <c r="A10193" t="s">
        <v>10048</v>
      </c>
      <c r="B10193" t="str">
        <f t="shared" si="384"/>
        <v>0.00006%</v>
      </c>
      <c r="C10193" t="s">
        <v>10</v>
      </c>
      <c r="D10193" t="s">
        <v>10</v>
      </c>
      <c r="E10193" t="str">
        <f>"$ 470"</f>
        <v>$ 470</v>
      </c>
      <c r="F10193">
        <v>165</v>
      </c>
    </row>
    <row r="10194" spans="1:6">
      <c r="A10194" t="s">
        <v>9227</v>
      </c>
      <c r="B10194" t="str">
        <f t="shared" si="384"/>
        <v>0.00006%</v>
      </c>
      <c r="C10194" t="s">
        <v>10</v>
      </c>
      <c r="D10194" t="s">
        <v>10</v>
      </c>
      <c r="E10194" t="str">
        <f>"$ 483"</f>
        <v>$ 483</v>
      </c>
      <c r="F10194">
        <v>102</v>
      </c>
    </row>
    <row r="10195" spans="1:6">
      <c r="A10195" t="s">
        <v>10049</v>
      </c>
      <c r="B10195" t="str">
        <f t="shared" si="384"/>
        <v>0.00006%</v>
      </c>
      <c r="C10195" t="s">
        <v>10</v>
      </c>
      <c r="D10195" t="s">
        <v>10</v>
      </c>
      <c r="E10195" t="str">
        <f>"$ 491"</f>
        <v>$ 491</v>
      </c>
      <c r="F10195">
        <v>377</v>
      </c>
    </row>
    <row r="10196" spans="1:6">
      <c r="A10196" t="s">
        <v>10050</v>
      </c>
      <c r="B10196" t="str">
        <f t="shared" si="384"/>
        <v>0.00006%</v>
      </c>
      <c r="C10196" t="s">
        <v>10</v>
      </c>
      <c r="D10196" t="s">
        <v>10</v>
      </c>
      <c r="E10196" t="str">
        <f>"$ 485"</f>
        <v>$ 485</v>
      </c>
      <c r="F10196">
        <v>736</v>
      </c>
    </row>
    <row r="10197" spans="1:6">
      <c r="A10197" t="s">
        <v>10051</v>
      </c>
      <c r="B10197" t="str">
        <f t="shared" si="384"/>
        <v>0.00006%</v>
      </c>
      <c r="C10197" t="s">
        <v>10</v>
      </c>
      <c r="D10197" t="s">
        <v>10</v>
      </c>
      <c r="E10197" t="str">
        <f>"$ 500"</f>
        <v>$ 500</v>
      </c>
      <c r="F10197">
        <v>119</v>
      </c>
    </row>
    <row r="10198" spans="1:6">
      <c r="A10198" t="s">
        <v>10052</v>
      </c>
      <c r="B10198" t="str">
        <f t="shared" si="384"/>
        <v>0.00006%</v>
      </c>
      <c r="C10198" t="s">
        <v>10</v>
      </c>
      <c r="D10198" t="s">
        <v>10</v>
      </c>
      <c r="E10198" t="str">
        <f>"$ 455"</f>
        <v>$ 455</v>
      </c>
      <c r="F10198">
        <v>461</v>
      </c>
    </row>
    <row r="10199" spans="1:6">
      <c r="A10199" t="s">
        <v>10053</v>
      </c>
      <c r="B10199" t="str">
        <f t="shared" si="384"/>
        <v>0.00006%</v>
      </c>
      <c r="C10199" t="s">
        <v>10</v>
      </c>
      <c r="D10199" t="s">
        <v>10</v>
      </c>
      <c r="E10199" t="str">
        <f>"$ 427"</f>
        <v>$ 427</v>
      </c>
      <c r="F10199">
        <v>125</v>
      </c>
    </row>
    <row r="10200" spans="1:6">
      <c r="A10200" t="s">
        <v>10054</v>
      </c>
      <c r="B10200" t="str">
        <f t="shared" si="384"/>
        <v>0.00006%</v>
      </c>
      <c r="C10200" t="s">
        <v>10</v>
      </c>
      <c r="D10200" t="s">
        <v>10</v>
      </c>
      <c r="E10200" t="str">
        <f>"$ 491"</f>
        <v>$ 491</v>
      </c>
      <c r="F10200">
        <v>359</v>
      </c>
    </row>
    <row r="10201" spans="1:6">
      <c r="A10201" t="s">
        <v>10055</v>
      </c>
      <c r="B10201" t="str">
        <f t="shared" si="384"/>
        <v>0.00006%</v>
      </c>
      <c r="C10201" t="s">
        <v>10</v>
      </c>
      <c r="D10201" t="s">
        <v>10</v>
      </c>
      <c r="E10201" t="str">
        <f>"$ 480"</f>
        <v>$ 480</v>
      </c>
      <c r="F10201">
        <v>560</v>
      </c>
    </row>
    <row r="10202" spans="1:6">
      <c r="A10202" t="s">
        <v>8365</v>
      </c>
      <c r="B10202" t="str">
        <f t="shared" si="384"/>
        <v>0.00006%</v>
      </c>
      <c r="C10202" t="s">
        <v>10</v>
      </c>
      <c r="D10202" t="s">
        <v>10</v>
      </c>
      <c r="E10202" t="str">
        <f>"$ 462"</f>
        <v>$ 462</v>
      </c>
      <c r="F10202">
        <v>88</v>
      </c>
    </row>
    <row r="10203" spans="1:6">
      <c r="A10203" t="s">
        <v>10056</v>
      </c>
      <c r="B10203" t="str">
        <f t="shared" si="384"/>
        <v>0.00006%</v>
      </c>
      <c r="C10203" t="s">
        <v>10</v>
      </c>
      <c r="D10203" t="s">
        <v>10</v>
      </c>
      <c r="E10203" t="str">
        <f>"$ 437"</f>
        <v>$ 437</v>
      </c>
      <c r="F10203">
        <v>385</v>
      </c>
    </row>
    <row r="10204" spans="1:6">
      <c r="A10204" t="s">
        <v>10057</v>
      </c>
      <c r="B10204" t="str">
        <f t="shared" si="384"/>
        <v>0.00006%</v>
      </c>
      <c r="C10204" t="s">
        <v>10</v>
      </c>
      <c r="D10204" t="s">
        <v>10</v>
      </c>
      <c r="E10204" t="str">
        <f>"$ 434"</f>
        <v>$ 434</v>
      </c>
      <c r="F10204">
        <v>223</v>
      </c>
    </row>
    <row r="10205" spans="1:6">
      <c r="A10205" t="s">
        <v>10058</v>
      </c>
      <c r="B10205" t="str">
        <f t="shared" si="384"/>
        <v>0.00006%</v>
      </c>
      <c r="C10205" t="s">
        <v>10</v>
      </c>
      <c r="D10205" t="s">
        <v>10</v>
      </c>
      <c r="E10205" t="str">
        <f>"$ 473"</f>
        <v>$ 473</v>
      </c>
      <c r="F10205">
        <v>421</v>
      </c>
    </row>
    <row r="10206" spans="1:6">
      <c r="A10206" t="s">
        <v>10059</v>
      </c>
      <c r="B10206" t="str">
        <f t="shared" si="384"/>
        <v>0.00006%</v>
      </c>
      <c r="C10206" t="s">
        <v>10</v>
      </c>
      <c r="D10206" t="s">
        <v>10</v>
      </c>
      <c r="E10206" t="str">
        <f>"$ 443"</f>
        <v>$ 443</v>
      </c>
      <c r="F10206">
        <v>16</v>
      </c>
    </row>
    <row r="10207" spans="1:6">
      <c r="A10207" t="s">
        <v>10060</v>
      </c>
      <c r="B10207" t="str">
        <f t="shared" si="384"/>
        <v>0.00006%</v>
      </c>
      <c r="C10207" t="s">
        <v>10</v>
      </c>
      <c r="D10207" t="s">
        <v>10</v>
      </c>
      <c r="E10207" t="str">
        <f>"$ 466"</f>
        <v>$ 466</v>
      </c>
      <c r="F10207">
        <v>160</v>
      </c>
    </row>
    <row r="10208" spans="1:6">
      <c r="A10208" t="s">
        <v>10061</v>
      </c>
      <c r="B10208" t="str">
        <f t="shared" si="384"/>
        <v>0.00006%</v>
      </c>
      <c r="C10208" t="s">
        <v>10</v>
      </c>
      <c r="D10208" t="s">
        <v>10</v>
      </c>
      <c r="E10208" t="str">
        <f>"$ 466"</f>
        <v>$ 466</v>
      </c>
      <c r="F10208" s="1">
        <v>11966</v>
      </c>
    </row>
    <row r="10209" spans="1:6">
      <c r="A10209" t="s">
        <v>10062</v>
      </c>
      <c r="B10209" t="str">
        <f t="shared" si="384"/>
        <v>0.00006%</v>
      </c>
      <c r="C10209" t="s">
        <v>10</v>
      </c>
      <c r="D10209" t="s">
        <v>10</v>
      </c>
      <c r="E10209" t="str">
        <f>"$ 480"</f>
        <v>$ 480</v>
      </c>
      <c r="F10209">
        <v>127</v>
      </c>
    </row>
    <row r="10210" spans="1:6">
      <c r="A10210" t="s">
        <v>10063</v>
      </c>
      <c r="B10210" t="str">
        <f t="shared" ref="B10210:B10273" si="385">"0.00006%"</f>
        <v>0.00006%</v>
      </c>
      <c r="C10210" t="s">
        <v>10</v>
      </c>
      <c r="D10210" t="s">
        <v>10</v>
      </c>
      <c r="E10210" t="str">
        <f>"$ 488"</f>
        <v>$ 488</v>
      </c>
      <c r="F10210">
        <v>169</v>
      </c>
    </row>
    <row r="10211" spans="1:6">
      <c r="A10211" t="s">
        <v>10064</v>
      </c>
      <c r="B10211" t="str">
        <f t="shared" si="385"/>
        <v>0.00006%</v>
      </c>
      <c r="C10211" t="s">
        <v>10</v>
      </c>
      <c r="D10211" t="s">
        <v>10</v>
      </c>
      <c r="E10211" t="str">
        <f>"$ 438"</f>
        <v>$ 438</v>
      </c>
      <c r="F10211">
        <v>63</v>
      </c>
    </row>
    <row r="10212" spans="1:6">
      <c r="A10212" t="s">
        <v>10065</v>
      </c>
      <c r="B10212" t="str">
        <f t="shared" si="385"/>
        <v>0.00006%</v>
      </c>
      <c r="C10212" t="s">
        <v>10</v>
      </c>
      <c r="D10212" t="s">
        <v>10</v>
      </c>
      <c r="E10212" t="str">
        <f>"$ 467"</f>
        <v>$ 467</v>
      </c>
      <c r="F10212">
        <v>537</v>
      </c>
    </row>
    <row r="10213" spans="1:6">
      <c r="A10213" t="s">
        <v>10066</v>
      </c>
      <c r="B10213" t="str">
        <f t="shared" si="385"/>
        <v>0.00006%</v>
      </c>
      <c r="C10213" t="s">
        <v>10</v>
      </c>
      <c r="D10213" t="s">
        <v>10</v>
      </c>
      <c r="E10213" t="str">
        <f>"$ 458"</f>
        <v>$ 458</v>
      </c>
      <c r="F10213">
        <v>137</v>
      </c>
    </row>
    <row r="10214" spans="1:6">
      <c r="A10214" t="s">
        <v>10067</v>
      </c>
      <c r="B10214" t="str">
        <f t="shared" si="385"/>
        <v>0.00006%</v>
      </c>
      <c r="C10214" t="s">
        <v>10</v>
      </c>
      <c r="D10214" t="s">
        <v>10</v>
      </c>
      <c r="E10214" t="str">
        <f>"$ 427"</f>
        <v>$ 427</v>
      </c>
      <c r="F10214">
        <v>21</v>
      </c>
    </row>
    <row r="10215" spans="1:6">
      <c r="A10215" t="s">
        <v>10068</v>
      </c>
      <c r="B10215" t="str">
        <f t="shared" si="385"/>
        <v>0.00006%</v>
      </c>
      <c r="C10215" t="s">
        <v>10</v>
      </c>
      <c r="D10215" t="s">
        <v>10</v>
      </c>
      <c r="E10215" t="str">
        <f>"$ 426"</f>
        <v>$ 426</v>
      </c>
      <c r="F10215">
        <v>46</v>
      </c>
    </row>
    <row r="10216" spans="1:6">
      <c r="A10216" t="s">
        <v>10069</v>
      </c>
      <c r="B10216" t="str">
        <f t="shared" si="385"/>
        <v>0.00006%</v>
      </c>
      <c r="C10216" t="s">
        <v>10</v>
      </c>
      <c r="D10216" t="s">
        <v>10</v>
      </c>
      <c r="E10216" t="str">
        <f>"$ 441"</f>
        <v>$ 441</v>
      </c>
      <c r="F10216">
        <v>56</v>
      </c>
    </row>
    <row r="10217" spans="1:6">
      <c r="A10217" t="s">
        <v>10070</v>
      </c>
      <c r="B10217" t="str">
        <f t="shared" si="385"/>
        <v>0.00006%</v>
      </c>
      <c r="C10217" t="s">
        <v>10</v>
      </c>
      <c r="D10217" t="s">
        <v>10</v>
      </c>
      <c r="E10217" t="str">
        <f>"$ 488"</f>
        <v>$ 488</v>
      </c>
      <c r="F10217">
        <v>815</v>
      </c>
    </row>
    <row r="10218" spans="1:6">
      <c r="A10218" t="s">
        <v>10071</v>
      </c>
      <c r="B10218" t="str">
        <f t="shared" si="385"/>
        <v>0.00006%</v>
      </c>
      <c r="C10218" t="s">
        <v>10</v>
      </c>
      <c r="D10218" t="s">
        <v>10</v>
      </c>
      <c r="E10218" t="str">
        <f>"$ 476"</f>
        <v>$ 476</v>
      </c>
      <c r="F10218">
        <v>150</v>
      </c>
    </row>
    <row r="10219" spans="1:6">
      <c r="A10219" t="s">
        <v>10072</v>
      </c>
      <c r="B10219" t="str">
        <f t="shared" si="385"/>
        <v>0.00006%</v>
      </c>
      <c r="C10219" t="s">
        <v>10</v>
      </c>
      <c r="D10219" t="s">
        <v>10</v>
      </c>
      <c r="E10219" t="str">
        <f>"$ 479"</f>
        <v>$ 479</v>
      </c>
      <c r="F10219">
        <v>49</v>
      </c>
    </row>
    <row r="10220" spans="1:6">
      <c r="A10220" t="s">
        <v>10073</v>
      </c>
      <c r="B10220" t="str">
        <f t="shared" si="385"/>
        <v>0.00006%</v>
      </c>
      <c r="C10220" t="s">
        <v>10</v>
      </c>
      <c r="D10220" t="s">
        <v>10</v>
      </c>
      <c r="E10220" t="str">
        <f>"$ 491"</f>
        <v>$ 491</v>
      </c>
      <c r="F10220">
        <v>395</v>
      </c>
    </row>
    <row r="10221" spans="1:6">
      <c r="A10221" t="s">
        <v>10074</v>
      </c>
      <c r="B10221" t="str">
        <f t="shared" si="385"/>
        <v>0.00006%</v>
      </c>
      <c r="C10221" t="s">
        <v>10</v>
      </c>
      <c r="D10221" t="s">
        <v>10</v>
      </c>
      <c r="E10221" t="str">
        <f>"$ 436"</f>
        <v>$ 436</v>
      </c>
      <c r="F10221">
        <v>301</v>
      </c>
    </row>
    <row r="10222" spans="1:6">
      <c r="A10222" t="s">
        <v>10075</v>
      </c>
      <c r="B10222" t="str">
        <f t="shared" si="385"/>
        <v>0.00006%</v>
      </c>
      <c r="C10222" t="s">
        <v>10</v>
      </c>
      <c r="D10222" t="s">
        <v>10</v>
      </c>
      <c r="E10222" t="str">
        <f>"$ 439"</f>
        <v>$ 439</v>
      </c>
      <c r="F10222">
        <v>291</v>
      </c>
    </row>
    <row r="10223" spans="1:6">
      <c r="A10223" t="s">
        <v>10076</v>
      </c>
      <c r="B10223" t="str">
        <f t="shared" si="385"/>
        <v>0.00006%</v>
      </c>
      <c r="C10223" t="s">
        <v>10</v>
      </c>
      <c r="D10223" t="s">
        <v>10</v>
      </c>
      <c r="E10223" t="str">
        <f>"$ 425"</f>
        <v>$ 425</v>
      </c>
      <c r="F10223">
        <v>364</v>
      </c>
    </row>
    <row r="10224" spans="1:6">
      <c r="A10224" t="s">
        <v>10077</v>
      </c>
      <c r="B10224" t="str">
        <f t="shared" si="385"/>
        <v>0.00006%</v>
      </c>
      <c r="C10224" t="s">
        <v>10</v>
      </c>
      <c r="D10224" t="s">
        <v>10</v>
      </c>
      <c r="E10224" t="str">
        <f>"$ 482"</f>
        <v>$ 482</v>
      </c>
      <c r="F10224">
        <v>256</v>
      </c>
    </row>
    <row r="10225" spans="1:6">
      <c r="A10225" t="s">
        <v>9845</v>
      </c>
      <c r="B10225" t="str">
        <f t="shared" si="385"/>
        <v>0.00006%</v>
      </c>
      <c r="C10225" t="s">
        <v>10</v>
      </c>
      <c r="D10225" t="s">
        <v>10</v>
      </c>
      <c r="E10225" t="str">
        <f>"$ 443"</f>
        <v>$ 443</v>
      </c>
      <c r="F10225">
        <v>552</v>
      </c>
    </row>
    <row r="10226" spans="1:6">
      <c r="A10226" t="s">
        <v>10078</v>
      </c>
      <c r="B10226" t="str">
        <f t="shared" si="385"/>
        <v>0.00006%</v>
      </c>
      <c r="C10226" t="s">
        <v>10</v>
      </c>
      <c r="D10226" t="s">
        <v>10</v>
      </c>
      <c r="E10226" t="str">
        <f>"$ 447"</f>
        <v>$ 447</v>
      </c>
      <c r="F10226">
        <v>97</v>
      </c>
    </row>
    <row r="10227" spans="1:6">
      <c r="A10227" t="s">
        <v>10079</v>
      </c>
      <c r="B10227" t="str">
        <f t="shared" si="385"/>
        <v>0.00006%</v>
      </c>
      <c r="C10227" t="s">
        <v>10</v>
      </c>
      <c r="D10227" t="s">
        <v>10</v>
      </c>
      <c r="E10227" t="str">
        <f>"$ 464"</f>
        <v>$ 464</v>
      </c>
      <c r="F10227">
        <v>456</v>
      </c>
    </row>
    <row r="10228" spans="1:6">
      <c r="A10228" t="s">
        <v>10080</v>
      </c>
      <c r="B10228" t="str">
        <f t="shared" si="385"/>
        <v>0.00006%</v>
      </c>
      <c r="C10228" t="s">
        <v>10</v>
      </c>
      <c r="D10228" t="s">
        <v>10</v>
      </c>
      <c r="E10228" t="str">
        <f>"$ 469"</f>
        <v>$ 469</v>
      </c>
      <c r="F10228">
        <v>247</v>
      </c>
    </row>
    <row r="10229" spans="1:6">
      <c r="A10229" t="s">
        <v>10081</v>
      </c>
      <c r="B10229" t="str">
        <f t="shared" si="385"/>
        <v>0.00006%</v>
      </c>
      <c r="C10229" t="s">
        <v>10</v>
      </c>
      <c r="D10229" t="s">
        <v>10</v>
      </c>
      <c r="E10229" t="str">
        <f>"$ 459"</f>
        <v>$ 459</v>
      </c>
      <c r="F10229">
        <v>384</v>
      </c>
    </row>
    <row r="10230" spans="1:6">
      <c r="A10230" t="s">
        <v>10082</v>
      </c>
      <c r="B10230" t="str">
        <f t="shared" si="385"/>
        <v>0.00006%</v>
      </c>
      <c r="C10230" t="s">
        <v>10</v>
      </c>
      <c r="D10230" t="s">
        <v>10</v>
      </c>
      <c r="E10230" t="str">
        <f>"$ 500"</f>
        <v>$ 500</v>
      </c>
      <c r="F10230">
        <v>66</v>
      </c>
    </row>
    <row r="10231" spans="1:6">
      <c r="A10231" t="s">
        <v>10083</v>
      </c>
      <c r="B10231" t="str">
        <f t="shared" si="385"/>
        <v>0.00006%</v>
      </c>
      <c r="C10231" t="s">
        <v>10</v>
      </c>
      <c r="D10231" t="s">
        <v>10</v>
      </c>
      <c r="E10231" t="str">
        <f>"$ 498"</f>
        <v>$ 498</v>
      </c>
      <c r="F10231">
        <v>87</v>
      </c>
    </row>
    <row r="10232" spans="1:6">
      <c r="A10232" t="s">
        <v>10084</v>
      </c>
      <c r="B10232" t="str">
        <f t="shared" si="385"/>
        <v>0.00006%</v>
      </c>
      <c r="C10232" t="s">
        <v>10</v>
      </c>
      <c r="D10232" t="s">
        <v>10</v>
      </c>
      <c r="E10232" t="str">
        <f>"$ 502"</f>
        <v>$ 502</v>
      </c>
      <c r="F10232">
        <v>62</v>
      </c>
    </row>
    <row r="10233" spans="1:6">
      <c r="A10233" t="s">
        <v>10085</v>
      </c>
      <c r="B10233" t="str">
        <f t="shared" si="385"/>
        <v>0.00006%</v>
      </c>
      <c r="C10233" t="s">
        <v>10</v>
      </c>
      <c r="D10233" t="s">
        <v>10</v>
      </c>
      <c r="E10233" t="str">
        <f>"$ 458"</f>
        <v>$ 458</v>
      </c>
      <c r="F10233">
        <v>81</v>
      </c>
    </row>
    <row r="10234" spans="1:6">
      <c r="A10234" t="s">
        <v>10086</v>
      </c>
      <c r="B10234" t="str">
        <f t="shared" si="385"/>
        <v>0.00006%</v>
      </c>
      <c r="C10234" t="s">
        <v>10</v>
      </c>
      <c r="D10234" t="s">
        <v>10</v>
      </c>
      <c r="E10234" t="str">
        <f>"$ 487"</f>
        <v>$ 487</v>
      </c>
      <c r="F10234" s="1">
        <v>1268</v>
      </c>
    </row>
    <row r="10235" spans="1:6">
      <c r="A10235" t="s">
        <v>10087</v>
      </c>
      <c r="B10235" t="str">
        <f t="shared" si="385"/>
        <v>0.00006%</v>
      </c>
      <c r="C10235" t="s">
        <v>10</v>
      </c>
      <c r="D10235" t="s">
        <v>10</v>
      </c>
      <c r="E10235" t="str">
        <f>"$ 491"</f>
        <v>$ 491</v>
      </c>
      <c r="F10235">
        <v>32</v>
      </c>
    </row>
    <row r="10236" spans="1:6">
      <c r="A10236" t="s">
        <v>10088</v>
      </c>
      <c r="B10236" t="str">
        <f t="shared" si="385"/>
        <v>0.00006%</v>
      </c>
      <c r="C10236" t="s">
        <v>10</v>
      </c>
      <c r="D10236" t="s">
        <v>10</v>
      </c>
      <c r="E10236" t="str">
        <f>"$ 500"</f>
        <v>$ 500</v>
      </c>
      <c r="F10236">
        <v>87</v>
      </c>
    </row>
    <row r="10237" spans="1:6">
      <c r="A10237" t="s">
        <v>10089</v>
      </c>
      <c r="B10237" t="str">
        <f t="shared" si="385"/>
        <v>0.00006%</v>
      </c>
      <c r="C10237" t="s">
        <v>10</v>
      </c>
      <c r="D10237" t="s">
        <v>10</v>
      </c>
      <c r="E10237" t="str">
        <f>"$ 450"</f>
        <v>$ 450</v>
      </c>
      <c r="F10237">
        <v>39</v>
      </c>
    </row>
    <row r="10238" spans="1:6">
      <c r="A10238" t="s">
        <v>10090</v>
      </c>
      <c r="B10238" t="str">
        <f t="shared" si="385"/>
        <v>0.00006%</v>
      </c>
      <c r="C10238" t="s">
        <v>10</v>
      </c>
      <c r="D10238" t="s">
        <v>10</v>
      </c>
      <c r="E10238" t="str">
        <f>"$ 447"</f>
        <v>$ 447</v>
      </c>
      <c r="F10238">
        <v>74</v>
      </c>
    </row>
    <row r="10239" spans="1:6">
      <c r="A10239" t="s">
        <v>10091</v>
      </c>
      <c r="B10239" t="str">
        <f t="shared" si="385"/>
        <v>0.00006%</v>
      </c>
      <c r="C10239" t="s">
        <v>10</v>
      </c>
      <c r="D10239" t="s">
        <v>10</v>
      </c>
      <c r="E10239" t="str">
        <f>"$ 463"</f>
        <v>$ 463</v>
      </c>
      <c r="F10239">
        <v>158</v>
      </c>
    </row>
    <row r="10240" spans="1:6">
      <c r="A10240" t="s">
        <v>10092</v>
      </c>
      <c r="B10240" t="str">
        <f t="shared" si="385"/>
        <v>0.00006%</v>
      </c>
      <c r="C10240" t="s">
        <v>10</v>
      </c>
      <c r="D10240" t="s">
        <v>10</v>
      </c>
      <c r="E10240" t="str">
        <f>"$ 498"</f>
        <v>$ 498</v>
      </c>
      <c r="F10240">
        <v>169</v>
      </c>
    </row>
    <row r="10241" spans="1:6">
      <c r="A10241" t="s">
        <v>10093</v>
      </c>
      <c r="B10241" t="str">
        <f t="shared" si="385"/>
        <v>0.00006%</v>
      </c>
      <c r="C10241" t="s">
        <v>10</v>
      </c>
      <c r="D10241" t="s">
        <v>10</v>
      </c>
      <c r="E10241" t="str">
        <f>"$ 492"</f>
        <v>$ 492</v>
      </c>
      <c r="F10241">
        <v>35</v>
      </c>
    </row>
    <row r="10242" spans="1:6">
      <c r="A10242" t="s">
        <v>10094</v>
      </c>
      <c r="B10242" t="str">
        <f t="shared" si="385"/>
        <v>0.00006%</v>
      </c>
      <c r="C10242" t="s">
        <v>10</v>
      </c>
      <c r="D10242" t="s">
        <v>10</v>
      </c>
      <c r="E10242" t="str">
        <f>"$ 470"</f>
        <v>$ 470</v>
      </c>
      <c r="F10242">
        <v>51</v>
      </c>
    </row>
    <row r="10243" spans="1:6">
      <c r="A10243" t="s">
        <v>10095</v>
      </c>
      <c r="B10243" t="str">
        <f t="shared" si="385"/>
        <v>0.00006%</v>
      </c>
      <c r="C10243" t="s">
        <v>10</v>
      </c>
      <c r="D10243" t="s">
        <v>10</v>
      </c>
      <c r="E10243" t="str">
        <f>"$ 450"</f>
        <v>$ 450</v>
      </c>
      <c r="F10243">
        <v>28</v>
      </c>
    </row>
    <row r="10244" spans="1:6">
      <c r="A10244" t="s">
        <v>10096</v>
      </c>
      <c r="B10244" t="str">
        <f t="shared" si="385"/>
        <v>0.00006%</v>
      </c>
      <c r="C10244" t="s">
        <v>10</v>
      </c>
      <c r="D10244" t="s">
        <v>10</v>
      </c>
      <c r="E10244" t="str">
        <f>"$ 453"</f>
        <v>$ 453</v>
      </c>
      <c r="F10244">
        <v>90</v>
      </c>
    </row>
    <row r="10245" spans="1:6">
      <c r="A10245" t="s">
        <v>10097</v>
      </c>
      <c r="B10245" t="str">
        <f t="shared" si="385"/>
        <v>0.00006%</v>
      </c>
      <c r="C10245" t="s">
        <v>10</v>
      </c>
      <c r="D10245" t="s">
        <v>10</v>
      </c>
      <c r="E10245" t="str">
        <f>"$ 485"</f>
        <v>$ 485</v>
      </c>
      <c r="F10245">
        <v>81</v>
      </c>
    </row>
    <row r="10246" spans="1:6">
      <c r="A10246" t="s">
        <v>10098</v>
      </c>
      <c r="B10246" t="str">
        <f t="shared" si="385"/>
        <v>0.00006%</v>
      </c>
      <c r="C10246" t="s">
        <v>10</v>
      </c>
      <c r="D10246" t="s">
        <v>10</v>
      </c>
      <c r="E10246" t="str">
        <f>"$ 482"</f>
        <v>$ 482</v>
      </c>
      <c r="F10246">
        <v>24</v>
      </c>
    </row>
    <row r="10247" spans="1:6">
      <c r="A10247" t="s">
        <v>10099</v>
      </c>
      <c r="B10247" t="str">
        <f t="shared" si="385"/>
        <v>0.00006%</v>
      </c>
      <c r="C10247" t="s">
        <v>10</v>
      </c>
      <c r="D10247" t="s">
        <v>10</v>
      </c>
      <c r="E10247" t="str">
        <f>"$ 480"</f>
        <v>$ 480</v>
      </c>
      <c r="F10247">
        <v>191</v>
      </c>
    </row>
    <row r="10248" spans="1:6">
      <c r="A10248" t="s">
        <v>10100</v>
      </c>
      <c r="B10248" t="str">
        <f t="shared" si="385"/>
        <v>0.00006%</v>
      </c>
      <c r="C10248" t="s">
        <v>10</v>
      </c>
      <c r="D10248" t="s">
        <v>10</v>
      </c>
      <c r="E10248" t="str">
        <f>"$ 481"</f>
        <v>$ 481</v>
      </c>
      <c r="F10248">
        <v>176</v>
      </c>
    </row>
    <row r="10249" spans="1:6">
      <c r="A10249" t="s">
        <v>10101</v>
      </c>
      <c r="B10249" t="str">
        <f t="shared" si="385"/>
        <v>0.00006%</v>
      </c>
      <c r="C10249" t="s">
        <v>10</v>
      </c>
      <c r="D10249" t="s">
        <v>10</v>
      </c>
      <c r="E10249" t="str">
        <f>"$ 477"</f>
        <v>$ 477</v>
      </c>
      <c r="F10249">
        <v>75</v>
      </c>
    </row>
    <row r="10250" spans="1:6">
      <c r="A10250" t="s">
        <v>10102</v>
      </c>
      <c r="B10250" t="str">
        <f t="shared" si="385"/>
        <v>0.00006%</v>
      </c>
      <c r="C10250" t="s">
        <v>10</v>
      </c>
      <c r="D10250" t="s">
        <v>10</v>
      </c>
      <c r="E10250" t="str">
        <f>"$ 487"</f>
        <v>$ 487</v>
      </c>
      <c r="F10250">
        <v>184</v>
      </c>
    </row>
    <row r="10251" spans="1:6">
      <c r="A10251" t="s">
        <v>10103</v>
      </c>
      <c r="B10251" t="str">
        <f t="shared" si="385"/>
        <v>0.00006%</v>
      </c>
      <c r="C10251" t="s">
        <v>10</v>
      </c>
      <c r="D10251" t="s">
        <v>10</v>
      </c>
      <c r="E10251" t="str">
        <f>"$ 498"</f>
        <v>$ 498</v>
      </c>
      <c r="F10251">
        <v>300</v>
      </c>
    </row>
    <row r="10252" spans="1:6">
      <c r="A10252" t="s">
        <v>10104</v>
      </c>
      <c r="B10252" t="str">
        <f t="shared" si="385"/>
        <v>0.00006%</v>
      </c>
      <c r="C10252" t="s">
        <v>10</v>
      </c>
      <c r="D10252" t="s">
        <v>10</v>
      </c>
      <c r="E10252" t="str">
        <f>"$ 496"</f>
        <v>$ 496</v>
      </c>
      <c r="F10252">
        <v>464</v>
      </c>
    </row>
    <row r="10253" spans="1:6">
      <c r="A10253" t="s">
        <v>10105</v>
      </c>
      <c r="B10253" t="str">
        <f t="shared" si="385"/>
        <v>0.00006%</v>
      </c>
      <c r="C10253" t="s">
        <v>10</v>
      </c>
      <c r="D10253" t="s">
        <v>10</v>
      </c>
      <c r="E10253" t="str">
        <f>"$ 501"</f>
        <v>$ 501</v>
      </c>
      <c r="F10253">
        <v>527</v>
      </c>
    </row>
    <row r="10254" spans="1:6">
      <c r="A10254" t="s">
        <v>10106</v>
      </c>
      <c r="B10254" t="str">
        <f t="shared" si="385"/>
        <v>0.00006%</v>
      </c>
      <c r="C10254" t="s">
        <v>10</v>
      </c>
      <c r="D10254" t="s">
        <v>10</v>
      </c>
      <c r="E10254" t="str">
        <f>"$ 456"</f>
        <v>$ 456</v>
      </c>
      <c r="F10254">
        <v>202</v>
      </c>
    </row>
    <row r="10255" spans="1:6">
      <c r="A10255" t="s">
        <v>10107</v>
      </c>
      <c r="B10255" t="str">
        <f t="shared" si="385"/>
        <v>0.00006%</v>
      </c>
      <c r="C10255" t="s">
        <v>10</v>
      </c>
      <c r="D10255" t="s">
        <v>10</v>
      </c>
      <c r="E10255" t="str">
        <f>"$ 451"</f>
        <v>$ 451</v>
      </c>
      <c r="F10255">
        <v>99</v>
      </c>
    </row>
    <row r="10256" spans="1:6">
      <c r="A10256" t="s">
        <v>10108</v>
      </c>
      <c r="B10256" t="str">
        <f t="shared" si="385"/>
        <v>0.00006%</v>
      </c>
      <c r="C10256" t="s">
        <v>10</v>
      </c>
      <c r="D10256" t="s">
        <v>10</v>
      </c>
      <c r="E10256" t="str">
        <f>"$ 448"</f>
        <v>$ 448</v>
      </c>
      <c r="F10256">
        <v>315</v>
      </c>
    </row>
    <row r="10257" spans="1:6">
      <c r="A10257" t="s">
        <v>10109</v>
      </c>
      <c r="B10257" t="str">
        <f t="shared" si="385"/>
        <v>0.00006%</v>
      </c>
      <c r="C10257" t="s">
        <v>10</v>
      </c>
      <c r="D10257" t="s">
        <v>10</v>
      </c>
      <c r="E10257" t="str">
        <f>"$ 448"</f>
        <v>$ 448</v>
      </c>
      <c r="F10257">
        <v>223</v>
      </c>
    </row>
    <row r="10258" spans="1:6">
      <c r="A10258" t="s">
        <v>10110</v>
      </c>
      <c r="B10258" t="str">
        <f t="shared" si="385"/>
        <v>0.00006%</v>
      </c>
      <c r="C10258" t="s">
        <v>10</v>
      </c>
      <c r="D10258" t="s">
        <v>10</v>
      </c>
      <c r="E10258" t="str">
        <f>"$ 463"</f>
        <v>$ 463</v>
      </c>
      <c r="F10258">
        <v>490</v>
      </c>
    </row>
    <row r="10259" spans="1:6">
      <c r="A10259" t="s">
        <v>10111</v>
      </c>
      <c r="B10259" t="str">
        <f t="shared" si="385"/>
        <v>0.00006%</v>
      </c>
      <c r="C10259" t="s">
        <v>10</v>
      </c>
      <c r="D10259" t="s">
        <v>10</v>
      </c>
      <c r="E10259" t="str">
        <f>"$ 461"</f>
        <v>$ 461</v>
      </c>
      <c r="F10259">
        <v>351</v>
      </c>
    </row>
    <row r="10260" spans="1:6">
      <c r="A10260" t="s">
        <v>10112</v>
      </c>
      <c r="B10260" t="str">
        <f t="shared" si="385"/>
        <v>0.00006%</v>
      </c>
      <c r="C10260" t="s">
        <v>10</v>
      </c>
      <c r="D10260" t="s">
        <v>10</v>
      </c>
      <c r="E10260" t="str">
        <f>"$ 459"</f>
        <v>$ 459</v>
      </c>
      <c r="F10260">
        <v>189</v>
      </c>
    </row>
    <row r="10261" spans="1:6">
      <c r="A10261" t="s">
        <v>10113</v>
      </c>
      <c r="B10261" t="str">
        <f t="shared" si="385"/>
        <v>0.00006%</v>
      </c>
      <c r="C10261" t="s">
        <v>10</v>
      </c>
      <c r="D10261" t="s">
        <v>10</v>
      </c>
      <c r="E10261" t="str">
        <f>"$ 434"</f>
        <v>$ 434</v>
      </c>
      <c r="F10261">
        <v>191</v>
      </c>
    </row>
    <row r="10262" spans="1:6">
      <c r="A10262" t="s">
        <v>10114</v>
      </c>
      <c r="B10262" t="str">
        <f t="shared" si="385"/>
        <v>0.00006%</v>
      </c>
      <c r="C10262" t="s">
        <v>10</v>
      </c>
      <c r="D10262" t="s">
        <v>10</v>
      </c>
      <c r="E10262" t="str">
        <f>"$ 434"</f>
        <v>$ 434</v>
      </c>
      <c r="F10262">
        <v>58</v>
      </c>
    </row>
    <row r="10263" spans="1:6">
      <c r="A10263" t="s">
        <v>9642</v>
      </c>
      <c r="B10263" t="str">
        <f t="shared" si="385"/>
        <v>0.00006%</v>
      </c>
      <c r="C10263" t="s">
        <v>10</v>
      </c>
      <c r="D10263" t="s">
        <v>10</v>
      </c>
      <c r="E10263" t="str">
        <f>"$ 476"</f>
        <v>$ 476</v>
      </c>
      <c r="F10263">
        <v>168</v>
      </c>
    </row>
    <row r="10264" spans="1:6">
      <c r="A10264" t="s">
        <v>10115</v>
      </c>
      <c r="B10264" t="str">
        <f t="shared" si="385"/>
        <v>0.00006%</v>
      </c>
      <c r="C10264" t="s">
        <v>10</v>
      </c>
      <c r="D10264" t="s">
        <v>10</v>
      </c>
      <c r="E10264" t="str">
        <f>"$ 474"</f>
        <v>$ 474</v>
      </c>
      <c r="F10264">
        <v>333</v>
      </c>
    </row>
    <row r="10265" spans="1:6">
      <c r="A10265" t="s">
        <v>10116</v>
      </c>
      <c r="B10265" t="str">
        <f t="shared" si="385"/>
        <v>0.00006%</v>
      </c>
      <c r="C10265" t="s">
        <v>10</v>
      </c>
      <c r="D10265" t="s">
        <v>10</v>
      </c>
      <c r="E10265" t="str">
        <f>"$ 476"</f>
        <v>$ 476</v>
      </c>
      <c r="F10265">
        <v>276</v>
      </c>
    </row>
    <row r="10266" spans="1:6">
      <c r="A10266" t="s">
        <v>10117</v>
      </c>
      <c r="B10266" t="str">
        <f t="shared" si="385"/>
        <v>0.00006%</v>
      </c>
      <c r="C10266" t="s">
        <v>10</v>
      </c>
      <c r="D10266" t="s">
        <v>10</v>
      </c>
      <c r="E10266" t="str">
        <f>"$ 476"</f>
        <v>$ 476</v>
      </c>
      <c r="F10266">
        <v>207</v>
      </c>
    </row>
    <row r="10267" spans="1:6">
      <c r="A10267" t="s">
        <v>10118</v>
      </c>
      <c r="B10267" t="str">
        <f t="shared" si="385"/>
        <v>0.00006%</v>
      </c>
      <c r="C10267" t="s">
        <v>10</v>
      </c>
      <c r="D10267" t="s">
        <v>10</v>
      </c>
      <c r="E10267" t="str">
        <f>"$ 438"</f>
        <v>$ 438</v>
      </c>
      <c r="F10267">
        <v>125</v>
      </c>
    </row>
    <row r="10268" spans="1:6">
      <c r="A10268" t="s">
        <v>10119</v>
      </c>
      <c r="B10268" t="str">
        <f t="shared" si="385"/>
        <v>0.00006%</v>
      </c>
      <c r="C10268" t="s">
        <v>10</v>
      </c>
      <c r="D10268" t="s">
        <v>10</v>
      </c>
      <c r="E10268" t="str">
        <f>"$ 428"</f>
        <v>$ 428</v>
      </c>
      <c r="F10268">
        <v>245</v>
      </c>
    </row>
    <row r="10269" spans="1:6">
      <c r="A10269" t="s">
        <v>10120</v>
      </c>
      <c r="B10269" t="str">
        <f t="shared" si="385"/>
        <v>0.00006%</v>
      </c>
      <c r="C10269" t="s">
        <v>10</v>
      </c>
      <c r="D10269" t="s">
        <v>10</v>
      </c>
      <c r="E10269" t="str">
        <f>"$ 473"</f>
        <v>$ 473</v>
      </c>
      <c r="F10269" s="1">
        <v>11547</v>
      </c>
    </row>
    <row r="10270" spans="1:6">
      <c r="A10270" t="s">
        <v>10121</v>
      </c>
      <c r="B10270" t="str">
        <f t="shared" si="385"/>
        <v>0.00006%</v>
      </c>
      <c r="C10270" t="s">
        <v>10</v>
      </c>
      <c r="D10270" t="s">
        <v>10</v>
      </c>
      <c r="E10270" t="str">
        <f>"$ 467"</f>
        <v>$ 467</v>
      </c>
      <c r="F10270" s="1">
        <v>1650</v>
      </c>
    </row>
    <row r="10271" spans="1:6">
      <c r="A10271" t="s">
        <v>10122</v>
      </c>
      <c r="B10271" t="str">
        <f t="shared" si="385"/>
        <v>0.00006%</v>
      </c>
      <c r="C10271" t="s">
        <v>10</v>
      </c>
      <c r="D10271" t="s">
        <v>10</v>
      </c>
      <c r="E10271" t="str">
        <f>"$ 492"</f>
        <v>$ 492</v>
      </c>
      <c r="F10271">
        <v>391</v>
      </c>
    </row>
    <row r="10272" spans="1:6">
      <c r="A10272" t="s">
        <v>10123</v>
      </c>
      <c r="B10272" t="str">
        <f t="shared" si="385"/>
        <v>0.00006%</v>
      </c>
      <c r="C10272" t="s">
        <v>10</v>
      </c>
      <c r="D10272" t="s">
        <v>10</v>
      </c>
      <c r="E10272" t="str">
        <f>"$ 452"</f>
        <v>$ 452</v>
      </c>
      <c r="F10272">
        <v>598</v>
      </c>
    </row>
    <row r="10273" spans="1:6">
      <c r="A10273" t="s">
        <v>8771</v>
      </c>
      <c r="B10273" t="str">
        <f t="shared" si="385"/>
        <v>0.00006%</v>
      </c>
      <c r="C10273" t="s">
        <v>10</v>
      </c>
      <c r="D10273" t="s">
        <v>10</v>
      </c>
      <c r="E10273" t="str">
        <f>"$ 447"</f>
        <v>$ 447</v>
      </c>
      <c r="F10273">
        <v>122</v>
      </c>
    </row>
    <row r="10274" spans="1:6">
      <c r="A10274" t="s">
        <v>10124</v>
      </c>
      <c r="B10274" t="str">
        <f t="shared" ref="B10274:B10337" si="386">"0.00006%"</f>
        <v>0.00006%</v>
      </c>
      <c r="C10274" t="s">
        <v>10</v>
      </c>
      <c r="D10274" t="s">
        <v>10</v>
      </c>
      <c r="E10274" t="str">
        <f>"$ 444"</f>
        <v>$ 444</v>
      </c>
      <c r="F10274">
        <v>270</v>
      </c>
    </row>
    <row r="10275" spans="1:6">
      <c r="A10275" t="s">
        <v>10125</v>
      </c>
      <c r="B10275" t="str">
        <f t="shared" si="386"/>
        <v>0.00006%</v>
      </c>
      <c r="C10275" t="s">
        <v>10</v>
      </c>
      <c r="D10275" t="s">
        <v>10</v>
      </c>
      <c r="E10275" t="str">
        <f>"$ 431"</f>
        <v>$ 431</v>
      </c>
      <c r="F10275">
        <v>194</v>
      </c>
    </row>
    <row r="10276" spans="1:6">
      <c r="A10276" t="s">
        <v>10126</v>
      </c>
      <c r="B10276" t="str">
        <f t="shared" si="386"/>
        <v>0.00006%</v>
      </c>
      <c r="C10276" t="s">
        <v>10</v>
      </c>
      <c r="D10276" t="s">
        <v>10</v>
      </c>
      <c r="E10276" t="str">
        <f>"$ 430"</f>
        <v>$ 430</v>
      </c>
      <c r="F10276">
        <v>395</v>
      </c>
    </row>
    <row r="10277" spans="1:6">
      <c r="A10277" t="s">
        <v>10127</v>
      </c>
      <c r="B10277" t="str">
        <f t="shared" si="386"/>
        <v>0.00006%</v>
      </c>
      <c r="C10277" t="s">
        <v>10</v>
      </c>
      <c r="D10277" t="s">
        <v>10</v>
      </c>
      <c r="E10277" t="str">
        <f>"$ 427"</f>
        <v>$ 427</v>
      </c>
      <c r="F10277">
        <v>322</v>
      </c>
    </row>
    <row r="10278" spans="1:6">
      <c r="A10278" t="s">
        <v>10128</v>
      </c>
      <c r="B10278" t="str">
        <f t="shared" si="386"/>
        <v>0.00006%</v>
      </c>
      <c r="C10278" t="s">
        <v>10</v>
      </c>
      <c r="D10278" t="s">
        <v>10</v>
      </c>
      <c r="E10278" t="str">
        <f>"$ 437"</f>
        <v>$ 437</v>
      </c>
      <c r="F10278">
        <v>144</v>
      </c>
    </row>
    <row r="10279" spans="1:6">
      <c r="A10279" t="s">
        <v>10129</v>
      </c>
      <c r="B10279" t="str">
        <f t="shared" si="386"/>
        <v>0.00006%</v>
      </c>
      <c r="C10279" t="s">
        <v>10</v>
      </c>
      <c r="D10279" t="s">
        <v>10</v>
      </c>
      <c r="E10279" t="str">
        <f>"$ 485"</f>
        <v>$ 485</v>
      </c>
      <c r="F10279">
        <v>32</v>
      </c>
    </row>
    <row r="10280" spans="1:6">
      <c r="A10280" t="s">
        <v>10130</v>
      </c>
      <c r="B10280" t="str">
        <f t="shared" si="386"/>
        <v>0.00006%</v>
      </c>
      <c r="C10280" t="s">
        <v>10</v>
      </c>
      <c r="D10280" t="s">
        <v>10</v>
      </c>
      <c r="E10280" t="str">
        <f>"$ 465"</f>
        <v>$ 465</v>
      </c>
      <c r="F10280">
        <v>16</v>
      </c>
    </row>
    <row r="10281" spans="1:6">
      <c r="A10281" t="s">
        <v>10131</v>
      </c>
      <c r="B10281" t="str">
        <f t="shared" si="386"/>
        <v>0.00006%</v>
      </c>
      <c r="C10281" t="s">
        <v>10</v>
      </c>
      <c r="D10281" t="s">
        <v>10</v>
      </c>
      <c r="E10281" t="str">
        <f>"$ 437"</f>
        <v>$ 437</v>
      </c>
      <c r="F10281">
        <v>471</v>
      </c>
    </row>
    <row r="10282" spans="1:6">
      <c r="A10282" t="s">
        <v>10132</v>
      </c>
      <c r="B10282" t="str">
        <f t="shared" si="386"/>
        <v>0.00006%</v>
      </c>
      <c r="C10282" t="s">
        <v>10</v>
      </c>
      <c r="D10282" t="s">
        <v>10</v>
      </c>
      <c r="E10282" t="str">
        <f>"$ 468"</f>
        <v>$ 468</v>
      </c>
      <c r="F10282">
        <v>37</v>
      </c>
    </row>
    <row r="10283" spans="1:6">
      <c r="A10283" t="s">
        <v>10133</v>
      </c>
      <c r="B10283" t="str">
        <f t="shared" si="386"/>
        <v>0.00006%</v>
      </c>
      <c r="C10283" t="s">
        <v>10</v>
      </c>
      <c r="D10283" t="s">
        <v>10</v>
      </c>
      <c r="E10283" t="str">
        <f>"$ 501"</f>
        <v>$ 501</v>
      </c>
      <c r="F10283">
        <v>391</v>
      </c>
    </row>
    <row r="10284" spans="1:6">
      <c r="A10284" t="s">
        <v>10134</v>
      </c>
      <c r="B10284" t="str">
        <f t="shared" si="386"/>
        <v>0.00006%</v>
      </c>
      <c r="C10284" t="s">
        <v>10</v>
      </c>
      <c r="D10284" t="s">
        <v>10</v>
      </c>
      <c r="E10284" t="str">
        <f>"$ 430"</f>
        <v>$ 430</v>
      </c>
      <c r="F10284">
        <v>550</v>
      </c>
    </row>
    <row r="10285" spans="1:6">
      <c r="A10285" t="s">
        <v>10135</v>
      </c>
      <c r="B10285" t="str">
        <f t="shared" si="386"/>
        <v>0.00006%</v>
      </c>
      <c r="C10285" t="s">
        <v>10</v>
      </c>
      <c r="D10285" t="s">
        <v>10</v>
      </c>
      <c r="E10285" t="str">
        <f>"$ 481"</f>
        <v>$ 481</v>
      </c>
      <c r="F10285">
        <v>145</v>
      </c>
    </row>
    <row r="10286" spans="1:6">
      <c r="A10286" t="s">
        <v>10136</v>
      </c>
      <c r="B10286" t="str">
        <f t="shared" si="386"/>
        <v>0.00006%</v>
      </c>
      <c r="C10286" t="s">
        <v>10</v>
      </c>
      <c r="D10286" t="s">
        <v>10</v>
      </c>
      <c r="E10286" t="str">
        <f>"$ 469"</f>
        <v>$ 469</v>
      </c>
      <c r="F10286">
        <v>49</v>
      </c>
    </row>
    <row r="10287" spans="1:6">
      <c r="A10287" t="s">
        <v>10137</v>
      </c>
      <c r="B10287" t="str">
        <f t="shared" si="386"/>
        <v>0.00006%</v>
      </c>
      <c r="C10287" t="s">
        <v>10</v>
      </c>
      <c r="D10287" t="s">
        <v>10</v>
      </c>
      <c r="E10287" t="str">
        <f>"$ 458"</f>
        <v>$ 458</v>
      </c>
      <c r="F10287">
        <v>78</v>
      </c>
    </row>
    <row r="10288" spans="1:6">
      <c r="A10288" t="s">
        <v>10138</v>
      </c>
      <c r="B10288" t="str">
        <f t="shared" si="386"/>
        <v>0.00006%</v>
      </c>
      <c r="C10288" t="s">
        <v>10</v>
      </c>
      <c r="D10288" t="s">
        <v>10</v>
      </c>
      <c r="E10288" t="str">
        <f>"$ 431"</f>
        <v>$ 431</v>
      </c>
      <c r="F10288">
        <v>422</v>
      </c>
    </row>
    <row r="10289" spans="1:6">
      <c r="A10289" t="s">
        <v>10139</v>
      </c>
      <c r="B10289" t="str">
        <f t="shared" si="386"/>
        <v>0.00006%</v>
      </c>
      <c r="C10289" t="s">
        <v>10</v>
      </c>
      <c r="D10289" t="s">
        <v>10</v>
      </c>
      <c r="E10289" t="str">
        <f>"$ 475"</f>
        <v>$ 475</v>
      </c>
      <c r="F10289">
        <v>792</v>
      </c>
    </row>
    <row r="10290" spans="1:6">
      <c r="A10290" t="s">
        <v>10140</v>
      </c>
      <c r="B10290" t="str">
        <f t="shared" si="386"/>
        <v>0.00006%</v>
      </c>
      <c r="C10290" t="s">
        <v>10</v>
      </c>
      <c r="D10290" t="s">
        <v>10</v>
      </c>
      <c r="E10290" t="str">
        <f>"$ 448"</f>
        <v>$ 448</v>
      </c>
      <c r="F10290">
        <v>92</v>
      </c>
    </row>
    <row r="10291" spans="1:6">
      <c r="A10291" t="s">
        <v>10141</v>
      </c>
      <c r="B10291" t="str">
        <f t="shared" si="386"/>
        <v>0.00006%</v>
      </c>
      <c r="C10291" t="s">
        <v>10</v>
      </c>
      <c r="D10291" t="s">
        <v>10</v>
      </c>
      <c r="E10291" t="str">
        <f>"$ 433"</f>
        <v>$ 433</v>
      </c>
      <c r="F10291">
        <v>190</v>
      </c>
    </row>
    <row r="10292" spans="1:6">
      <c r="A10292" t="s">
        <v>10142</v>
      </c>
      <c r="B10292" t="str">
        <f t="shared" si="386"/>
        <v>0.00006%</v>
      </c>
      <c r="C10292" t="s">
        <v>10</v>
      </c>
      <c r="D10292" t="s">
        <v>10</v>
      </c>
      <c r="E10292" t="str">
        <f>"$ 442"</f>
        <v>$ 442</v>
      </c>
      <c r="F10292">
        <v>339</v>
      </c>
    </row>
    <row r="10293" spans="1:6">
      <c r="A10293" t="s">
        <v>10143</v>
      </c>
      <c r="B10293" t="str">
        <f t="shared" si="386"/>
        <v>0.00006%</v>
      </c>
      <c r="C10293" t="s">
        <v>10</v>
      </c>
      <c r="D10293" t="s">
        <v>10</v>
      </c>
      <c r="E10293" t="str">
        <f>"$ 435"</f>
        <v>$ 435</v>
      </c>
      <c r="F10293">
        <v>152</v>
      </c>
    </row>
    <row r="10294" spans="1:6">
      <c r="A10294" t="s">
        <v>10144</v>
      </c>
      <c r="B10294" t="str">
        <f t="shared" si="386"/>
        <v>0.00006%</v>
      </c>
      <c r="C10294" t="s">
        <v>10</v>
      </c>
      <c r="D10294" t="s">
        <v>10</v>
      </c>
      <c r="E10294" t="str">
        <f>"$ 441"</f>
        <v>$ 441</v>
      </c>
      <c r="F10294">
        <v>667</v>
      </c>
    </row>
    <row r="10295" spans="1:6">
      <c r="A10295" t="s">
        <v>10145</v>
      </c>
      <c r="B10295" t="str">
        <f t="shared" si="386"/>
        <v>0.00006%</v>
      </c>
      <c r="C10295" t="s">
        <v>10</v>
      </c>
      <c r="D10295" t="s">
        <v>10</v>
      </c>
      <c r="E10295" t="str">
        <f>"$ 447"</f>
        <v>$ 447</v>
      </c>
      <c r="F10295" s="1">
        <v>3842</v>
      </c>
    </row>
    <row r="10296" spans="1:6">
      <c r="A10296" t="s">
        <v>8953</v>
      </c>
      <c r="B10296" t="str">
        <f t="shared" si="386"/>
        <v>0.00006%</v>
      </c>
      <c r="C10296" t="s">
        <v>10</v>
      </c>
      <c r="D10296" t="s">
        <v>10</v>
      </c>
      <c r="E10296" t="str">
        <f>"$ 475"</f>
        <v>$ 475</v>
      </c>
      <c r="F10296">
        <v>576</v>
      </c>
    </row>
    <row r="10297" spans="1:6">
      <c r="A10297" t="s">
        <v>10146</v>
      </c>
      <c r="B10297" t="str">
        <f t="shared" si="386"/>
        <v>0.00006%</v>
      </c>
      <c r="C10297" t="s">
        <v>10</v>
      </c>
      <c r="D10297" t="s">
        <v>10</v>
      </c>
      <c r="E10297" t="str">
        <f>"$ 501"</f>
        <v>$ 501</v>
      </c>
      <c r="F10297">
        <v>748</v>
      </c>
    </row>
    <row r="10298" spans="1:6">
      <c r="A10298" t="s">
        <v>10144</v>
      </c>
      <c r="B10298" t="str">
        <f t="shared" si="386"/>
        <v>0.00006%</v>
      </c>
      <c r="C10298" t="s">
        <v>10</v>
      </c>
      <c r="D10298" t="s">
        <v>10</v>
      </c>
      <c r="E10298" t="str">
        <f>"$ 475"</f>
        <v>$ 475</v>
      </c>
      <c r="F10298">
        <v>719</v>
      </c>
    </row>
    <row r="10299" spans="1:6">
      <c r="A10299" t="s">
        <v>10147</v>
      </c>
      <c r="B10299" t="str">
        <f t="shared" si="386"/>
        <v>0.00006%</v>
      </c>
      <c r="C10299" t="s">
        <v>10</v>
      </c>
      <c r="D10299" t="s">
        <v>10</v>
      </c>
      <c r="E10299" t="str">
        <f>"$ 485"</f>
        <v>$ 485</v>
      </c>
      <c r="F10299" s="1">
        <v>57236</v>
      </c>
    </row>
    <row r="10300" spans="1:6">
      <c r="A10300" t="s">
        <v>10148</v>
      </c>
      <c r="B10300" t="str">
        <f t="shared" si="386"/>
        <v>0.00006%</v>
      </c>
      <c r="C10300" t="s">
        <v>10</v>
      </c>
      <c r="D10300" t="s">
        <v>10</v>
      </c>
      <c r="E10300" t="str">
        <f>"$ 426"</f>
        <v>$ 426</v>
      </c>
      <c r="F10300">
        <v>113</v>
      </c>
    </row>
    <row r="10301" spans="1:6">
      <c r="A10301" t="s">
        <v>10149</v>
      </c>
      <c r="B10301" t="str">
        <f t="shared" si="386"/>
        <v>0.00006%</v>
      </c>
      <c r="C10301" t="s">
        <v>10</v>
      </c>
      <c r="D10301" t="s">
        <v>10</v>
      </c>
      <c r="E10301" t="str">
        <f>"$ 470"</f>
        <v>$ 470</v>
      </c>
      <c r="F10301" s="1">
        <v>1009</v>
      </c>
    </row>
    <row r="10302" spans="1:6">
      <c r="A10302" t="s">
        <v>10150</v>
      </c>
      <c r="B10302" t="str">
        <f t="shared" si="386"/>
        <v>0.00006%</v>
      </c>
      <c r="C10302" t="s">
        <v>10</v>
      </c>
      <c r="D10302" t="s">
        <v>10</v>
      </c>
      <c r="E10302" t="str">
        <f>"$ 426"</f>
        <v>$ 426</v>
      </c>
      <c r="F10302">
        <v>393</v>
      </c>
    </row>
    <row r="10303" spans="1:6">
      <c r="A10303" t="s">
        <v>10151</v>
      </c>
      <c r="B10303" t="str">
        <f t="shared" si="386"/>
        <v>0.00006%</v>
      </c>
      <c r="C10303" t="s">
        <v>10</v>
      </c>
      <c r="D10303" t="s">
        <v>10</v>
      </c>
      <c r="E10303" t="str">
        <f>"$ 425"</f>
        <v>$ 425</v>
      </c>
      <c r="F10303">
        <v>9</v>
      </c>
    </row>
    <row r="10304" spans="1:6">
      <c r="A10304" t="s">
        <v>10152</v>
      </c>
      <c r="B10304" t="str">
        <f t="shared" si="386"/>
        <v>0.00006%</v>
      </c>
      <c r="C10304" t="s">
        <v>10</v>
      </c>
      <c r="D10304" t="s">
        <v>10</v>
      </c>
      <c r="E10304" t="str">
        <f>"$ 448"</f>
        <v>$ 448</v>
      </c>
      <c r="F10304">
        <v>36</v>
      </c>
    </row>
    <row r="10305" spans="1:6">
      <c r="A10305" t="s">
        <v>10153</v>
      </c>
      <c r="B10305" t="str">
        <f t="shared" si="386"/>
        <v>0.00006%</v>
      </c>
      <c r="C10305" t="s">
        <v>10</v>
      </c>
      <c r="D10305" t="s">
        <v>10</v>
      </c>
      <c r="E10305" t="str">
        <f>"$ 492"</f>
        <v>$ 492</v>
      </c>
      <c r="F10305" s="1">
        <v>1425</v>
      </c>
    </row>
    <row r="10306" spans="1:6">
      <c r="A10306" t="s">
        <v>4353</v>
      </c>
      <c r="B10306" t="str">
        <f t="shared" si="386"/>
        <v>0.00006%</v>
      </c>
      <c r="C10306" t="s">
        <v>10</v>
      </c>
      <c r="D10306" t="s">
        <v>10</v>
      </c>
      <c r="E10306" t="str">
        <f>"$ 441"</f>
        <v>$ 441</v>
      </c>
      <c r="F10306">
        <v>570</v>
      </c>
    </row>
    <row r="10307" spans="1:6">
      <c r="A10307" t="s">
        <v>10154</v>
      </c>
      <c r="B10307" t="str">
        <f t="shared" si="386"/>
        <v>0.00006%</v>
      </c>
      <c r="C10307" t="s">
        <v>10</v>
      </c>
      <c r="D10307" t="s">
        <v>10</v>
      </c>
      <c r="E10307" t="str">
        <f>"$ 455"</f>
        <v>$ 455</v>
      </c>
      <c r="F10307">
        <v>19</v>
      </c>
    </row>
    <row r="10308" spans="1:6">
      <c r="A10308" t="s">
        <v>10155</v>
      </c>
      <c r="B10308" t="str">
        <f t="shared" si="386"/>
        <v>0.00006%</v>
      </c>
      <c r="C10308" t="s">
        <v>10</v>
      </c>
      <c r="D10308" t="s">
        <v>10</v>
      </c>
      <c r="E10308" t="str">
        <f>"$ 430"</f>
        <v>$ 430</v>
      </c>
      <c r="F10308">
        <v>586</v>
      </c>
    </row>
    <row r="10309" spans="1:6">
      <c r="A10309" t="s">
        <v>10156</v>
      </c>
      <c r="B10309" t="str">
        <f t="shared" si="386"/>
        <v>0.00006%</v>
      </c>
      <c r="C10309" t="s">
        <v>10</v>
      </c>
      <c r="D10309" t="s">
        <v>10</v>
      </c>
      <c r="E10309" t="str">
        <f>"$ 436"</f>
        <v>$ 436</v>
      </c>
      <c r="F10309">
        <v>715</v>
      </c>
    </row>
    <row r="10310" spans="1:6">
      <c r="A10310" t="s">
        <v>10157</v>
      </c>
      <c r="B10310" t="str">
        <f t="shared" si="386"/>
        <v>0.00006%</v>
      </c>
      <c r="C10310" t="s">
        <v>10</v>
      </c>
      <c r="D10310" t="s">
        <v>10</v>
      </c>
      <c r="E10310" t="str">
        <f>"$ 438"</f>
        <v>$ 438</v>
      </c>
      <c r="F10310">
        <v>66</v>
      </c>
    </row>
    <row r="10311" spans="1:6">
      <c r="A10311" t="s">
        <v>8796</v>
      </c>
      <c r="B10311" t="str">
        <f t="shared" si="386"/>
        <v>0.00006%</v>
      </c>
      <c r="C10311" t="s">
        <v>10</v>
      </c>
      <c r="D10311" t="s">
        <v>10</v>
      </c>
      <c r="E10311" t="str">
        <f>"$ 448"</f>
        <v>$ 448</v>
      </c>
      <c r="F10311">
        <v>444</v>
      </c>
    </row>
    <row r="10312" spans="1:6">
      <c r="A10312" t="s">
        <v>10158</v>
      </c>
      <c r="B10312" t="str">
        <f t="shared" si="386"/>
        <v>0.00006%</v>
      </c>
      <c r="C10312" t="s">
        <v>10</v>
      </c>
      <c r="D10312" t="s">
        <v>10</v>
      </c>
      <c r="E10312" t="str">
        <f>"$ 489"</f>
        <v>$ 489</v>
      </c>
      <c r="F10312">
        <v>4</v>
      </c>
    </row>
    <row r="10313" spans="1:6">
      <c r="A10313" t="s">
        <v>10159</v>
      </c>
      <c r="B10313" t="str">
        <f t="shared" si="386"/>
        <v>0.00006%</v>
      </c>
      <c r="C10313" t="s">
        <v>10</v>
      </c>
      <c r="D10313" t="s">
        <v>10</v>
      </c>
      <c r="E10313" t="str">
        <f>"$ 494"</f>
        <v>$ 494</v>
      </c>
      <c r="F10313">
        <v>700</v>
      </c>
    </row>
    <row r="10314" spans="1:6">
      <c r="A10314" t="s">
        <v>10160</v>
      </c>
      <c r="B10314" t="str">
        <f t="shared" si="386"/>
        <v>0.00006%</v>
      </c>
      <c r="C10314" t="s">
        <v>10</v>
      </c>
      <c r="D10314" t="s">
        <v>10</v>
      </c>
      <c r="E10314" t="str">
        <f>"$ 443"</f>
        <v>$ 443</v>
      </c>
      <c r="F10314">
        <v>234</v>
      </c>
    </row>
    <row r="10315" spans="1:6">
      <c r="A10315" t="s">
        <v>10161</v>
      </c>
      <c r="B10315" t="str">
        <f t="shared" si="386"/>
        <v>0.00006%</v>
      </c>
      <c r="C10315" t="s">
        <v>10</v>
      </c>
      <c r="D10315" t="s">
        <v>10</v>
      </c>
      <c r="E10315" t="str">
        <f>"$ 470"</f>
        <v>$ 470</v>
      </c>
      <c r="F10315">
        <v>591</v>
      </c>
    </row>
    <row r="10316" spans="1:6">
      <c r="A10316" t="s">
        <v>10162</v>
      </c>
      <c r="B10316" t="str">
        <f t="shared" si="386"/>
        <v>0.00006%</v>
      </c>
      <c r="C10316" t="s">
        <v>10</v>
      </c>
      <c r="D10316" t="s">
        <v>10</v>
      </c>
      <c r="E10316" t="str">
        <f>"$ 458"</f>
        <v>$ 458</v>
      </c>
      <c r="F10316">
        <v>943</v>
      </c>
    </row>
    <row r="10317" spans="1:6">
      <c r="A10317" t="s">
        <v>10163</v>
      </c>
      <c r="B10317" t="str">
        <f t="shared" si="386"/>
        <v>0.00006%</v>
      </c>
      <c r="C10317" t="s">
        <v>10</v>
      </c>
      <c r="D10317" t="s">
        <v>10</v>
      </c>
      <c r="E10317" t="str">
        <f>"$ 468"</f>
        <v>$ 468</v>
      </c>
      <c r="F10317">
        <v>282</v>
      </c>
    </row>
    <row r="10318" spans="1:6">
      <c r="A10318" t="s">
        <v>10164</v>
      </c>
      <c r="B10318" t="str">
        <f t="shared" si="386"/>
        <v>0.00006%</v>
      </c>
      <c r="C10318" t="s">
        <v>10</v>
      </c>
      <c r="D10318" t="s">
        <v>10</v>
      </c>
      <c r="E10318" t="str">
        <f>"$ 470"</f>
        <v>$ 470</v>
      </c>
      <c r="F10318">
        <v>358</v>
      </c>
    </row>
    <row r="10319" spans="1:6">
      <c r="A10319" t="s">
        <v>10165</v>
      </c>
      <c r="B10319" t="str">
        <f t="shared" si="386"/>
        <v>0.00006%</v>
      </c>
      <c r="C10319" t="s">
        <v>10</v>
      </c>
      <c r="D10319" t="s">
        <v>10</v>
      </c>
      <c r="E10319" t="str">
        <f>"$ 482"</f>
        <v>$ 482</v>
      </c>
      <c r="F10319">
        <v>643</v>
      </c>
    </row>
    <row r="10320" spans="1:6">
      <c r="A10320" t="s">
        <v>10166</v>
      </c>
      <c r="B10320" t="str">
        <f t="shared" si="386"/>
        <v>0.00006%</v>
      </c>
      <c r="C10320" t="s">
        <v>10</v>
      </c>
      <c r="D10320" t="s">
        <v>10</v>
      </c>
      <c r="E10320" t="str">
        <f>"$ 485"</f>
        <v>$ 485</v>
      </c>
      <c r="F10320">
        <v>313</v>
      </c>
    </row>
    <row r="10321" spans="1:6">
      <c r="A10321" t="s">
        <v>10167</v>
      </c>
      <c r="B10321" t="str">
        <f t="shared" si="386"/>
        <v>0.00006%</v>
      </c>
      <c r="C10321" t="s">
        <v>10</v>
      </c>
      <c r="D10321" t="s">
        <v>10</v>
      </c>
      <c r="E10321" t="str">
        <f>"$ 425"</f>
        <v>$ 425</v>
      </c>
      <c r="F10321">
        <v>403</v>
      </c>
    </row>
    <row r="10322" spans="1:6">
      <c r="A10322" t="s">
        <v>10168</v>
      </c>
      <c r="B10322" t="str">
        <f t="shared" si="386"/>
        <v>0.00006%</v>
      </c>
      <c r="C10322" t="s">
        <v>10</v>
      </c>
      <c r="D10322" t="s">
        <v>10</v>
      </c>
      <c r="E10322" t="str">
        <f>"$ 467"</f>
        <v>$ 467</v>
      </c>
      <c r="F10322" s="1">
        <v>2284</v>
      </c>
    </row>
    <row r="10323" spans="1:6">
      <c r="A10323" t="s">
        <v>10169</v>
      </c>
      <c r="B10323" t="str">
        <f t="shared" si="386"/>
        <v>0.00006%</v>
      </c>
      <c r="C10323" t="s">
        <v>10</v>
      </c>
      <c r="D10323" t="s">
        <v>10</v>
      </c>
      <c r="E10323" t="str">
        <f>"$ 491"</f>
        <v>$ 491</v>
      </c>
      <c r="F10323">
        <v>103</v>
      </c>
    </row>
    <row r="10324" spans="1:6">
      <c r="A10324" t="s">
        <v>10170</v>
      </c>
      <c r="B10324" t="str">
        <f t="shared" si="386"/>
        <v>0.00006%</v>
      </c>
      <c r="C10324" t="s">
        <v>10</v>
      </c>
      <c r="D10324" t="s">
        <v>10</v>
      </c>
      <c r="E10324" t="str">
        <f>"$ 466"</f>
        <v>$ 466</v>
      </c>
      <c r="F10324">
        <v>36</v>
      </c>
    </row>
    <row r="10325" spans="1:6">
      <c r="A10325" t="s">
        <v>8808</v>
      </c>
      <c r="B10325" t="str">
        <f t="shared" si="386"/>
        <v>0.00006%</v>
      </c>
      <c r="C10325" t="s">
        <v>10</v>
      </c>
      <c r="D10325" t="s">
        <v>10</v>
      </c>
      <c r="E10325" t="str">
        <f>"$ 455"</f>
        <v>$ 455</v>
      </c>
      <c r="F10325">
        <v>412</v>
      </c>
    </row>
    <row r="10326" spans="1:6">
      <c r="A10326" t="s">
        <v>10171</v>
      </c>
      <c r="B10326" t="str">
        <f t="shared" si="386"/>
        <v>0.00006%</v>
      </c>
      <c r="C10326" t="s">
        <v>10</v>
      </c>
      <c r="D10326" t="s">
        <v>10</v>
      </c>
      <c r="E10326" t="str">
        <f>"$ 428"</f>
        <v>$ 428</v>
      </c>
      <c r="F10326">
        <v>387</v>
      </c>
    </row>
    <row r="10327" spans="1:6">
      <c r="A10327" t="s">
        <v>10172</v>
      </c>
      <c r="B10327" t="str">
        <f t="shared" si="386"/>
        <v>0.00006%</v>
      </c>
      <c r="C10327" t="s">
        <v>10</v>
      </c>
      <c r="D10327" t="s">
        <v>10</v>
      </c>
      <c r="E10327" t="str">
        <f>"$ 434"</f>
        <v>$ 434</v>
      </c>
      <c r="F10327">
        <v>448</v>
      </c>
    </row>
    <row r="10328" spans="1:6">
      <c r="A10328" t="s">
        <v>7505</v>
      </c>
      <c r="B10328" t="str">
        <f t="shared" si="386"/>
        <v>0.00006%</v>
      </c>
      <c r="C10328" t="s">
        <v>10</v>
      </c>
      <c r="D10328" t="s">
        <v>10</v>
      </c>
      <c r="E10328" t="str">
        <f>"$ 441"</f>
        <v>$ 441</v>
      </c>
      <c r="F10328">
        <v>167</v>
      </c>
    </row>
    <row r="10329" spans="1:6">
      <c r="A10329" t="s">
        <v>10173</v>
      </c>
      <c r="B10329" t="str">
        <f t="shared" si="386"/>
        <v>0.00006%</v>
      </c>
      <c r="C10329" t="s">
        <v>10</v>
      </c>
      <c r="D10329" t="s">
        <v>10</v>
      </c>
      <c r="E10329" t="str">
        <f>"$ 450"</f>
        <v>$ 450</v>
      </c>
      <c r="F10329">
        <v>232</v>
      </c>
    </row>
    <row r="10330" spans="1:6">
      <c r="A10330" t="s">
        <v>10174</v>
      </c>
      <c r="B10330" t="str">
        <f t="shared" si="386"/>
        <v>0.00006%</v>
      </c>
      <c r="C10330" t="s">
        <v>10</v>
      </c>
      <c r="D10330" t="s">
        <v>10</v>
      </c>
      <c r="E10330" t="str">
        <f>"$ 467"</f>
        <v>$ 467</v>
      </c>
      <c r="F10330" s="1">
        <v>10961</v>
      </c>
    </row>
    <row r="10331" spans="1:6">
      <c r="A10331" t="s">
        <v>10175</v>
      </c>
      <c r="B10331" t="str">
        <f t="shared" si="386"/>
        <v>0.00006%</v>
      </c>
      <c r="C10331" t="s">
        <v>10</v>
      </c>
      <c r="D10331" t="s">
        <v>10</v>
      </c>
      <c r="E10331" t="str">
        <f>"$ 473"</f>
        <v>$ 473</v>
      </c>
      <c r="F10331">
        <v>124</v>
      </c>
    </row>
    <row r="10332" spans="1:6">
      <c r="A10332" t="s">
        <v>10176</v>
      </c>
      <c r="B10332" t="str">
        <f t="shared" si="386"/>
        <v>0.00006%</v>
      </c>
      <c r="C10332" t="s">
        <v>10</v>
      </c>
      <c r="D10332" t="s">
        <v>10</v>
      </c>
      <c r="E10332" t="str">
        <f>"$ 491"</f>
        <v>$ 491</v>
      </c>
      <c r="F10332">
        <v>57</v>
      </c>
    </row>
    <row r="10333" spans="1:6">
      <c r="A10333" t="s">
        <v>9488</v>
      </c>
      <c r="B10333" t="str">
        <f t="shared" si="386"/>
        <v>0.00006%</v>
      </c>
      <c r="C10333" t="s">
        <v>10</v>
      </c>
      <c r="D10333" t="s">
        <v>10</v>
      </c>
      <c r="E10333" t="str">
        <f>"$ 453"</f>
        <v>$ 453</v>
      </c>
      <c r="F10333">
        <v>143</v>
      </c>
    </row>
    <row r="10334" spans="1:6">
      <c r="A10334" t="s">
        <v>10177</v>
      </c>
      <c r="B10334" t="str">
        <f t="shared" si="386"/>
        <v>0.00006%</v>
      </c>
      <c r="C10334" t="s">
        <v>10</v>
      </c>
      <c r="D10334" t="s">
        <v>10</v>
      </c>
      <c r="E10334" t="str">
        <f>"$ 444"</f>
        <v>$ 444</v>
      </c>
      <c r="F10334">
        <v>16</v>
      </c>
    </row>
    <row r="10335" spans="1:6">
      <c r="A10335" t="s">
        <v>10178</v>
      </c>
      <c r="B10335" t="str">
        <f t="shared" si="386"/>
        <v>0.00006%</v>
      </c>
      <c r="C10335" t="s">
        <v>10</v>
      </c>
      <c r="D10335" t="s">
        <v>10</v>
      </c>
      <c r="E10335" t="str">
        <f>"$ 456"</f>
        <v>$ 456</v>
      </c>
      <c r="F10335">
        <v>128</v>
      </c>
    </row>
    <row r="10336" spans="1:6">
      <c r="A10336" t="s">
        <v>10179</v>
      </c>
      <c r="B10336" t="str">
        <f t="shared" si="386"/>
        <v>0.00006%</v>
      </c>
      <c r="C10336" t="s">
        <v>10</v>
      </c>
      <c r="D10336" t="s">
        <v>10</v>
      </c>
      <c r="E10336" t="str">
        <f>"$ 455"</f>
        <v>$ 455</v>
      </c>
      <c r="F10336">
        <v>160</v>
      </c>
    </row>
    <row r="10337" spans="1:6">
      <c r="A10337" t="s">
        <v>10180</v>
      </c>
      <c r="B10337" t="str">
        <f t="shared" si="386"/>
        <v>0.00006%</v>
      </c>
      <c r="C10337" t="s">
        <v>10</v>
      </c>
      <c r="D10337" t="s">
        <v>10</v>
      </c>
      <c r="E10337" t="str">
        <f>"$ 432"</f>
        <v>$ 432</v>
      </c>
      <c r="F10337">
        <v>166</v>
      </c>
    </row>
    <row r="10338" spans="1:6">
      <c r="A10338" t="s">
        <v>10181</v>
      </c>
      <c r="B10338" t="str">
        <f t="shared" ref="B10338:B10355" si="387">"0.00006%"</f>
        <v>0.00006%</v>
      </c>
      <c r="C10338" t="s">
        <v>10</v>
      </c>
      <c r="D10338" t="s">
        <v>10</v>
      </c>
      <c r="E10338" t="str">
        <f>"$ 462"</f>
        <v>$ 462</v>
      </c>
      <c r="F10338">
        <v>44</v>
      </c>
    </row>
    <row r="10339" spans="1:6">
      <c r="A10339" t="s">
        <v>10182</v>
      </c>
      <c r="B10339" t="str">
        <f t="shared" si="387"/>
        <v>0.00006%</v>
      </c>
      <c r="C10339" t="s">
        <v>10</v>
      </c>
      <c r="D10339" t="s">
        <v>10</v>
      </c>
      <c r="E10339" t="str">
        <f>"$ 485"</f>
        <v>$ 485</v>
      </c>
      <c r="F10339">
        <v>122</v>
      </c>
    </row>
    <row r="10340" spans="1:6">
      <c r="A10340" t="s">
        <v>10183</v>
      </c>
      <c r="B10340" t="str">
        <f t="shared" si="387"/>
        <v>0.00006%</v>
      </c>
      <c r="C10340" t="s">
        <v>10</v>
      </c>
      <c r="D10340" t="s">
        <v>10</v>
      </c>
      <c r="E10340" t="str">
        <f>"$ 487"</f>
        <v>$ 487</v>
      </c>
      <c r="F10340">
        <v>71</v>
      </c>
    </row>
    <row r="10341" spans="1:6">
      <c r="A10341" t="s">
        <v>10184</v>
      </c>
      <c r="B10341" t="str">
        <f t="shared" si="387"/>
        <v>0.00006%</v>
      </c>
      <c r="C10341" t="s">
        <v>10</v>
      </c>
      <c r="D10341" t="s">
        <v>10</v>
      </c>
      <c r="E10341" t="str">
        <f>"$ 492"</f>
        <v>$ 492</v>
      </c>
      <c r="F10341">
        <v>734</v>
      </c>
    </row>
    <row r="10342" spans="1:6">
      <c r="A10342" t="s">
        <v>10185</v>
      </c>
      <c r="B10342" t="str">
        <f t="shared" si="387"/>
        <v>0.00006%</v>
      </c>
      <c r="C10342" t="s">
        <v>10</v>
      </c>
      <c r="D10342" t="s">
        <v>10</v>
      </c>
      <c r="E10342" t="str">
        <f>"$ 436"</f>
        <v>$ 436</v>
      </c>
      <c r="F10342">
        <v>59</v>
      </c>
    </row>
    <row r="10343" spans="1:6">
      <c r="A10343" t="s">
        <v>10186</v>
      </c>
      <c r="B10343" t="str">
        <f t="shared" si="387"/>
        <v>0.00006%</v>
      </c>
      <c r="C10343" t="s">
        <v>10</v>
      </c>
      <c r="D10343" t="s">
        <v>10</v>
      </c>
      <c r="E10343" t="str">
        <f>"$ 473"</f>
        <v>$ 473</v>
      </c>
      <c r="F10343">
        <v>72</v>
      </c>
    </row>
    <row r="10344" spans="1:6">
      <c r="A10344" t="s">
        <v>10187</v>
      </c>
      <c r="B10344" t="str">
        <f t="shared" si="387"/>
        <v>0.00006%</v>
      </c>
      <c r="C10344" t="s">
        <v>10</v>
      </c>
      <c r="D10344" t="s">
        <v>10</v>
      </c>
      <c r="E10344" t="str">
        <f>"$ 453"</f>
        <v>$ 453</v>
      </c>
      <c r="F10344">
        <v>658</v>
      </c>
    </row>
    <row r="10345" spans="1:6">
      <c r="A10345" t="s">
        <v>10188</v>
      </c>
      <c r="B10345" t="str">
        <f t="shared" si="387"/>
        <v>0.00006%</v>
      </c>
      <c r="C10345" t="s">
        <v>10</v>
      </c>
      <c r="D10345" t="s">
        <v>10</v>
      </c>
      <c r="E10345" t="str">
        <f>"$ 475"</f>
        <v>$ 475</v>
      </c>
      <c r="F10345">
        <v>320</v>
      </c>
    </row>
    <row r="10346" spans="1:6">
      <c r="A10346" t="s">
        <v>10189</v>
      </c>
      <c r="B10346" t="str">
        <f t="shared" si="387"/>
        <v>0.00006%</v>
      </c>
      <c r="C10346" t="s">
        <v>10</v>
      </c>
      <c r="D10346" t="s">
        <v>10</v>
      </c>
      <c r="E10346" t="str">
        <f>"$ 480"</f>
        <v>$ 480</v>
      </c>
      <c r="F10346">
        <v>16</v>
      </c>
    </row>
    <row r="10347" spans="1:6">
      <c r="A10347" t="s">
        <v>10190</v>
      </c>
      <c r="B10347" t="str">
        <f t="shared" si="387"/>
        <v>0.00006%</v>
      </c>
      <c r="C10347" t="s">
        <v>10</v>
      </c>
      <c r="D10347" t="s">
        <v>10</v>
      </c>
      <c r="E10347" t="str">
        <f>"$ 494"</f>
        <v>$ 494</v>
      </c>
      <c r="F10347">
        <v>56</v>
      </c>
    </row>
    <row r="10348" spans="1:6">
      <c r="A10348" t="s">
        <v>10191</v>
      </c>
      <c r="B10348" t="str">
        <f t="shared" si="387"/>
        <v>0.00006%</v>
      </c>
      <c r="C10348" t="s">
        <v>10</v>
      </c>
      <c r="D10348" t="s">
        <v>10</v>
      </c>
      <c r="E10348" t="str">
        <f>"$ 497"</f>
        <v>$ 497</v>
      </c>
      <c r="F10348">
        <v>43</v>
      </c>
    </row>
    <row r="10349" spans="1:6">
      <c r="A10349" t="s">
        <v>10192</v>
      </c>
      <c r="B10349" t="str">
        <f t="shared" si="387"/>
        <v>0.00006%</v>
      </c>
      <c r="C10349" t="s">
        <v>10</v>
      </c>
      <c r="D10349" t="s">
        <v>10</v>
      </c>
      <c r="E10349" t="str">
        <f>"$ 452"</f>
        <v>$ 452</v>
      </c>
      <c r="F10349">
        <v>33</v>
      </c>
    </row>
    <row r="10350" spans="1:6">
      <c r="A10350" t="s">
        <v>9493</v>
      </c>
      <c r="B10350" t="str">
        <f t="shared" si="387"/>
        <v>0.00006%</v>
      </c>
      <c r="C10350" t="s">
        <v>10</v>
      </c>
      <c r="D10350" t="s">
        <v>10</v>
      </c>
      <c r="E10350" t="str">
        <f>"$ 443"</f>
        <v>$ 443</v>
      </c>
      <c r="F10350">
        <v>153</v>
      </c>
    </row>
    <row r="10351" spans="1:6">
      <c r="A10351" t="s">
        <v>10193</v>
      </c>
      <c r="B10351" t="str">
        <f t="shared" si="387"/>
        <v>0.00006%</v>
      </c>
      <c r="C10351" t="s">
        <v>10</v>
      </c>
      <c r="D10351" t="s">
        <v>10</v>
      </c>
      <c r="E10351" t="str">
        <f>"$ 445"</f>
        <v>$ 445</v>
      </c>
      <c r="F10351">
        <v>202</v>
      </c>
    </row>
    <row r="10352" spans="1:6">
      <c r="A10352" t="s">
        <v>10194</v>
      </c>
      <c r="B10352" t="str">
        <f t="shared" si="387"/>
        <v>0.00006%</v>
      </c>
      <c r="C10352" t="s">
        <v>10</v>
      </c>
      <c r="D10352" t="s">
        <v>10</v>
      </c>
      <c r="E10352" t="str">
        <f>"$ 441"</f>
        <v>$ 441</v>
      </c>
      <c r="F10352">
        <v>448</v>
      </c>
    </row>
    <row r="10353" spans="1:6">
      <c r="A10353" t="s">
        <v>9166</v>
      </c>
      <c r="B10353" t="str">
        <f t="shared" si="387"/>
        <v>0.00006%</v>
      </c>
      <c r="C10353" t="s">
        <v>10</v>
      </c>
      <c r="D10353" t="s">
        <v>10</v>
      </c>
      <c r="E10353" t="str">
        <f>"$ 496"</f>
        <v>$ 496</v>
      </c>
      <c r="F10353">
        <v>85</v>
      </c>
    </row>
    <row r="10354" spans="1:6">
      <c r="A10354" t="s">
        <v>10195</v>
      </c>
      <c r="B10354" t="str">
        <f t="shared" si="387"/>
        <v>0.00006%</v>
      </c>
      <c r="C10354" t="s">
        <v>10</v>
      </c>
      <c r="D10354" t="s">
        <v>10</v>
      </c>
      <c r="E10354" t="str">
        <f>"$ 456"</f>
        <v>$ 456</v>
      </c>
      <c r="F10354">
        <v>315</v>
      </c>
    </row>
    <row r="10355" spans="1:6">
      <c r="A10355" t="s">
        <v>10196</v>
      </c>
      <c r="B10355" t="str">
        <f t="shared" si="387"/>
        <v>0.00006%</v>
      </c>
      <c r="C10355" t="s">
        <v>10</v>
      </c>
      <c r="D10355" t="s">
        <v>10</v>
      </c>
      <c r="E10355" t="str">
        <f>"$ 480"</f>
        <v>$ 480</v>
      </c>
      <c r="F10355">
        <v>161</v>
      </c>
    </row>
    <row r="10356" spans="1:6">
      <c r="A10356" t="s">
        <v>10197</v>
      </c>
      <c r="B10356" t="str">
        <f t="shared" ref="B10356:B10419" si="388">"0.00005%"</f>
        <v>0.00005%</v>
      </c>
      <c r="C10356" t="s">
        <v>10</v>
      </c>
      <c r="D10356" t="s">
        <v>10</v>
      </c>
      <c r="E10356" t="str">
        <f>"$ 375"</f>
        <v>$ 375</v>
      </c>
      <c r="F10356">
        <v>14</v>
      </c>
    </row>
    <row r="10357" spans="1:6">
      <c r="A10357" t="s">
        <v>10198</v>
      </c>
      <c r="B10357" t="str">
        <f t="shared" si="388"/>
        <v>0.00005%</v>
      </c>
      <c r="C10357" t="s">
        <v>10</v>
      </c>
      <c r="D10357" t="s">
        <v>10</v>
      </c>
      <c r="E10357" t="str">
        <f>"$ 422"</f>
        <v>$ 422</v>
      </c>
      <c r="F10357">
        <v>246</v>
      </c>
    </row>
    <row r="10358" spans="1:6">
      <c r="A10358" t="s">
        <v>10199</v>
      </c>
      <c r="B10358" t="str">
        <f t="shared" si="388"/>
        <v>0.00005%</v>
      </c>
      <c r="C10358" t="s">
        <v>10</v>
      </c>
      <c r="D10358" t="s">
        <v>10</v>
      </c>
      <c r="E10358" t="str">
        <f>"$ 357"</f>
        <v>$ 357</v>
      </c>
      <c r="F10358">
        <v>16</v>
      </c>
    </row>
    <row r="10359" spans="1:6">
      <c r="A10359" t="s">
        <v>10200</v>
      </c>
      <c r="B10359" t="str">
        <f t="shared" si="388"/>
        <v>0.00005%</v>
      </c>
      <c r="C10359" t="s">
        <v>10</v>
      </c>
      <c r="D10359" t="s">
        <v>10</v>
      </c>
      <c r="E10359" t="str">
        <f>"$ 373"</f>
        <v>$ 373</v>
      </c>
      <c r="F10359">
        <v>8</v>
      </c>
    </row>
    <row r="10360" spans="1:6">
      <c r="A10360" t="s">
        <v>10201</v>
      </c>
      <c r="B10360" t="str">
        <f t="shared" si="388"/>
        <v>0.00005%</v>
      </c>
      <c r="C10360" t="s">
        <v>10</v>
      </c>
      <c r="D10360" t="s">
        <v>10</v>
      </c>
      <c r="E10360" t="str">
        <f>"$ 357"</f>
        <v>$ 357</v>
      </c>
      <c r="F10360">
        <v>103</v>
      </c>
    </row>
    <row r="10361" spans="1:6">
      <c r="A10361" t="s">
        <v>10202</v>
      </c>
      <c r="B10361" t="str">
        <f t="shared" si="388"/>
        <v>0.00005%</v>
      </c>
      <c r="C10361" t="s">
        <v>10</v>
      </c>
      <c r="D10361" t="s">
        <v>10</v>
      </c>
      <c r="E10361" t="str">
        <f>"$ 392"</f>
        <v>$ 392</v>
      </c>
      <c r="F10361">
        <v>40</v>
      </c>
    </row>
    <row r="10362" spans="1:6">
      <c r="A10362" t="s">
        <v>10203</v>
      </c>
      <c r="B10362" t="str">
        <f t="shared" si="388"/>
        <v>0.00005%</v>
      </c>
      <c r="C10362" t="s">
        <v>10</v>
      </c>
      <c r="D10362" t="s">
        <v>10</v>
      </c>
      <c r="E10362" t="str">
        <f>"$ 352"</f>
        <v>$ 352</v>
      </c>
      <c r="F10362">
        <v>55</v>
      </c>
    </row>
    <row r="10363" spans="1:6">
      <c r="A10363" t="s">
        <v>10204</v>
      </c>
      <c r="B10363" t="str">
        <f t="shared" si="388"/>
        <v>0.00005%</v>
      </c>
      <c r="C10363" t="s">
        <v>10</v>
      </c>
      <c r="D10363" t="s">
        <v>10</v>
      </c>
      <c r="E10363" t="str">
        <f>"$ 367"</f>
        <v>$ 367</v>
      </c>
      <c r="F10363">
        <v>60</v>
      </c>
    </row>
    <row r="10364" spans="1:6">
      <c r="A10364" t="s">
        <v>10205</v>
      </c>
      <c r="B10364" t="str">
        <f t="shared" si="388"/>
        <v>0.00005%</v>
      </c>
      <c r="C10364" t="s">
        <v>10</v>
      </c>
      <c r="D10364" t="s">
        <v>10</v>
      </c>
      <c r="E10364" t="str">
        <f>"$ 401"</f>
        <v>$ 401</v>
      </c>
      <c r="F10364">
        <v>115</v>
      </c>
    </row>
    <row r="10365" spans="1:6">
      <c r="A10365" t="s">
        <v>10206</v>
      </c>
      <c r="B10365" t="str">
        <f t="shared" si="388"/>
        <v>0.00005%</v>
      </c>
      <c r="C10365" t="s">
        <v>10</v>
      </c>
      <c r="D10365" t="s">
        <v>10</v>
      </c>
      <c r="E10365" t="str">
        <f>"$ 425"</f>
        <v>$ 425</v>
      </c>
      <c r="F10365">
        <v>494</v>
      </c>
    </row>
    <row r="10366" spans="1:6">
      <c r="A10366" t="s">
        <v>10207</v>
      </c>
      <c r="B10366" t="str">
        <f t="shared" si="388"/>
        <v>0.00005%</v>
      </c>
      <c r="C10366" t="s">
        <v>10</v>
      </c>
      <c r="D10366" t="s">
        <v>10</v>
      </c>
      <c r="E10366" t="str">
        <f>"$ 411"</f>
        <v>$ 411</v>
      </c>
      <c r="F10366" s="1">
        <v>2431</v>
      </c>
    </row>
    <row r="10367" spans="1:6">
      <c r="A10367" t="s">
        <v>10208</v>
      </c>
      <c r="B10367" t="str">
        <f t="shared" si="388"/>
        <v>0.00005%</v>
      </c>
      <c r="C10367" t="s">
        <v>10</v>
      </c>
      <c r="D10367" t="s">
        <v>10</v>
      </c>
      <c r="E10367" t="str">
        <f>"$ 404"</f>
        <v>$ 404</v>
      </c>
      <c r="F10367">
        <v>286</v>
      </c>
    </row>
    <row r="10368" spans="1:6">
      <c r="A10368" t="s">
        <v>10209</v>
      </c>
      <c r="B10368" t="str">
        <f t="shared" si="388"/>
        <v>0.00005%</v>
      </c>
      <c r="C10368" t="s">
        <v>10</v>
      </c>
      <c r="D10368" t="s">
        <v>10</v>
      </c>
      <c r="E10368" t="str">
        <f>"$ 405"</f>
        <v>$ 405</v>
      </c>
      <c r="F10368">
        <v>186</v>
      </c>
    </row>
    <row r="10369" spans="1:6">
      <c r="A10369" t="s">
        <v>10210</v>
      </c>
      <c r="B10369" t="str">
        <f t="shared" si="388"/>
        <v>0.00005%</v>
      </c>
      <c r="C10369" t="s">
        <v>10</v>
      </c>
      <c r="D10369" t="s">
        <v>10</v>
      </c>
      <c r="E10369" t="str">
        <f>"$ 378"</f>
        <v>$ 378</v>
      </c>
      <c r="F10369">
        <v>272</v>
      </c>
    </row>
    <row r="10370" spans="1:6">
      <c r="A10370" t="s">
        <v>10211</v>
      </c>
      <c r="B10370" t="str">
        <f t="shared" si="388"/>
        <v>0.00005%</v>
      </c>
      <c r="C10370" t="s">
        <v>10</v>
      </c>
      <c r="D10370" t="s">
        <v>10</v>
      </c>
      <c r="E10370" t="str">
        <f>"$ 385"</f>
        <v>$ 385</v>
      </c>
      <c r="F10370">
        <v>432</v>
      </c>
    </row>
    <row r="10371" spans="1:6">
      <c r="A10371" t="s">
        <v>10212</v>
      </c>
      <c r="B10371" t="str">
        <f t="shared" si="388"/>
        <v>0.00005%</v>
      </c>
      <c r="C10371" t="s">
        <v>10</v>
      </c>
      <c r="D10371" t="s">
        <v>10</v>
      </c>
      <c r="E10371" t="str">
        <f>"$ 386"</f>
        <v>$ 386</v>
      </c>
      <c r="F10371">
        <v>58</v>
      </c>
    </row>
    <row r="10372" spans="1:6">
      <c r="A10372" t="s">
        <v>10213</v>
      </c>
      <c r="B10372" t="str">
        <f t="shared" si="388"/>
        <v>0.00005%</v>
      </c>
      <c r="C10372" t="s">
        <v>10</v>
      </c>
      <c r="D10372" t="s">
        <v>10</v>
      </c>
      <c r="E10372" t="str">
        <f>"$ 395"</f>
        <v>$ 395</v>
      </c>
      <c r="F10372">
        <v>145</v>
      </c>
    </row>
    <row r="10373" spans="1:6">
      <c r="A10373" t="s">
        <v>10214</v>
      </c>
      <c r="B10373" t="str">
        <f t="shared" si="388"/>
        <v>0.00005%</v>
      </c>
      <c r="C10373" t="s">
        <v>10</v>
      </c>
      <c r="D10373" t="s">
        <v>10</v>
      </c>
      <c r="E10373" t="str">
        <f>"$ 390"</f>
        <v>$ 390</v>
      </c>
      <c r="F10373">
        <v>249</v>
      </c>
    </row>
    <row r="10374" spans="1:6">
      <c r="A10374" t="s">
        <v>8703</v>
      </c>
      <c r="B10374" t="str">
        <f t="shared" si="388"/>
        <v>0.00005%</v>
      </c>
      <c r="C10374" t="s">
        <v>10</v>
      </c>
      <c r="D10374" t="s">
        <v>10</v>
      </c>
      <c r="E10374" t="str">
        <f>"$ 415"</f>
        <v>$ 415</v>
      </c>
      <c r="F10374">
        <v>360</v>
      </c>
    </row>
    <row r="10375" spans="1:6">
      <c r="A10375" t="s">
        <v>10215</v>
      </c>
      <c r="B10375" t="str">
        <f t="shared" si="388"/>
        <v>0.00005%</v>
      </c>
      <c r="C10375" t="s">
        <v>10</v>
      </c>
      <c r="D10375" t="s">
        <v>10</v>
      </c>
      <c r="E10375" t="str">
        <f>"$ 419"</f>
        <v>$ 419</v>
      </c>
      <c r="F10375">
        <v>128</v>
      </c>
    </row>
    <row r="10376" spans="1:6">
      <c r="A10376" t="s">
        <v>10216</v>
      </c>
      <c r="B10376" t="str">
        <f t="shared" si="388"/>
        <v>0.00005%</v>
      </c>
      <c r="C10376" t="s">
        <v>10</v>
      </c>
      <c r="D10376" t="s">
        <v>10</v>
      </c>
      <c r="E10376" t="str">
        <f>"$ 403"</f>
        <v>$ 403</v>
      </c>
      <c r="F10376">
        <v>97</v>
      </c>
    </row>
    <row r="10377" spans="1:6">
      <c r="A10377" t="s">
        <v>10217</v>
      </c>
      <c r="B10377" t="str">
        <f t="shared" si="388"/>
        <v>0.00005%</v>
      </c>
      <c r="C10377" t="s">
        <v>10</v>
      </c>
      <c r="D10377" t="s">
        <v>10</v>
      </c>
      <c r="E10377" t="str">
        <f>"$ 366"</f>
        <v>$ 366</v>
      </c>
      <c r="F10377">
        <v>167</v>
      </c>
    </row>
    <row r="10378" spans="1:6">
      <c r="A10378" t="s">
        <v>10218</v>
      </c>
      <c r="B10378" t="str">
        <f t="shared" si="388"/>
        <v>0.00005%</v>
      </c>
      <c r="C10378" t="s">
        <v>10</v>
      </c>
      <c r="D10378" t="s">
        <v>10</v>
      </c>
      <c r="E10378" t="str">
        <f>"$ 358"</f>
        <v>$ 358</v>
      </c>
      <c r="F10378">
        <v>251</v>
      </c>
    </row>
    <row r="10379" spans="1:6">
      <c r="A10379" t="s">
        <v>10219</v>
      </c>
      <c r="B10379" t="str">
        <f t="shared" si="388"/>
        <v>0.00005%</v>
      </c>
      <c r="C10379" t="s">
        <v>10</v>
      </c>
      <c r="D10379" t="s">
        <v>10</v>
      </c>
      <c r="E10379" t="str">
        <f>"$ 369"</f>
        <v>$ 369</v>
      </c>
      <c r="F10379">
        <v>418</v>
      </c>
    </row>
    <row r="10380" spans="1:6">
      <c r="A10380" t="s">
        <v>10220</v>
      </c>
      <c r="B10380" t="str">
        <f t="shared" si="388"/>
        <v>0.00005%</v>
      </c>
      <c r="C10380" t="s">
        <v>10</v>
      </c>
      <c r="D10380" t="s">
        <v>10</v>
      </c>
      <c r="E10380" t="str">
        <f>"$ 377"</f>
        <v>$ 377</v>
      </c>
      <c r="F10380">
        <v>146</v>
      </c>
    </row>
    <row r="10381" spans="1:6">
      <c r="A10381" t="s">
        <v>10221</v>
      </c>
      <c r="B10381" t="str">
        <f t="shared" si="388"/>
        <v>0.00005%</v>
      </c>
      <c r="C10381" t="s">
        <v>10</v>
      </c>
      <c r="D10381" t="s">
        <v>10</v>
      </c>
      <c r="E10381" t="str">
        <f>"$ 369"</f>
        <v>$ 369</v>
      </c>
      <c r="F10381">
        <v>323</v>
      </c>
    </row>
    <row r="10382" spans="1:6">
      <c r="A10382" t="s">
        <v>10222</v>
      </c>
      <c r="B10382" t="str">
        <f t="shared" si="388"/>
        <v>0.00005%</v>
      </c>
      <c r="C10382" t="s">
        <v>10</v>
      </c>
      <c r="D10382" t="s">
        <v>10</v>
      </c>
      <c r="E10382" t="str">
        <f>"$ 349"</f>
        <v>$ 349</v>
      </c>
      <c r="F10382">
        <v>13</v>
      </c>
    </row>
    <row r="10383" spans="1:6">
      <c r="A10383" t="s">
        <v>9740</v>
      </c>
      <c r="B10383" t="str">
        <f t="shared" si="388"/>
        <v>0.00005%</v>
      </c>
      <c r="C10383" t="s">
        <v>10</v>
      </c>
      <c r="D10383" t="s">
        <v>10</v>
      </c>
      <c r="E10383" t="str">
        <f>"$ 359"</f>
        <v>$ 359</v>
      </c>
      <c r="F10383">
        <v>344</v>
      </c>
    </row>
    <row r="10384" spans="1:6">
      <c r="A10384" t="s">
        <v>10223</v>
      </c>
      <c r="B10384" t="str">
        <f t="shared" si="388"/>
        <v>0.00005%</v>
      </c>
      <c r="C10384" t="s">
        <v>10</v>
      </c>
      <c r="D10384" t="s">
        <v>10</v>
      </c>
      <c r="E10384" t="str">
        <f>"$ 385"</f>
        <v>$ 385</v>
      </c>
      <c r="F10384">
        <v>375</v>
      </c>
    </row>
    <row r="10385" spans="1:6">
      <c r="A10385" t="s">
        <v>10224</v>
      </c>
      <c r="B10385" t="str">
        <f t="shared" si="388"/>
        <v>0.00005%</v>
      </c>
      <c r="C10385" t="s">
        <v>10</v>
      </c>
      <c r="D10385" t="s">
        <v>10</v>
      </c>
      <c r="E10385" t="str">
        <f>"$ 382"</f>
        <v>$ 382</v>
      </c>
      <c r="F10385">
        <v>412</v>
      </c>
    </row>
    <row r="10386" spans="1:6">
      <c r="A10386" t="s">
        <v>10225</v>
      </c>
      <c r="B10386" t="str">
        <f t="shared" si="388"/>
        <v>0.00005%</v>
      </c>
      <c r="C10386" t="s">
        <v>10</v>
      </c>
      <c r="D10386" t="s">
        <v>10</v>
      </c>
      <c r="E10386" t="str">
        <f>"$ 399"</f>
        <v>$ 399</v>
      </c>
      <c r="F10386">
        <v>394</v>
      </c>
    </row>
    <row r="10387" spans="1:6">
      <c r="A10387" t="s">
        <v>10226</v>
      </c>
      <c r="B10387" t="str">
        <f t="shared" si="388"/>
        <v>0.00005%</v>
      </c>
      <c r="C10387" t="s">
        <v>10</v>
      </c>
      <c r="D10387" t="s">
        <v>10</v>
      </c>
      <c r="E10387" t="str">
        <f>"$ 392"</f>
        <v>$ 392</v>
      </c>
      <c r="F10387">
        <v>85</v>
      </c>
    </row>
    <row r="10388" spans="1:6">
      <c r="A10388" t="s">
        <v>10227</v>
      </c>
      <c r="B10388" t="str">
        <f t="shared" si="388"/>
        <v>0.00005%</v>
      </c>
      <c r="C10388" t="s">
        <v>10</v>
      </c>
      <c r="D10388" t="s">
        <v>10</v>
      </c>
      <c r="E10388" t="str">
        <f>"$ 395"</f>
        <v>$ 395</v>
      </c>
      <c r="F10388">
        <v>227</v>
      </c>
    </row>
    <row r="10389" spans="1:6">
      <c r="A10389" t="s">
        <v>10228</v>
      </c>
      <c r="B10389" t="str">
        <f t="shared" si="388"/>
        <v>0.00005%</v>
      </c>
      <c r="C10389" t="s">
        <v>10</v>
      </c>
      <c r="D10389" t="s">
        <v>10</v>
      </c>
      <c r="E10389" t="str">
        <f>"$ 410"</f>
        <v>$ 410</v>
      </c>
      <c r="F10389">
        <v>173</v>
      </c>
    </row>
    <row r="10390" spans="1:6">
      <c r="A10390" t="s">
        <v>10229</v>
      </c>
      <c r="B10390" t="str">
        <f t="shared" si="388"/>
        <v>0.00005%</v>
      </c>
      <c r="C10390" t="s">
        <v>10</v>
      </c>
      <c r="D10390" t="s">
        <v>10</v>
      </c>
      <c r="E10390" t="str">
        <f>"$ 362"</f>
        <v>$ 362</v>
      </c>
      <c r="F10390">
        <v>163</v>
      </c>
    </row>
    <row r="10391" spans="1:6">
      <c r="A10391" t="s">
        <v>10230</v>
      </c>
      <c r="B10391" t="str">
        <f t="shared" si="388"/>
        <v>0.00005%</v>
      </c>
      <c r="C10391" t="s">
        <v>10</v>
      </c>
      <c r="D10391" t="s">
        <v>10</v>
      </c>
      <c r="E10391" t="str">
        <f>"$ 373"</f>
        <v>$ 373</v>
      </c>
      <c r="F10391">
        <v>568</v>
      </c>
    </row>
    <row r="10392" spans="1:6">
      <c r="A10392" t="s">
        <v>10231</v>
      </c>
      <c r="B10392" t="str">
        <f t="shared" si="388"/>
        <v>0.00005%</v>
      </c>
      <c r="C10392" t="s">
        <v>10</v>
      </c>
      <c r="D10392" t="s">
        <v>10</v>
      </c>
      <c r="E10392" t="str">
        <f>"$ 352"</f>
        <v>$ 352</v>
      </c>
      <c r="F10392">
        <v>224</v>
      </c>
    </row>
    <row r="10393" spans="1:6">
      <c r="A10393" t="s">
        <v>10232</v>
      </c>
      <c r="B10393" t="str">
        <f t="shared" si="388"/>
        <v>0.00005%</v>
      </c>
      <c r="C10393" t="s">
        <v>10</v>
      </c>
      <c r="D10393" t="s">
        <v>10</v>
      </c>
      <c r="E10393" t="str">
        <f>"$ 353"</f>
        <v>$ 353</v>
      </c>
      <c r="F10393">
        <v>259</v>
      </c>
    </row>
    <row r="10394" spans="1:6">
      <c r="A10394" t="s">
        <v>10233</v>
      </c>
      <c r="B10394" t="str">
        <f t="shared" si="388"/>
        <v>0.00005%</v>
      </c>
      <c r="C10394" t="s">
        <v>10</v>
      </c>
      <c r="D10394" t="s">
        <v>10</v>
      </c>
      <c r="E10394" t="str">
        <f>"$ 415"</f>
        <v>$ 415</v>
      </c>
      <c r="F10394">
        <v>308</v>
      </c>
    </row>
    <row r="10395" spans="1:6">
      <c r="A10395" t="s">
        <v>10234</v>
      </c>
      <c r="B10395" t="str">
        <f t="shared" si="388"/>
        <v>0.00005%</v>
      </c>
      <c r="C10395" t="s">
        <v>10</v>
      </c>
      <c r="D10395" t="s">
        <v>10</v>
      </c>
      <c r="E10395" t="str">
        <f>"$ 385"</f>
        <v>$ 385</v>
      </c>
      <c r="F10395">
        <v>627</v>
      </c>
    </row>
    <row r="10396" spans="1:6">
      <c r="A10396" t="s">
        <v>10235</v>
      </c>
      <c r="B10396" t="str">
        <f t="shared" si="388"/>
        <v>0.00005%</v>
      </c>
      <c r="C10396" t="s">
        <v>10</v>
      </c>
      <c r="D10396" t="s">
        <v>10</v>
      </c>
      <c r="E10396" t="str">
        <f>"$ 362"</f>
        <v>$ 362</v>
      </c>
      <c r="F10396">
        <v>84</v>
      </c>
    </row>
    <row r="10397" spans="1:6">
      <c r="A10397" t="s">
        <v>10236</v>
      </c>
      <c r="B10397" t="str">
        <f t="shared" si="388"/>
        <v>0.00005%</v>
      </c>
      <c r="C10397" t="s">
        <v>10</v>
      </c>
      <c r="D10397" t="s">
        <v>10</v>
      </c>
      <c r="E10397" t="str">
        <f>"$ 357"</f>
        <v>$ 357</v>
      </c>
      <c r="F10397">
        <v>87</v>
      </c>
    </row>
    <row r="10398" spans="1:6">
      <c r="A10398" t="s">
        <v>10237</v>
      </c>
      <c r="B10398" t="str">
        <f t="shared" si="388"/>
        <v>0.00005%</v>
      </c>
      <c r="C10398" t="s">
        <v>10</v>
      </c>
      <c r="D10398" t="s">
        <v>10</v>
      </c>
      <c r="E10398" t="str">
        <f>"$ 356"</f>
        <v>$ 356</v>
      </c>
      <c r="F10398">
        <v>824</v>
      </c>
    </row>
    <row r="10399" spans="1:6">
      <c r="A10399" t="s">
        <v>10238</v>
      </c>
      <c r="B10399" t="str">
        <f t="shared" si="388"/>
        <v>0.00005%</v>
      </c>
      <c r="C10399" t="s">
        <v>10</v>
      </c>
      <c r="D10399" t="s">
        <v>10</v>
      </c>
      <c r="E10399" t="str">
        <f>"$ 377"</f>
        <v>$ 377</v>
      </c>
      <c r="F10399">
        <v>371</v>
      </c>
    </row>
    <row r="10400" spans="1:6">
      <c r="A10400" t="s">
        <v>10239</v>
      </c>
      <c r="B10400" t="str">
        <f t="shared" si="388"/>
        <v>0.00005%</v>
      </c>
      <c r="C10400" t="s">
        <v>10</v>
      </c>
      <c r="D10400" t="s">
        <v>10</v>
      </c>
      <c r="E10400" t="str">
        <f>"$ 392"</f>
        <v>$ 392</v>
      </c>
      <c r="F10400">
        <v>299</v>
      </c>
    </row>
    <row r="10401" spans="1:6">
      <c r="A10401" t="s">
        <v>9526</v>
      </c>
      <c r="B10401" t="str">
        <f t="shared" si="388"/>
        <v>0.00005%</v>
      </c>
      <c r="C10401" t="s">
        <v>10</v>
      </c>
      <c r="D10401" t="s">
        <v>10</v>
      </c>
      <c r="E10401" t="str">
        <f>"$ 409"</f>
        <v>$ 409</v>
      </c>
      <c r="F10401">
        <v>249</v>
      </c>
    </row>
    <row r="10402" spans="1:6">
      <c r="A10402" t="s">
        <v>10240</v>
      </c>
      <c r="B10402" t="str">
        <f t="shared" si="388"/>
        <v>0.00005%</v>
      </c>
      <c r="C10402" t="s">
        <v>10</v>
      </c>
      <c r="D10402" t="s">
        <v>10</v>
      </c>
      <c r="E10402" t="str">
        <f>"$ 408"</f>
        <v>$ 408</v>
      </c>
      <c r="F10402">
        <v>479</v>
      </c>
    </row>
    <row r="10403" spans="1:6">
      <c r="A10403" t="s">
        <v>8099</v>
      </c>
      <c r="B10403" t="str">
        <f t="shared" si="388"/>
        <v>0.00005%</v>
      </c>
      <c r="C10403" t="s">
        <v>10</v>
      </c>
      <c r="D10403" t="s">
        <v>10</v>
      </c>
      <c r="E10403" t="str">
        <f>"$ 415"</f>
        <v>$ 415</v>
      </c>
      <c r="F10403">
        <v>203</v>
      </c>
    </row>
    <row r="10404" spans="1:6">
      <c r="A10404" t="s">
        <v>8100</v>
      </c>
      <c r="B10404" t="str">
        <f t="shared" si="388"/>
        <v>0.00005%</v>
      </c>
      <c r="C10404" t="s">
        <v>10</v>
      </c>
      <c r="D10404" t="s">
        <v>10</v>
      </c>
      <c r="E10404" t="str">
        <f>"$ 367"</f>
        <v>$ 367</v>
      </c>
      <c r="F10404">
        <v>88</v>
      </c>
    </row>
    <row r="10405" spans="1:6">
      <c r="A10405" t="s">
        <v>10241</v>
      </c>
      <c r="B10405" t="str">
        <f t="shared" si="388"/>
        <v>0.00005%</v>
      </c>
      <c r="C10405" t="s">
        <v>10</v>
      </c>
      <c r="D10405" t="s">
        <v>10</v>
      </c>
      <c r="E10405" t="str">
        <f>"$ 407"</f>
        <v>$ 407</v>
      </c>
      <c r="F10405">
        <v>200</v>
      </c>
    </row>
    <row r="10406" spans="1:6">
      <c r="A10406" t="s">
        <v>10242</v>
      </c>
      <c r="B10406" t="str">
        <f t="shared" si="388"/>
        <v>0.00005%</v>
      </c>
      <c r="C10406" t="s">
        <v>10</v>
      </c>
      <c r="D10406" t="s">
        <v>10</v>
      </c>
      <c r="E10406" t="str">
        <f>"$ 377"</f>
        <v>$ 377</v>
      </c>
      <c r="F10406">
        <v>242</v>
      </c>
    </row>
    <row r="10407" spans="1:6">
      <c r="A10407" t="s">
        <v>10243</v>
      </c>
      <c r="B10407" t="str">
        <f t="shared" si="388"/>
        <v>0.00005%</v>
      </c>
      <c r="C10407" t="s">
        <v>10</v>
      </c>
      <c r="D10407" t="s">
        <v>10</v>
      </c>
      <c r="E10407" t="str">
        <f>"$ 409"</f>
        <v>$ 409</v>
      </c>
      <c r="F10407">
        <v>225</v>
      </c>
    </row>
    <row r="10408" spans="1:6">
      <c r="A10408" t="s">
        <v>10244</v>
      </c>
      <c r="B10408" t="str">
        <f t="shared" si="388"/>
        <v>0.00005%</v>
      </c>
      <c r="C10408" t="s">
        <v>10</v>
      </c>
      <c r="D10408" t="s">
        <v>10</v>
      </c>
      <c r="E10408" t="str">
        <f>"$ 374"</f>
        <v>$ 374</v>
      </c>
      <c r="F10408">
        <v>67</v>
      </c>
    </row>
    <row r="10409" spans="1:6">
      <c r="A10409" t="s">
        <v>10245</v>
      </c>
      <c r="B10409" t="str">
        <f t="shared" si="388"/>
        <v>0.00005%</v>
      </c>
      <c r="C10409" t="s">
        <v>10</v>
      </c>
      <c r="D10409" t="s">
        <v>10</v>
      </c>
      <c r="E10409" t="str">
        <f>"$ 381"</f>
        <v>$ 381</v>
      </c>
      <c r="F10409">
        <v>223</v>
      </c>
    </row>
    <row r="10410" spans="1:6">
      <c r="A10410" t="s">
        <v>10246</v>
      </c>
      <c r="B10410" t="str">
        <f t="shared" si="388"/>
        <v>0.00005%</v>
      </c>
      <c r="C10410" t="s">
        <v>10</v>
      </c>
      <c r="D10410" t="s">
        <v>10</v>
      </c>
      <c r="E10410" t="str">
        <f>"$ 417"</f>
        <v>$ 417</v>
      </c>
      <c r="F10410">
        <v>582</v>
      </c>
    </row>
    <row r="10411" spans="1:6">
      <c r="A10411" t="s">
        <v>10247</v>
      </c>
      <c r="B10411" t="str">
        <f t="shared" si="388"/>
        <v>0.00005%</v>
      </c>
      <c r="C10411" t="s">
        <v>10</v>
      </c>
      <c r="D10411" t="s">
        <v>10</v>
      </c>
      <c r="E10411" t="str">
        <f>"$ 415"</f>
        <v>$ 415</v>
      </c>
      <c r="F10411">
        <v>127</v>
      </c>
    </row>
    <row r="10412" spans="1:6">
      <c r="A10412" t="s">
        <v>10248</v>
      </c>
      <c r="B10412" t="str">
        <f t="shared" si="388"/>
        <v>0.00005%</v>
      </c>
      <c r="C10412" t="s">
        <v>10</v>
      </c>
      <c r="D10412" t="s">
        <v>10</v>
      </c>
      <c r="E10412" t="str">
        <f>"$ 393"</f>
        <v>$ 393</v>
      </c>
      <c r="F10412">
        <v>267</v>
      </c>
    </row>
    <row r="10413" spans="1:6">
      <c r="A10413" t="s">
        <v>10249</v>
      </c>
      <c r="B10413" t="str">
        <f t="shared" si="388"/>
        <v>0.00005%</v>
      </c>
      <c r="C10413" t="s">
        <v>10</v>
      </c>
      <c r="D10413" t="s">
        <v>10</v>
      </c>
      <c r="E10413" t="str">
        <f>"$ 392"</f>
        <v>$ 392</v>
      </c>
      <c r="F10413">
        <v>271</v>
      </c>
    </row>
    <row r="10414" spans="1:6">
      <c r="A10414" t="s">
        <v>10250</v>
      </c>
      <c r="B10414" t="str">
        <f t="shared" si="388"/>
        <v>0.00005%</v>
      </c>
      <c r="C10414" t="s">
        <v>10</v>
      </c>
      <c r="D10414" t="s">
        <v>10</v>
      </c>
      <c r="E10414" t="str">
        <f>"$ 400"</f>
        <v>$ 400</v>
      </c>
      <c r="F10414">
        <v>231</v>
      </c>
    </row>
    <row r="10415" spans="1:6">
      <c r="A10415" t="s">
        <v>10251</v>
      </c>
      <c r="B10415" t="str">
        <f t="shared" si="388"/>
        <v>0.00005%</v>
      </c>
      <c r="C10415" t="s">
        <v>10</v>
      </c>
      <c r="D10415" t="s">
        <v>10</v>
      </c>
      <c r="E10415" t="str">
        <f>"$ 364"</f>
        <v>$ 364</v>
      </c>
      <c r="F10415" s="1">
        <v>2128</v>
      </c>
    </row>
    <row r="10416" spans="1:6">
      <c r="A10416" t="s">
        <v>10252</v>
      </c>
      <c r="B10416" t="str">
        <f t="shared" si="388"/>
        <v>0.00005%</v>
      </c>
      <c r="C10416" t="s">
        <v>10</v>
      </c>
      <c r="D10416" t="s">
        <v>10</v>
      </c>
      <c r="E10416" t="str">
        <f>"$ 398"</f>
        <v>$ 398</v>
      </c>
      <c r="F10416">
        <v>33</v>
      </c>
    </row>
    <row r="10417" spans="1:6">
      <c r="A10417" t="s">
        <v>8712</v>
      </c>
      <c r="B10417" t="str">
        <f t="shared" si="388"/>
        <v>0.00005%</v>
      </c>
      <c r="C10417" t="s">
        <v>10</v>
      </c>
      <c r="D10417" t="s">
        <v>10</v>
      </c>
      <c r="E10417" t="str">
        <f>"$ 413"</f>
        <v>$ 413</v>
      </c>
      <c r="F10417">
        <v>624</v>
      </c>
    </row>
    <row r="10418" spans="1:6">
      <c r="A10418" t="s">
        <v>10253</v>
      </c>
      <c r="B10418" t="str">
        <f t="shared" si="388"/>
        <v>0.00005%</v>
      </c>
      <c r="C10418" t="s">
        <v>10</v>
      </c>
      <c r="D10418" t="s">
        <v>10</v>
      </c>
      <c r="E10418" t="str">
        <f>"$ 422"</f>
        <v>$ 422</v>
      </c>
      <c r="F10418">
        <v>472</v>
      </c>
    </row>
    <row r="10419" spans="1:6">
      <c r="A10419" t="s">
        <v>8204</v>
      </c>
      <c r="B10419" t="str">
        <f t="shared" si="388"/>
        <v>0.00005%</v>
      </c>
      <c r="C10419" t="s">
        <v>10</v>
      </c>
      <c r="D10419" t="s">
        <v>10</v>
      </c>
      <c r="E10419" t="str">
        <f>"$ 409"</f>
        <v>$ 409</v>
      </c>
      <c r="F10419">
        <v>542</v>
      </c>
    </row>
    <row r="10420" spans="1:6">
      <c r="A10420" t="s">
        <v>10254</v>
      </c>
      <c r="B10420" t="str">
        <f t="shared" ref="B10420:B10483" si="389">"0.00005%"</f>
        <v>0.00005%</v>
      </c>
      <c r="C10420" t="s">
        <v>10</v>
      </c>
      <c r="D10420" t="s">
        <v>10</v>
      </c>
      <c r="E10420" t="str">
        <f>"$ 356"</f>
        <v>$ 356</v>
      </c>
      <c r="F10420">
        <v>259</v>
      </c>
    </row>
    <row r="10421" spans="1:6">
      <c r="A10421" t="s">
        <v>10255</v>
      </c>
      <c r="B10421" t="str">
        <f t="shared" si="389"/>
        <v>0.00005%</v>
      </c>
      <c r="C10421" t="s">
        <v>10</v>
      </c>
      <c r="D10421" t="s">
        <v>10</v>
      </c>
      <c r="E10421" t="str">
        <f>"$ 357"</f>
        <v>$ 357</v>
      </c>
      <c r="F10421">
        <v>42</v>
      </c>
    </row>
    <row r="10422" spans="1:6">
      <c r="A10422" t="s">
        <v>10255</v>
      </c>
      <c r="B10422" t="str">
        <f t="shared" si="389"/>
        <v>0.00005%</v>
      </c>
      <c r="C10422" t="s">
        <v>10</v>
      </c>
      <c r="D10422" t="s">
        <v>10</v>
      </c>
      <c r="E10422" t="str">
        <f>"$ 406"</f>
        <v>$ 406</v>
      </c>
      <c r="F10422">
        <v>48</v>
      </c>
    </row>
    <row r="10423" spans="1:6">
      <c r="A10423" t="s">
        <v>10256</v>
      </c>
      <c r="B10423" t="str">
        <f t="shared" si="389"/>
        <v>0.00005%</v>
      </c>
      <c r="C10423" t="s">
        <v>10</v>
      </c>
      <c r="D10423" t="s">
        <v>10</v>
      </c>
      <c r="E10423" t="str">
        <f>"$ 404"</f>
        <v>$ 404</v>
      </c>
      <c r="F10423">
        <v>50</v>
      </c>
    </row>
    <row r="10424" spans="1:6">
      <c r="A10424" t="s">
        <v>10257</v>
      </c>
      <c r="B10424" t="str">
        <f t="shared" si="389"/>
        <v>0.00005%</v>
      </c>
      <c r="C10424" t="s">
        <v>10</v>
      </c>
      <c r="D10424" t="s">
        <v>10</v>
      </c>
      <c r="E10424" t="str">
        <f>"$ 412"</f>
        <v>$ 412</v>
      </c>
      <c r="F10424">
        <v>40</v>
      </c>
    </row>
    <row r="10425" spans="1:6">
      <c r="A10425" t="s">
        <v>10258</v>
      </c>
      <c r="B10425" t="str">
        <f t="shared" si="389"/>
        <v>0.00005%</v>
      </c>
      <c r="C10425" t="s">
        <v>10</v>
      </c>
      <c r="D10425" t="s">
        <v>10</v>
      </c>
      <c r="E10425" t="str">
        <f>"$ 420"</f>
        <v>$ 420</v>
      </c>
      <c r="F10425">
        <v>609</v>
      </c>
    </row>
    <row r="10426" spans="1:6">
      <c r="A10426" t="s">
        <v>9540</v>
      </c>
      <c r="B10426" t="str">
        <f t="shared" si="389"/>
        <v>0.00005%</v>
      </c>
      <c r="C10426" t="s">
        <v>10</v>
      </c>
      <c r="D10426" t="s">
        <v>10</v>
      </c>
      <c r="E10426" t="str">
        <f>"$ 405"</f>
        <v>$ 405</v>
      </c>
      <c r="F10426">
        <v>56</v>
      </c>
    </row>
    <row r="10427" spans="1:6">
      <c r="A10427" t="s">
        <v>10259</v>
      </c>
      <c r="B10427" t="str">
        <f t="shared" si="389"/>
        <v>0.00005%</v>
      </c>
      <c r="C10427" t="s">
        <v>10</v>
      </c>
      <c r="D10427" t="s">
        <v>10</v>
      </c>
      <c r="E10427" t="str">
        <f>"$ 401"</f>
        <v>$ 401</v>
      </c>
      <c r="F10427">
        <v>6</v>
      </c>
    </row>
    <row r="10428" spans="1:6">
      <c r="A10428" t="s">
        <v>10260</v>
      </c>
      <c r="B10428" t="str">
        <f t="shared" si="389"/>
        <v>0.00005%</v>
      </c>
      <c r="C10428" t="s">
        <v>10</v>
      </c>
      <c r="D10428" t="s">
        <v>10</v>
      </c>
      <c r="E10428" t="str">
        <f>"$ 403"</f>
        <v>$ 403</v>
      </c>
      <c r="F10428">
        <v>107</v>
      </c>
    </row>
    <row r="10429" spans="1:6">
      <c r="A10429" t="s">
        <v>10261</v>
      </c>
      <c r="B10429" t="str">
        <f t="shared" si="389"/>
        <v>0.00005%</v>
      </c>
      <c r="C10429" t="s">
        <v>10</v>
      </c>
      <c r="D10429" t="s">
        <v>10</v>
      </c>
      <c r="E10429" t="str">
        <f>"$ 380"</f>
        <v>$ 380</v>
      </c>
      <c r="F10429">
        <v>194</v>
      </c>
    </row>
    <row r="10430" spans="1:6">
      <c r="A10430" t="s">
        <v>9025</v>
      </c>
      <c r="B10430" t="str">
        <f t="shared" si="389"/>
        <v>0.00005%</v>
      </c>
      <c r="C10430" t="s">
        <v>10</v>
      </c>
      <c r="D10430" t="s">
        <v>10</v>
      </c>
      <c r="E10430" t="str">
        <f>"$ 375"</f>
        <v>$ 375</v>
      </c>
      <c r="F10430">
        <v>165</v>
      </c>
    </row>
    <row r="10431" spans="1:6">
      <c r="A10431" t="s">
        <v>10262</v>
      </c>
      <c r="B10431" t="str">
        <f t="shared" si="389"/>
        <v>0.00005%</v>
      </c>
      <c r="C10431" t="s">
        <v>10</v>
      </c>
      <c r="D10431" t="s">
        <v>10</v>
      </c>
      <c r="E10431" t="str">
        <f>"$ 375"</f>
        <v>$ 375</v>
      </c>
      <c r="F10431">
        <v>159</v>
      </c>
    </row>
    <row r="10432" spans="1:6">
      <c r="A10432" t="s">
        <v>10263</v>
      </c>
      <c r="B10432" t="str">
        <f t="shared" si="389"/>
        <v>0.00005%</v>
      </c>
      <c r="C10432" t="s">
        <v>10</v>
      </c>
      <c r="D10432" t="s">
        <v>10</v>
      </c>
      <c r="E10432" t="str">
        <f>"$ 388"</f>
        <v>$ 388</v>
      </c>
      <c r="F10432">
        <v>952</v>
      </c>
    </row>
    <row r="10433" spans="1:6">
      <c r="A10433" t="s">
        <v>10264</v>
      </c>
      <c r="B10433" t="str">
        <f t="shared" si="389"/>
        <v>0.00005%</v>
      </c>
      <c r="C10433" t="s">
        <v>10</v>
      </c>
      <c r="D10433" t="s">
        <v>10</v>
      </c>
      <c r="E10433" t="str">
        <f>"$ 389"</f>
        <v>$ 389</v>
      </c>
      <c r="F10433">
        <v>99</v>
      </c>
    </row>
    <row r="10434" spans="1:6">
      <c r="A10434" t="s">
        <v>10265</v>
      </c>
      <c r="B10434" t="str">
        <f t="shared" si="389"/>
        <v>0.00005%</v>
      </c>
      <c r="C10434" t="s">
        <v>10</v>
      </c>
      <c r="D10434" t="s">
        <v>10</v>
      </c>
      <c r="E10434" t="str">
        <f>"$ 392"</f>
        <v>$ 392</v>
      </c>
      <c r="F10434">
        <v>156</v>
      </c>
    </row>
    <row r="10435" spans="1:6">
      <c r="A10435" t="s">
        <v>10266</v>
      </c>
      <c r="B10435" t="str">
        <f t="shared" si="389"/>
        <v>0.00005%</v>
      </c>
      <c r="C10435" t="s">
        <v>10</v>
      </c>
      <c r="D10435" t="s">
        <v>10</v>
      </c>
      <c r="E10435" t="str">
        <f>"$ 406"</f>
        <v>$ 406</v>
      </c>
      <c r="F10435">
        <v>67</v>
      </c>
    </row>
    <row r="10436" spans="1:6">
      <c r="A10436" t="s">
        <v>9999</v>
      </c>
      <c r="B10436" t="str">
        <f t="shared" si="389"/>
        <v>0.00005%</v>
      </c>
      <c r="C10436" t="s">
        <v>10</v>
      </c>
      <c r="D10436" t="s">
        <v>10</v>
      </c>
      <c r="E10436" t="str">
        <f>"$ 413"</f>
        <v>$ 413</v>
      </c>
      <c r="F10436">
        <v>132</v>
      </c>
    </row>
    <row r="10437" spans="1:6">
      <c r="A10437" t="s">
        <v>10267</v>
      </c>
      <c r="B10437" t="str">
        <f t="shared" si="389"/>
        <v>0.00005%</v>
      </c>
      <c r="C10437" t="s">
        <v>10</v>
      </c>
      <c r="D10437" t="s">
        <v>10</v>
      </c>
      <c r="E10437" t="str">
        <f>"$ 415"</f>
        <v>$ 415</v>
      </c>
      <c r="F10437">
        <v>180</v>
      </c>
    </row>
    <row r="10438" spans="1:6">
      <c r="A10438" t="s">
        <v>10268</v>
      </c>
      <c r="B10438" t="str">
        <f t="shared" si="389"/>
        <v>0.00005%</v>
      </c>
      <c r="C10438" t="s">
        <v>10</v>
      </c>
      <c r="D10438" t="s">
        <v>10</v>
      </c>
      <c r="E10438" t="str">
        <f>"$ 424"</f>
        <v>$ 424</v>
      </c>
      <c r="F10438">
        <v>161</v>
      </c>
    </row>
    <row r="10439" spans="1:6">
      <c r="A10439" t="s">
        <v>10269</v>
      </c>
      <c r="B10439" t="str">
        <f t="shared" si="389"/>
        <v>0.00005%</v>
      </c>
      <c r="C10439" t="s">
        <v>10</v>
      </c>
      <c r="D10439" t="s">
        <v>10</v>
      </c>
      <c r="E10439" t="str">
        <f>"$ 411"</f>
        <v>$ 411</v>
      </c>
      <c r="F10439">
        <v>373</v>
      </c>
    </row>
    <row r="10440" spans="1:6">
      <c r="A10440" t="s">
        <v>10270</v>
      </c>
      <c r="B10440" t="str">
        <f t="shared" si="389"/>
        <v>0.00005%</v>
      </c>
      <c r="C10440" t="s">
        <v>10</v>
      </c>
      <c r="D10440" t="s">
        <v>10</v>
      </c>
      <c r="E10440" t="str">
        <f>"$ 410"</f>
        <v>$ 410</v>
      </c>
      <c r="F10440">
        <v>295</v>
      </c>
    </row>
    <row r="10441" spans="1:6">
      <c r="A10441" t="s">
        <v>10271</v>
      </c>
      <c r="B10441" t="str">
        <f t="shared" si="389"/>
        <v>0.00005%</v>
      </c>
      <c r="C10441" t="s">
        <v>10</v>
      </c>
      <c r="D10441" t="s">
        <v>10</v>
      </c>
      <c r="E10441" t="str">
        <f>"$ 348"</f>
        <v>$ 348</v>
      </c>
      <c r="F10441">
        <v>392</v>
      </c>
    </row>
    <row r="10442" spans="1:6">
      <c r="A10442" t="s">
        <v>10272</v>
      </c>
      <c r="B10442" t="str">
        <f t="shared" si="389"/>
        <v>0.00005%</v>
      </c>
      <c r="C10442" t="s">
        <v>10</v>
      </c>
      <c r="D10442" t="s">
        <v>10</v>
      </c>
      <c r="E10442" t="str">
        <f>"$ 358"</f>
        <v>$ 358</v>
      </c>
      <c r="F10442">
        <v>304</v>
      </c>
    </row>
    <row r="10443" spans="1:6">
      <c r="A10443" t="s">
        <v>10273</v>
      </c>
      <c r="B10443" t="str">
        <f t="shared" si="389"/>
        <v>0.00005%</v>
      </c>
      <c r="C10443" t="s">
        <v>10</v>
      </c>
      <c r="D10443" t="s">
        <v>10</v>
      </c>
      <c r="E10443" t="str">
        <f>"$ 359"</f>
        <v>$ 359</v>
      </c>
      <c r="F10443">
        <v>74</v>
      </c>
    </row>
    <row r="10444" spans="1:6">
      <c r="A10444" t="s">
        <v>10274</v>
      </c>
      <c r="B10444" t="str">
        <f t="shared" si="389"/>
        <v>0.00005%</v>
      </c>
      <c r="C10444" t="s">
        <v>10</v>
      </c>
      <c r="D10444" t="s">
        <v>10</v>
      </c>
      <c r="E10444" t="str">
        <f>"$ 359"</f>
        <v>$ 359</v>
      </c>
      <c r="F10444">
        <v>319</v>
      </c>
    </row>
    <row r="10445" spans="1:6">
      <c r="A10445" t="s">
        <v>10275</v>
      </c>
      <c r="B10445" t="str">
        <f t="shared" si="389"/>
        <v>0.00005%</v>
      </c>
      <c r="C10445" t="s">
        <v>10</v>
      </c>
      <c r="D10445" t="s">
        <v>10</v>
      </c>
      <c r="E10445" t="str">
        <f>"$ 365"</f>
        <v>$ 365</v>
      </c>
      <c r="F10445">
        <v>326</v>
      </c>
    </row>
    <row r="10446" spans="1:6">
      <c r="A10446" t="s">
        <v>10276</v>
      </c>
      <c r="B10446" t="str">
        <f t="shared" si="389"/>
        <v>0.00005%</v>
      </c>
      <c r="C10446" t="s">
        <v>10</v>
      </c>
      <c r="D10446" t="s">
        <v>10</v>
      </c>
      <c r="E10446" t="str">
        <f>"$ 360"</f>
        <v>$ 360</v>
      </c>
      <c r="F10446">
        <v>308</v>
      </c>
    </row>
    <row r="10447" spans="1:6">
      <c r="A10447" t="s">
        <v>10265</v>
      </c>
      <c r="B10447" t="str">
        <f t="shared" si="389"/>
        <v>0.00005%</v>
      </c>
      <c r="C10447" t="s">
        <v>10</v>
      </c>
      <c r="D10447" t="s">
        <v>10</v>
      </c>
      <c r="E10447" t="str">
        <f>"$ 348"</f>
        <v>$ 348</v>
      </c>
      <c r="F10447">
        <v>138</v>
      </c>
    </row>
    <row r="10448" spans="1:6">
      <c r="A10448" t="s">
        <v>10277</v>
      </c>
      <c r="B10448" t="str">
        <f t="shared" si="389"/>
        <v>0.00005%</v>
      </c>
      <c r="C10448" t="s">
        <v>10</v>
      </c>
      <c r="D10448" t="s">
        <v>10</v>
      </c>
      <c r="E10448" t="str">
        <f>"$ 356"</f>
        <v>$ 356</v>
      </c>
      <c r="F10448">
        <v>69</v>
      </c>
    </row>
    <row r="10449" spans="1:6">
      <c r="A10449" t="s">
        <v>10278</v>
      </c>
      <c r="B10449" t="str">
        <f t="shared" si="389"/>
        <v>0.00005%</v>
      </c>
      <c r="C10449" t="s">
        <v>10</v>
      </c>
      <c r="D10449" t="s">
        <v>10</v>
      </c>
      <c r="E10449" t="str">
        <f>"$ 353"</f>
        <v>$ 353</v>
      </c>
      <c r="F10449">
        <v>397</v>
      </c>
    </row>
    <row r="10450" spans="1:6">
      <c r="A10450" t="s">
        <v>10279</v>
      </c>
      <c r="B10450" t="str">
        <f t="shared" si="389"/>
        <v>0.00005%</v>
      </c>
      <c r="C10450" t="s">
        <v>10</v>
      </c>
      <c r="D10450" t="s">
        <v>10</v>
      </c>
      <c r="E10450" t="str">
        <f>"$ 349"</f>
        <v>$ 349</v>
      </c>
      <c r="F10450">
        <v>135</v>
      </c>
    </row>
    <row r="10451" spans="1:6">
      <c r="A10451" t="s">
        <v>10280</v>
      </c>
      <c r="B10451" t="str">
        <f t="shared" si="389"/>
        <v>0.00005%</v>
      </c>
      <c r="C10451" t="s">
        <v>10</v>
      </c>
      <c r="D10451" t="s">
        <v>10</v>
      </c>
      <c r="E10451" t="str">
        <f>"$ 414"</f>
        <v>$ 414</v>
      </c>
      <c r="F10451">
        <v>131</v>
      </c>
    </row>
    <row r="10452" spans="1:6">
      <c r="A10452" t="s">
        <v>10281</v>
      </c>
      <c r="B10452" t="str">
        <f t="shared" si="389"/>
        <v>0.00005%</v>
      </c>
      <c r="C10452" t="s">
        <v>10</v>
      </c>
      <c r="D10452" t="s">
        <v>10</v>
      </c>
      <c r="E10452" t="str">
        <f>"$ 403"</f>
        <v>$ 403</v>
      </c>
      <c r="F10452">
        <v>316</v>
      </c>
    </row>
    <row r="10453" spans="1:6">
      <c r="A10453" t="s">
        <v>10282</v>
      </c>
      <c r="B10453" t="str">
        <f t="shared" si="389"/>
        <v>0.00005%</v>
      </c>
      <c r="C10453" t="s">
        <v>10</v>
      </c>
      <c r="D10453" t="s">
        <v>10</v>
      </c>
      <c r="E10453" t="str">
        <f>"$ 385"</f>
        <v>$ 385</v>
      </c>
      <c r="F10453">
        <v>364</v>
      </c>
    </row>
    <row r="10454" spans="1:6">
      <c r="A10454" t="s">
        <v>10283</v>
      </c>
      <c r="B10454" t="str">
        <f t="shared" si="389"/>
        <v>0.00005%</v>
      </c>
      <c r="C10454" t="s">
        <v>10</v>
      </c>
      <c r="D10454" t="s">
        <v>10</v>
      </c>
      <c r="E10454" t="str">
        <f>"$ 375"</f>
        <v>$ 375</v>
      </c>
      <c r="F10454">
        <v>349</v>
      </c>
    </row>
    <row r="10455" spans="1:6">
      <c r="A10455" t="s">
        <v>10284</v>
      </c>
      <c r="B10455" t="str">
        <f t="shared" si="389"/>
        <v>0.00005%</v>
      </c>
      <c r="C10455" t="s">
        <v>10</v>
      </c>
      <c r="D10455" t="s">
        <v>10</v>
      </c>
      <c r="E10455" t="str">
        <f>"$ 400"</f>
        <v>$ 400</v>
      </c>
      <c r="F10455">
        <v>990</v>
      </c>
    </row>
    <row r="10456" spans="1:6">
      <c r="A10456" t="s">
        <v>10285</v>
      </c>
      <c r="B10456" t="str">
        <f t="shared" si="389"/>
        <v>0.00005%</v>
      </c>
      <c r="C10456" t="s">
        <v>10</v>
      </c>
      <c r="D10456" t="s">
        <v>10</v>
      </c>
      <c r="E10456" t="str">
        <f>"$ 357"</f>
        <v>$ 357</v>
      </c>
      <c r="F10456">
        <v>145</v>
      </c>
    </row>
    <row r="10457" spans="1:6">
      <c r="A10457" t="s">
        <v>10286</v>
      </c>
      <c r="B10457" t="str">
        <f t="shared" si="389"/>
        <v>0.00005%</v>
      </c>
      <c r="C10457" t="s">
        <v>10</v>
      </c>
      <c r="D10457" t="s">
        <v>10</v>
      </c>
      <c r="E10457" t="str">
        <f>"$ 369"</f>
        <v>$ 369</v>
      </c>
      <c r="F10457">
        <v>310</v>
      </c>
    </row>
    <row r="10458" spans="1:6">
      <c r="A10458" t="s">
        <v>10287</v>
      </c>
      <c r="B10458" t="str">
        <f t="shared" si="389"/>
        <v>0.00005%</v>
      </c>
      <c r="C10458" t="s">
        <v>10</v>
      </c>
      <c r="D10458" t="s">
        <v>10</v>
      </c>
      <c r="E10458" t="str">
        <f>"$ 390"</f>
        <v>$ 390</v>
      </c>
      <c r="F10458">
        <v>105</v>
      </c>
    </row>
    <row r="10459" spans="1:6">
      <c r="A10459" t="s">
        <v>10288</v>
      </c>
      <c r="B10459" t="str">
        <f t="shared" si="389"/>
        <v>0.00005%</v>
      </c>
      <c r="C10459" t="s">
        <v>10</v>
      </c>
      <c r="D10459" t="s">
        <v>10</v>
      </c>
      <c r="E10459" t="str">
        <f>"$ 406"</f>
        <v>$ 406</v>
      </c>
      <c r="F10459">
        <v>16</v>
      </c>
    </row>
    <row r="10460" spans="1:6">
      <c r="A10460" t="s">
        <v>10289</v>
      </c>
      <c r="B10460" t="str">
        <f t="shared" si="389"/>
        <v>0.00005%</v>
      </c>
      <c r="C10460" t="s">
        <v>10</v>
      </c>
      <c r="D10460" t="s">
        <v>10</v>
      </c>
      <c r="E10460" t="str">
        <f>"$ 351"</f>
        <v>$ 351</v>
      </c>
      <c r="F10460">
        <v>341</v>
      </c>
    </row>
    <row r="10461" spans="1:6">
      <c r="A10461" t="s">
        <v>9560</v>
      </c>
      <c r="B10461" t="str">
        <f t="shared" si="389"/>
        <v>0.00005%</v>
      </c>
      <c r="C10461" t="s">
        <v>10</v>
      </c>
      <c r="D10461" t="s">
        <v>10</v>
      </c>
      <c r="E10461" t="str">
        <f>"$ 351"</f>
        <v>$ 351</v>
      </c>
      <c r="F10461">
        <v>265</v>
      </c>
    </row>
    <row r="10462" spans="1:6">
      <c r="A10462" t="s">
        <v>10290</v>
      </c>
      <c r="B10462" t="str">
        <f t="shared" si="389"/>
        <v>0.00005%</v>
      </c>
      <c r="C10462" t="s">
        <v>10</v>
      </c>
      <c r="D10462" t="s">
        <v>10</v>
      </c>
      <c r="E10462" t="str">
        <f>"$ 407"</f>
        <v>$ 407</v>
      </c>
      <c r="F10462">
        <v>173</v>
      </c>
    </row>
    <row r="10463" spans="1:6">
      <c r="A10463" t="s">
        <v>10291</v>
      </c>
      <c r="B10463" t="str">
        <f t="shared" si="389"/>
        <v>0.00005%</v>
      </c>
      <c r="C10463" t="s">
        <v>10</v>
      </c>
      <c r="D10463" t="s">
        <v>10</v>
      </c>
      <c r="E10463" t="str">
        <f>"$ 421"</f>
        <v>$ 421</v>
      </c>
      <c r="F10463">
        <v>582</v>
      </c>
    </row>
    <row r="10464" spans="1:6">
      <c r="A10464" t="s">
        <v>10292</v>
      </c>
      <c r="B10464" t="str">
        <f t="shared" si="389"/>
        <v>0.00005%</v>
      </c>
      <c r="C10464" t="s">
        <v>10</v>
      </c>
      <c r="D10464" t="s">
        <v>10</v>
      </c>
      <c r="E10464" t="str">
        <f>"$ 391"</f>
        <v>$ 391</v>
      </c>
      <c r="F10464">
        <v>363</v>
      </c>
    </row>
    <row r="10465" spans="1:6">
      <c r="A10465" t="s">
        <v>10293</v>
      </c>
      <c r="B10465" t="str">
        <f t="shared" si="389"/>
        <v>0.00005%</v>
      </c>
      <c r="C10465" t="s">
        <v>10</v>
      </c>
      <c r="D10465" t="s">
        <v>10</v>
      </c>
      <c r="E10465" t="str">
        <f>"$ 375"</f>
        <v>$ 375</v>
      </c>
      <c r="F10465">
        <v>25</v>
      </c>
    </row>
    <row r="10466" spans="1:6">
      <c r="A10466" t="s">
        <v>10294</v>
      </c>
      <c r="B10466" t="str">
        <f t="shared" si="389"/>
        <v>0.00005%</v>
      </c>
      <c r="C10466" t="s">
        <v>10</v>
      </c>
      <c r="D10466" t="s">
        <v>10</v>
      </c>
      <c r="E10466" t="str">
        <f>"$ 375"</f>
        <v>$ 375</v>
      </c>
      <c r="F10466">
        <v>211</v>
      </c>
    </row>
    <row r="10467" spans="1:6">
      <c r="A10467" t="s">
        <v>10295</v>
      </c>
      <c r="B10467" t="str">
        <f t="shared" si="389"/>
        <v>0.00005%</v>
      </c>
      <c r="C10467" t="s">
        <v>10</v>
      </c>
      <c r="D10467" t="s">
        <v>10</v>
      </c>
      <c r="E10467" t="str">
        <f>"$ 388"</f>
        <v>$ 388</v>
      </c>
      <c r="F10467">
        <v>32</v>
      </c>
    </row>
    <row r="10468" spans="1:6">
      <c r="A10468" t="s">
        <v>10296</v>
      </c>
      <c r="B10468" t="str">
        <f t="shared" si="389"/>
        <v>0.00005%</v>
      </c>
      <c r="C10468" t="s">
        <v>10</v>
      </c>
      <c r="D10468" t="s">
        <v>10</v>
      </c>
      <c r="E10468" t="str">
        <f>"$ 389"</f>
        <v>$ 389</v>
      </c>
      <c r="F10468">
        <v>163</v>
      </c>
    </row>
    <row r="10469" spans="1:6">
      <c r="A10469" t="s">
        <v>10297</v>
      </c>
      <c r="B10469" t="str">
        <f t="shared" si="389"/>
        <v>0.00005%</v>
      </c>
      <c r="C10469" t="s">
        <v>10</v>
      </c>
      <c r="D10469" t="s">
        <v>10</v>
      </c>
      <c r="E10469" t="str">
        <f>"$ 394"</f>
        <v>$ 394</v>
      </c>
      <c r="F10469">
        <v>435</v>
      </c>
    </row>
    <row r="10470" spans="1:6">
      <c r="A10470" t="s">
        <v>10298</v>
      </c>
      <c r="B10470" t="str">
        <f t="shared" si="389"/>
        <v>0.00005%</v>
      </c>
      <c r="C10470" t="s">
        <v>10</v>
      </c>
      <c r="D10470" t="s">
        <v>10</v>
      </c>
      <c r="E10470" t="str">
        <f>"$ 395"</f>
        <v>$ 395</v>
      </c>
      <c r="F10470">
        <v>272</v>
      </c>
    </row>
    <row r="10471" spans="1:6">
      <c r="A10471" t="s">
        <v>10299</v>
      </c>
      <c r="B10471" t="str">
        <f t="shared" si="389"/>
        <v>0.00005%</v>
      </c>
      <c r="C10471" t="s">
        <v>10</v>
      </c>
      <c r="D10471" t="s">
        <v>10</v>
      </c>
      <c r="E10471" t="str">
        <f>"$ 401"</f>
        <v>$ 401</v>
      </c>
      <c r="F10471">
        <v>34</v>
      </c>
    </row>
    <row r="10472" spans="1:6">
      <c r="A10472" t="s">
        <v>10300</v>
      </c>
      <c r="B10472" t="str">
        <f t="shared" si="389"/>
        <v>0.00005%</v>
      </c>
      <c r="C10472" t="s">
        <v>10</v>
      </c>
      <c r="D10472" t="s">
        <v>10</v>
      </c>
      <c r="E10472" t="str">
        <f>"$ 400"</f>
        <v>$ 400</v>
      </c>
      <c r="F10472">
        <v>218</v>
      </c>
    </row>
    <row r="10473" spans="1:6">
      <c r="A10473" t="s">
        <v>10301</v>
      </c>
      <c r="B10473" t="str">
        <f t="shared" si="389"/>
        <v>0.00005%</v>
      </c>
      <c r="C10473" t="s">
        <v>10</v>
      </c>
      <c r="D10473" t="s">
        <v>10</v>
      </c>
      <c r="E10473" t="str">
        <f>"$ 367"</f>
        <v>$ 367</v>
      </c>
      <c r="F10473">
        <v>298</v>
      </c>
    </row>
    <row r="10474" spans="1:6">
      <c r="A10474" t="s">
        <v>10302</v>
      </c>
      <c r="B10474" t="str">
        <f t="shared" si="389"/>
        <v>0.00005%</v>
      </c>
      <c r="C10474" t="s">
        <v>10</v>
      </c>
      <c r="D10474" t="s">
        <v>10</v>
      </c>
      <c r="E10474" t="str">
        <f>"$ 373"</f>
        <v>$ 373</v>
      </c>
      <c r="F10474">
        <v>137</v>
      </c>
    </row>
    <row r="10475" spans="1:6">
      <c r="A10475" t="s">
        <v>10303</v>
      </c>
      <c r="B10475" t="str">
        <f t="shared" si="389"/>
        <v>0.00005%</v>
      </c>
      <c r="C10475" t="s">
        <v>10</v>
      </c>
      <c r="D10475" t="s">
        <v>10</v>
      </c>
      <c r="E10475" t="str">
        <f>"$ 358"</f>
        <v>$ 358</v>
      </c>
      <c r="F10475">
        <v>413</v>
      </c>
    </row>
    <row r="10476" spans="1:6">
      <c r="A10476" t="s">
        <v>10304</v>
      </c>
      <c r="B10476" t="str">
        <f t="shared" si="389"/>
        <v>0.00005%</v>
      </c>
      <c r="C10476" t="s">
        <v>10</v>
      </c>
      <c r="D10476" t="s">
        <v>10</v>
      </c>
      <c r="E10476" t="str">
        <f>"$ 370"</f>
        <v>$ 370</v>
      </c>
      <c r="F10476">
        <v>16</v>
      </c>
    </row>
    <row r="10477" spans="1:6">
      <c r="A10477" t="s">
        <v>10305</v>
      </c>
      <c r="B10477" t="str">
        <f t="shared" si="389"/>
        <v>0.00005%</v>
      </c>
      <c r="C10477" t="s">
        <v>10</v>
      </c>
      <c r="D10477" t="s">
        <v>10</v>
      </c>
      <c r="E10477" t="str">
        <f>"$ 371"</f>
        <v>$ 371</v>
      </c>
      <c r="F10477">
        <v>488</v>
      </c>
    </row>
    <row r="10478" spans="1:6">
      <c r="A10478" t="s">
        <v>10306</v>
      </c>
      <c r="B10478" t="str">
        <f t="shared" si="389"/>
        <v>0.00005%</v>
      </c>
      <c r="C10478" t="s">
        <v>10</v>
      </c>
      <c r="D10478" t="s">
        <v>10</v>
      </c>
      <c r="E10478" t="str">
        <f>"$ 392"</f>
        <v>$ 392</v>
      </c>
      <c r="F10478">
        <v>120</v>
      </c>
    </row>
    <row r="10479" spans="1:6">
      <c r="A10479" t="s">
        <v>10307</v>
      </c>
      <c r="B10479" t="str">
        <f t="shared" si="389"/>
        <v>0.00005%</v>
      </c>
      <c r="C10479" t="s">
        <v>10</v>
      </c>
      <c r="D10479" t="s">
        <v>10</v>
      </c>
      <c r="E10479" t="str">
        <f>"$ 367"</f>
        <v>$ 367</v>
      </c>
      <c r="F10479">
        <v>553</v>
      </c>
    </row>
    <row r="10480" spans="1:6">
      <c r="A10480" t="s">
        <v>10308</v>
      </c>
      <c r="B10480" t="str">
        <f t="shared" si="389"/>
        <v>0.00005%</v>
      </c>
      <c r="C10480" t="s">
        <v>10</v>
      </c>
      <c r="D10480" t="s">
        <v>10</v>
      </c>
      <c r="E10480" t="str">
        <f>"$ 398"</f>
        <v>$ 398</v>
      </c>
      <c r="F10480">
        <v>525</v>
      </c>
    </row>
    <row r="10481" spans="1:6">
      <c r="A10481" t="s">
        <v>10309</v>
      </c>
      <c r="B10481" t="str">
        <f t="shared" si="389"/>
        <v>0.00005%</v>
      </c>
      <c r="C10481" t="s">
        <v>10</v>
      </c>
      <c r="D10481" t="s">
        <v>10</v>
      </c>
      <c r="E10481" t="str">
        <f>"$ 418"</f>
        <v>$ 418</v>
      </c>
      <c r="F10481">
        <v>378</v>
      </c>
    </row>
    <row r="10482" spans="1:6">
      <c r="A10482" t="s">
        <v>10310</v>
      </c>
      <c r="B10482" t="str">
        <f t="shared" si="389"/>
        <v>0.00005%</v>
      </c>
      <c r="C10482" t="s">
        <v>10</v>
      </c>
      <c r="D10482" t="s">
        <v>10</v>
      </c>
      <c r="E10482" t="str">
        <f>"$ 387"</f>
        <v>$ 387</v>
      </c>
      <c r="F10482">
        <v>192</v>
      </c>
    </row>
    <row r="10483" spans="1:6">
      <c r="A10483" t="s">
        <v>9563</v>
      </c>
      <c r="B10483" t="str">
        <f t="shared" si="389"/>
        <v>0.00005%</v>
      </c>
      <c r="C10483" t="s">
        <v>10</v>
      </c>
      <c r="D10483" t="s">
        <v>10</v>
      </c>
      <c r="E10483" t="str">
        <f>"$ 377"</f>
        <v>$ 377</v>
      </c>
      <c r="F10483">
        <v>385</v>
      </c>
    </row>
    <row r="10484" spans="1:6">
      <c r="A10484" t="s">
        <v>10311</v>
      </c>
      <c r="B10484" t="str">
        <f t="shared" ref="B10484:B10547" si="390">"0.00005%"</f>
        <v>0.00005%</v>
      </c>
      <c r="C10484" t="s">
        <v>10</v>
      </c>
      <c r="D10484" t="s">
        <v>10</v>
      </c>
      <c r="E10484" t="str">
        <f>"$ 377"</f>
        <v>$ 377</v>
      </c>
      <c r="F10484">
        <v>359</v>
      </c>
    </row>
    <row r="10485" spans="1:6">
      <c r="A10485" t="s">
        <v>10312</v>
      </c>
      <c r="B10485" t="str">
        <f t="shared" si="390"/>
        <v>0.00005%</v>
      </c>
      <c r="C10485" t="s">
        <v>10</v>
      </c>
      <c r="D10485" t="s">
        <v>10</v>
      </c>
      <c r="E10485" t="str">
        <f>"$ 378"</f>
        <v>$ 378</v>
      </c>
      <c r="F10485">
        <v>147</v>
      </c>
    </row>
    <row r="10486" spans="1:6">
      <c r="A10486" t="s">
        <v>10313</v>
      </c>
      <c r="B10486" t="str">
        <f t="shared" si="390"/>
        <v>0.00005%</v>
      </c>
      <c r="C10486" t="s">
        <v>10</v>
      </c>
      <c r="D10486" t="s">
        <v>10</v>
      </c>
      <c r="E10486" t="str">
        <f>"$ 406"</f>
        <v>$ 406</v>
      </c>
      <c r="F10486">
        <v>741</v>
      </c>
    </row>
    <row r="10487" spans="1:6">
      <c r="A10487" t="s">
        <v>9817</v>
      </c>
      <c r="B10487" t="str">
        <f t="shared" si="390"/>
        <v>0.00005%</v>
      </c>
      <c r="C10487" t="s">
        <v>10</v>
      </c>
      <c r="D10487" t="s">
        <v>10</v>
      </c>
      <c r="E10487" t="str">
        <f>"$ 412"</f>
        <v>$ 412</v>
      </c>
      <c r="F10487">
        <v>251</v>
      </c>
    </row>
    <row r="10488" spans="1:6">
      <c r="A10488" t="s">
        <v>10314</v>
      </c>
      <c r="B10488" t="str">
        <f t="shared" si="390"/>
        <v>0.00005%</v>
      </c>
      <c r="C10488" t="s">
        <v>10</v>
      </c>
      <c r="D10488" t="s">
        <v>10</v>
      </c>
      <c r="E10488" t="str">
        <f>"$ 352"</f>
        <v>$ 352</v>
      </c>
      <c r="F10488" s="1">
        <v>2039</v>
      </c>
    </row>
    <row r="10489" spans="1:6">
      <c r="A10489" t="s">
        <v>10315</v>
      </c>
      <c r="B10489" t="str">
        <f t="shared" si="390"/>
        <v>0.00005%</v>
      </c>
      <c r="C10489" t="s">
        <v>10</v>
      </c>
      <c r="D10489" t="s">
        <v>10</v>
      </c>
      <c r="E10489" t="str">
        <f>"$ 353"</f>
        <v>$ 353</v>
      </c>
      <c r="F10489">
        <v>284</v>
      </c>
    </row>
    <row r="10490" spans="1:6">
      <c r="A10490" t="s">
        <v>9215</v>
      </c>
      <c r="B10490" t="str">
        <f t="shared" si="390"/>
        <v>0.00005%</v>
      </c>
      <c r="C10490" t="s">
        <v>10</v>
      </c>
      <c r="D10490" t="s">
        <v>10</v>
      </c>
      <c r="E10490" t="str">
        <f>"$ 354"</f>
        <v>$ 354</v>
      </c>
      <c r="F10490">
        <v>72</v>
      </c>
    </row>
    <row r="10491" spans="1:6">
      <c r="A10491" t="s">
        <v>10316</v>
      </c>
      <c r="B10491" t="str">
        <f t="shared" si="390"/>
        <v>0.00005%</v>
      </c>
      <c r="C10491" t="s">
        <v>10</v>
      </c>
      <c r="D10491" t="s">
        <v>10</v>
      </c>
      <c r="E10491" t="str">
        <f>"$ 369"</f>
        <v>$ 369</v>
      </c>
      <c r="F10491">
        <v>200</v>
      </c>
    </row>
    <row r="10492" spans="1:6">
      <c r="A10492" t="s">
        <v>10317</v>
      </c>
      <c r="B10492" t="str">
        <f t="shared" si="390"/>
        <v>0.00005%</v>
      </c>
      <c r="C10492" t="s">
        <v>10</v>
      </c>
      <c r="D10492" t="s">
        <v>10</v>
      </c>
      <c r="E10492" t="str">
        <f>"$ 403"</f>
        <v>$ 403</v>
      </c>
      <c r="F10492">
        <v>48</v>
      </c>
    </row>
    <row r="10493" spans="1:6">
      <c r="A10493" t="s">
        <v>10318</v>
      </c>
      <c r="B10493" t="str">
        <f t="shared" si="390"/>
        <v>0.00005%</v>
      </c>
      <c r="C10493" t="s">
        <v>10</v>
      </c>
      <c r="D10493" t="s">
        <v>10</v>
      </c>
      <c r="E10493" t="str">
        <f>"$ 396"</f>
        <v>$ 396</v>
      </c>
      <c r="F10493">
        <v>97</v>
      </c>
    </row>
    <row r="10494" spans="1:6">
      <c r="A10494" t="s">
        <v>10319</v>
      </c>
      <c r="B10494" t="str">
        <f t="shared" si="390"/>
        <v>0.00005%</v>
      </c>
      <c r="C10494" t="s">
        <v>10</v>
      </c>
      <c r="D10494" t="s">
        <v>10</v>
      </c>
      <c r="E10494" t="str">
        <f>"$ 388"</f>
        <v>$ 388</v>
      </c>
      <c r="F10494">
        <v>150</v>
      </c>
    </row>
    <row r="10495" spans="1:6">
      <c r="A10495" t="s">
        <v>10320</v>
      </c>
      <c r="B10495" t="str">
        <f t="shared" si="390"/>
        <v>0.00005%</v>
      </c>
      <c r="C10495" t="s">
        <v>10</v>
      </c>
      <c r="D10495" t="s">
        <v>10</v>
      </c>
      <c r="E10495" t="str">
        <f>"$ 420"</f>
        <v>$ 420</v>
      </c>
      <c r="F10495">
        <v>220</v>
      </c>
    </row>
    <row r="10496" spans="1:6">
      <c r="A10496" t="s">
        <v>10321</v>
      </c>
      <c r="B10496" t="str">
        <f t="shared" si="390"/>
        <v>0.00005%</v>
      </c>
      <c r="C10496" t="s">
        <v>10</v>
      </c>
      <c r="D10496" t="s">
        <v>10</v>
      </c>
      <c r="E10496" t="str">
        <f>"$ 358"</f>
        <v>$ 358</v>
      </c>
      <c r="F10496">
        <v>79</v>
      </c>
    </row>
    <row r="10497" spans="1:6">
      <c r="A10497" t="s">
        <v>10322</v>
      </c>
      <c r="B10497" t="str">
        <f t="shared" si="390"/>
        <v>0.00005%</v>
      </c>
      <c r="C10497" t="s">
        <v>10</v>
      </c>
      <c r="D10497" t="s">
        <v>10</v>
      </c>
      <c r="E10497" t="str">
        <f>"$ 409"</f>
        <v>$ 409</v>
      </c>
      <c r="F10497">
        <v>764</v>
      </c>
    </row>
    <row r="10498" spans="1:6">
      <c r="A10498" t="s">
        <v>10323</v>
      </c>
      <c r="B10498" t="str">
        <f t="shared" si="390"/>
        <v>0.00005%</v>
      </c>
      <c r="C10498" t="s">
        <v>10</v>
      </c>
      <c r="D10498" t="s">
        <v>10</v>
      </c>
      <c r="E10498" t="str">
        <f>"$ 411"</f>
        <v>$ 411</v>
      </c>
      <c r="F10498">
        <v>264</v>
      </c>
    </row>
    <row r="10499" spans="1:6">
      <c r="A10499" t="s">
        <v>9406</v>
      </c>
      <c r="B10499" t="str">
        <f t="shared" si="390"/>
        <v>0.00005%</v>
      </c>
      <c r="C10499" t="s">
        <v>10</v>
      </c>
      <c r="D10499" t="s">
        <v>10</v>
      </c>
      <c r="E10499" t="str">
        <f>"$ 391"</f>
        <v>$ 391</v>
      </c>
      <c r="F10499">
        <v>150</v>
      </c>
    </row>
    <row r="10500" spans="1:6">
      <c r="A10500" t="s">
        <v>10324</v>
      </c>
      <c r="B10500" t="str">
        <f t="shared" si="390"/>
        <v>0.00005%</v>
      </c>
      <c r="C10500" t="s">
        <v>10</v>
      </c>
      <c r="D10500" t="s">
        <v>10</v>
      </c>
      <c r="E10500" t="str">
        <f>"$ 400"</f>
        <v>$ 400</v>
      </c>
      <c r="F10500">
        <v>367</v>
      </c>
    </row>
    <row r="10501" spans="1:6">
      <c r="A10501" t="s">
        <v>9575</v>
      </c>
      <c r="B10501" t="str">
        <f t="shared" si="390"/>
        <v>0.00005%</v>
      </c>
      <c r="C10501" t="s">
        <v>10</v>
      </c>
      <c r="D10501" t="s">
        <v>10</v>
      </c>
      <c r="E10501" t="str">
        <f>"$ 354"</f>
        <v>$ 354</v>
      </c>
      <c r="F10501">
        <v>278</v>
      </c>
    </row>
    <row r="10502" spans="1:6">
      <c r="A10502" t="s">
        <v>10325</v>
      </c>
      <c r="B10502" t="str">
        <f t="shared" si="390"/>
        <v>0.00005%</v>
      </c>
      <c r="C10502" t="s">
        <v>10</v>
      </c>
      <c r="D10502" t="s">
        <v>10</v>
      </c>
      <c r="E10502" t="str">
        <f>"$ 370"</f>
        <v>$ 370</v>
      </c>
      <c r="F10502">
        <v>93</v>
      </c>
    </row>
    <row r="10503" spans="1:6">
      <c r="A10503" t="s">
        <v>10326</v>
      </c>
      <c r="B10503" t="str">
        <f t="shared" si="390"/>
        <v>0.00005%</v>
      </c>
      <c r="C10503" t="s">
        <v>10</v>
      </c>
      <c r="D10503" t="s">
        <v>10</v>
      </c>
      <c r="E10503" t="str">
        <f>"$ 370"</f>
        <v>$ 370</v>
      </c>
      <c r="F10503">
        <v>4</v>
      </c>
    </row>
    <row r="10504" spans="1:6">
      <c r="A10504" t="s">
        <v>10327</v>
      </c>
      <c r="B10504" t="str">
        <f t="shared" si="390"/>
        <v>0.00005%</v>
      </c>
      <c r="C10504" t="s">
        <v>10</v>
      </c>
      <c r="D10504" t="s">
        <v>10</v>
      </c>
      <c r="E10504" t="str">
        <f>"$ 350"</f>
        <v>$ 350</v>
      </c>
      <c r="F10504">
        <v>302</v>
      </c>
    </row>
    <row r="10505" spans="1:6">
      <c r="A10505" t="s">
        <v>10050</v>
      </c>
      <c r="B10505" t="str">
        <f t="shared" si="390"/>
        <v>0.00005%</v>
      </c>
      <c r="C10505" t="s">
        <v>10</v>
      </c>
      <c r="D10505" t="s">
        <v>10</v>
      </c>
      <c r="E10505" t="str">
        <f>"$ 417"</f>
        <v>$ 417</v>
      </c>
      <c r="F10505">
        <v>633</v>
      </c>
    </row>
    <row r="10506" spans="1:6">
      <c r="A10506" t="s">
        <v>10328</v>
      </c>
      <c r="B10506" t="str">
        <f t="shared" si="390"/>
        <v>0.00005%</v>
      </c>
      <c r="C10506" t="s">
        <v>10</v>
      </c>
      <c r="D10506" t="s">
        <v>10</v>
      </c>
      <c r="E10506" t="str">
        <f>"$ 383"</f>
        <v>$ 383</v>
      </c>
      <c r="F10506">
        <v>79</v>
      </c>
    </row>
    <row r="10507" spans="1:6">
      <c r="A10507" t="s">
        <v>10329</v>
      </c>
      <c r="B10507" t="str">
        <f t="shared" si="390"/>
        <v>0.00005%</v>
      </c>
      <c r="C10507" t="s">
        <v>10</v>
      </c>
      <c r="D10507" t="s">
        <v>10</v>
      </c>
      <c r="E10507" t="str">
        <f>"$ 374"</f>
        <v>$ 374</v>
      </c>
      <c r="F10507">
        <v>158</v>
      </c>
    </row>
    <row r="10508" spans="1:6">
      <c r="A10508" t="s">
        <v>10330</v>
      </c>
      <c r="B10508" t="str">
        <f t="shared" si="390"/>
        <v>0.00005%</v>
      </c>
      <c r="C10508" t="s">
        <v>10</v>
      </c>
      <c r="D10508" t="s">
        <v>10</v>
      </c>
      <c r="E10508" t="str">
        <f>"$ 401"</f>
        <v>$ 401</v>
      </c>
      <c r="F10508">
        <v>430</v>
      </c>
    </row>
    <row r="10509" spans="1:6">
      <c r="A10509" t="s">
        <v>8021</v>
      </c>
      <c r="B10509" t="str">
        <f t="shared" si="390"/>
        <v>0.00005%</v>
      </c>
      <c r="C10509" t="s">
        <v>10</v>
      </c>
      <c r="D10509" t="s">
        <v>10</v>
      </c>
      <c r="E10509" t="str">
        <f>"$ 392"</f>
        <v>$ 392</v>
      </c>
      <c r="F10509">
        <v>259</v>
      </c>
    </row>
    <row r="10510" spans="1:6">
      <c r="A10510" t="s">
        <v>10331</v>
      </c>
      <c r="B10510" t="str">
        <f t="shared" si="390"/>
        <v>0.00005%</v>
      </c>
      <c r="C10510" t="s">
        <v>10</v>
      </c>
      <c r="D10510" t="s">
        <v>10</v>
      </c>
      <c r="E10510" t="str">
        <f>"$ 400"</f>
        <v>$ 400</v>
      </c>
      <c r="F10510">
        <v>262</v>
      </c>
    </row>
    <row r="10511" spans="1:6">
      <c r="A10511" t="s">
        <v>10332</v>
      </c>
      <c r="B10511" t="str">
        <f t="shared" si="390"/>
        <v>0.00005%</v>
      </c>
      <c r="C10511" t="s">
        <v>10</v>
      </c>
      <c r="D10511" t="s">
        <v>10</v>
      </c>
      <c r="E10511" t="str">
        <f>"$ 363"</f>
        <v>$ 363</v>
      </c>
      <c r="F10511">
        <v>92</v>
      </c>
    </row>
    <row r="10512" spans="1:6">
      <c r="A10512" t="s">
        <v>10333</v>
      </c>
      <c r="B10512" t="str">
        <f t="shared" si="390"/>
        <v>0.00005%</v>
      </c>
      <c r="C10512" t="s">
        <v>10</v>
      </c>
      <c r="D10512" t="s">
        <v>10</v>
      </c>
      <c r="E10512" t="str">
        <f>"$ 381"</f>
        <v>$ 381</v>
      </c>
      <c r="F10512">
        <v>135</v>
      </c>
    </row>
    <row r="10513" spans="1:6">
      <c r="A10513" t="s">
        <v>10334</v>
      </c>
      <c r="B10513" t="str">
        <f t="shared" si="390"/>
        <v>0.00005%</v>
      </c>
      <c r="C10513" t="s">
        <v>10</v>
      </c>
      <c r="D10513" t="s">
        <v>10</v>
      </c>
      <c r="E10513" t="str">
        <f>"$ 385"</f>
        <v>$ 385</v>
      </c>
      <c r="F10513" s="1">
        <v>2410</v>
      </c>
    </row>
    <row r="10514" spans="1:6">
      <c r="A10514" t="s">
        <v>10335</v>
      </c>
      <c r="B10514" t="str">
        <f t="shared" si="390"/>
        <v>0.00005%</v>
      </c>
      <c r="C10514" t="s">
        <v>10</v>
      </c>
      <c r="D10514" t="s">
        <v>10</v>
      </c>
      <c r="E10514" t="str">
        <f>"$ 371"</f>
        <v>$ 371</v>
      </c>
      <c r="F10514">
        <v>49</v>
      </c>
    </row>
    <row r="10515" spans="1:6">
      <c r="A10515" t="s">
        <v>10336</v>
      </c>
      <c r="B10515" t="str">
        <f t="shared" si="390"/>
        <v>0.00005%</v>
      </c>
      <c r="C10515" t="s">
        <v>10</v>
      </c>
      <c r="D10515" t="s">
        <v>10</v>
      </c>
      <c r="E10515" t="str">
        <f>"$ 383"</f>
        <v>$ 383</v>
      </c>
      <c r="F10515">
        <v>402</v>
      </c>
    </row>
    <row r="10516" spans="1:6">
      <c r="A10516" t="s">
        <v>10337</v>
      </c>
      <c r="B10516" t="str">
        <f t="shared" si="390"/>
        <v>0.00005%</v>
      </c>
      <c r="C10516" t="s">
        <v>10</v>
      </c>
      <c r="D10516" t="s">
        <v>10</v>
      </c>
      <c r="E10516" t="str">
        <f>"$ 415"</f>
        <v>$ 415</v>
      </c>
      <c r="F10516">
        <v>15</v>
      </c>
    </row>
    <row r="10517" spans="1:6">
      <c r="A10517" t="s">
        <v>10338</v>
      </c>
      <c r="B10517" t="str">
        <f t="shared" si="390"/>
        <v>0.00005%</v>
      </c>
      <c r="C10517" t="s">
        <v>10</v>
      </c>
      <c r="D10517" t="s">
        <v>10</v>
      </c>
      <c r="E10517" t="str">
        <f>"$ 407"</f>
        <v>$ 407</v>
      </c>
      <c r="F10517">
        <v>13</v>
      </c>
    </row>
    <row r="10518" spans="1:6">
      <c r="A10518" t="s">
        <v>10339</v>
      </c>
      <c r="B10518" t="str">
        <f t="shared" si="390"/>
        <v>0.00005%</v>
      </c>
      <c r="C10518" t="s">
        <v>10</v>
      </c>
      <c r="D10518" t="s">
        <v>10</v>
      </c>
      <c r="E10518" t="str">
        <f>"$ 368"</f>
        <v>$ 368</v>
      </c>
      <c r="F10518">
        <v>365</v>
      </c>
    </row>
    <row r="10519" spans="1:6">
      <c r="A10519" t="s">
        <v>10340</v>
      </c>
      <c r="B10519" t="str">
        <f t="shared" si="390"/>
        <v>0.00005%</v>
      </c>
      <c r="C10519" t="s">
        <v>10</v>
      </c>
      <c r="D10519" t="s">
        <v>10</v>
      </c>
      <c r="E10519" t="str">
        <f>"$ 353"</f>
        <v>$ 353</v>
      </c>
      <c r="F10519">
        <v>115</v>
      </c>
    </row>
    <row r="10520" spans="1:6">
      <c r="A10520" t="s">
        <v>10341</v>
      </c>
      <c r="B10520" t="str">
        <f t="shared" si="390"/>
        <v>0.00005%</v>
      </c>
      <c r="C10520" t="s">
        <v>10</v>
      </c>
      <c r="D10520" t="s">
        <v>10</v>
      </c>
      <c r="E10520" t="str">
        <f>"$ 354"</f>
        <v>$ 354</v>
      </c>
      <c r="F10520">
        <v>164</v>
      </c>
    </row>
    <row r="10521" spans="1:6">
      <c r="A10521" t="s">
        <v>10342</v>
      </c>
      <c r="B10521" t="str">
        <f t="shared" si="390"/>
        <v>0.00005%</v>
      </c>
      <c r="C10521" t="s">
        <v>10</v>
      </c>
      <c r="D10521" t="s">
        <v>10</v>
      </c>
      <c r="E10521" t="str">
        <f>"$ 408"</f>
        <v>$ 408</v>
      </c>
      <c r="F10521">
        <v>204</v>
      </c>
    </row>
    <row r="10522" spans="1:6">
      <c r="A10522" t="s">
        <v>9419</v>
      </c>
      <c r="B10522" t="str">
        <f t="shared" si="390"/>
        <v>0.00005%</v>
      </c>
      <c r="C10522" t="s">
        <v>10</v>
      </c>
      <c r="D10522" t="s">
        <v>10</v>
      </c>
      <c r="E10522" t="str">
        <f>"$ 384"</f>
        <v>$ 384</v>
      </c>
      <c r="F10522">
        <v>216</v>
      </c>
    </row>
    <row r="10523" spans="1:6">
      <c r="A10523" t="s">
        <v>10343</v>
      </c>
      <c r="B10523" t="str">
        <f t="shared" si="390"/>
        <v>0.00005%</v>
      </c>
      <c r="C10523" t="s">
        <v>10</v>
      </c>
      <c r="D10523" t="s">
        <v>10</v>
      </c>
      <c r="E10523" t="str">
        <f>"$ 376"</f>
        <v>$ 376</v>
      </c>
      <c r="F10523" s="1">
        <v>9666</v>
      </c>
    </row>
    <row r="10524" spans="1:6">
      <c r="A10524" t="s">
        <v>7464</v>
      </c>
      <c r="B10524" t="str">
        <f t="shared" si="390"/>
        <v>0.00005%</v>
      </c>
      <c r="C10524" t="s">
        <v>10</v>
      </c>
      <c r="D10524" t="s">
        <v>10</v>
      </c>
      <c r="E10524" t="str">
        <f>"$ 411"</f>
        <v>$ 411</v>
      </c>
      <c r="F10524">
        <v>217</v>
      </c>
    </row>
    <row r="10525" spans="1:6">
      <c r="A10525" t="s">
        <v>10344</v>
      </c>
      <c r="B10525" t="str">
        <f t="shared" si="390"/>
        <v>0.00005%</v>
      </c>
      <c r="C10525" t="s">
        <v>10</v>
      </c>
      <c r="D10525" t="s">
        <v>10</v>
      </c>
      <c r="E10525" t="str">
        <f>"$ 422"</f>
        <v>$ 422</v>
      </c>
      <c r="F10525">
        <v>300</v>
      </c>
    </row>
    <row r="10526" spans="1:6">
      <c r="A10526" t="s">
        <v>10345</v>
      </c>
      <c r="B10526" t="str">
        <f t="shared" si="390"/>
        <v>0.00005%</v>
      </c>
      <c r="C10526" t="s">
        <v>10</v>
      </c>
      <c r="D10526" t="s">
        <v>10</v>
      </c>
      <c r="E10526" t="str">
        <f>"$ 423"</f>
        <v>$ 423</v>
      </c>
      <c r="F10526">
        <v>510</v>
      </c>
    </row>
    <row r="10527" spans="1:6">
      <c r="A10527" t="s">
        <v>10346</v>
      </c>
      <c r="B10527" t="str">
        <f t="shared" si="390"/>
        <v>0.00005%</v>
      </c>
      <c r="C10527" t="s">
        <v>10</v>
      </c>
      <c r="D10527" t="s">
        <v>10</v>
      </c>
      <c r="E10527" t="str">
        <f>"$ 353"</f>
        <v>$ 353</v>
      </c>
      <c r="F10527" s="1">
        <v>2144</v>
      </c>
    </row>
    <row r="10528" spans="1:6">
      <c r="A10528" t="s">
        <v>10347</v>
      </c>
      <c r="B10528" t="str">
        <f t="shared" si="390"/>
        <v>0.00005%</v>
      </c>
      <c r="C10528" t="s">
        <v>10</v>
      </c>
      <c r="D10528" t="s">
        <v>10</v>
      </c>
      <c r="E10528" t="str">
        <f>"$ 363"</f>
        <v>$ 363</v>
      </c>
      <c r="F10528">
        <v>132</v>
      </c>
    </row>
    <row r="10529" spans="1:6">
      <c r="A10529" t="s">
        <v>10348</v>
      </c>
      <c r="B10529" t="str">
        <f t="shared" si="390"/>
        <v>0.00005%</v>
      </c>
      <c r="C10529" t="s">
        <v>10</v>
      </c>
      <c r="D10529" t="s">
        <v>10</v>
      </c>
      <c r="E10529" t="str">
        <f>"$ 358"</f>
        <v>$ 358</v>
      </c>
      <c r="F10529">
        <v>293</v>
      </c>
    </row>
    <row r="10530" spans="1:6">
      <c r="A10530" t="s">
        <v>10349</v>
      </c>
      <c r="B10530" t="str">
        <f t="shared" si="390"/>
        <v>0.00005%</v>
      </c>
      <c r="C10530" t="s">
        <v>10</v>
      </c>
      <c r="D10530" t="s">
        <v>10</v>
      </c>
      <c r="E10530" t="str">
        <f>"$ 361"</f>
        <v>$ 361</v>
      </c>
      <c r="F10530">
        <v>85</v>
      </c>
    </row>
    <row r="10531" spans="1:6">
      <c r="A10531" t="s">
        <v>10350</v>
      </c>
      <c r="B10531" t="str">
        <f t="shared" si="390"/>
        <v>0.00005%</v>
      </c>
      <c r="C10531" t="s">
        <v>10</v>
      </c>
      <c r="D10531" t="s">
        <v>10</v>
      </c>
      <c r="E10531" t="str">
        <f>"$ 364"</f>
        <v>$ 364</v>
      </c>
      <c r="F10531">
        <v>16</v>
      </c>
    </row>
    <row r="10532" spans="1:6">
      <c r="A10532" t="s">
        <v>10351</v>
      </c>
      <c r="B10532" t="str">
        <f t="shared" si="390"/>
        <v>0.00005%</v>
      </c>
      <c r="C10532" t="s">
        <v>10</v>
      </c>
      <c r="D10532" t="s">
        <v>10</v>
      </c>
      <c r="E10532" t="str">
        <f>"$ 411"</f>
        <v>$ 411</v>
      </c>
      <c r="F10532">
        <v>16</v>
      </c>
    </row>
    <row r="10533" spans="1:6">
      <c r="A10533" t="s">
        <v>10352</v>
      </c>
      <c r="B10533" t="str">
        <f t="shared" si="390"/>
        <v>0.00005%</v>
      </c>
      <c r="C10533" t="s">
        <v>10</v>
      </c>
      <c r="D10533" t="s">
        <v>10</v>
      </c>
      <c r="E10533" t="str">
        <f>"$ 411"</f>
        <v>$ 411</v>
      </c>
      <c r="F10533">
        <v>115</v>
      </c>
    </row>
    <row r="10534" spans="1:6">
      <c r="A10534" t="s">
        <v>10353</v>
      </c>
      <c r="B10534" t="str">
        <f t="shared" si="390"/>
        <v>0.00005%</v>
      </c>
      <c r="C10534" t="s">
        <v>10</v>
      </c>
      <c r="D10534" t="s">
        <v>10</v>
      </c>
      <c r="E10534" t="str">
        <f>"$ 380"</f>
        <v>$ 380</v>
      </c>
      <c r="F10534">
        <v>7</v>
      </c>
    </row>
    <row r="10535" spans="1:6">
      <c r="A10535" t="s">
        <v>10354</v>
      </c>
      <c r="B10535" t="str">
        <f t="shared" si="390"/>
        <v>0.00005%</v>
      </c>
      <c r="C10535" t="s">
        <v>10</v>
      </c>
      <c r="D10535" t="s">
        <v>10</v>
      </c>
      <c r="E10535" t="str">
        <f>"$ 388"</f>
        <v>$ 388</v>
      </c>
      <c r="F10535">
        <v>126</v>
      </c>
    </row>
    <row r="10536" spans="1:6">
      <c r="A10536" t="s">
        <v>10355</v>
      </c>
      <c r="B10536" t="str">
        <f t="shared" si="390"/>
        <v>0.00005%</v>
      </c>
      <c r="C10536" t="s">
        <v>10</v>
      </c>
      <c r="D10536" t="s">
        <v>10</v>
      </c>
      <c r="E10536" t="str">
        <f>"$ 423"</f>
        <v>$ 423</v>
      </c>
      <c r="F10536">
        <v>43</v>
      </c>
    </row>
    <row r="10537" spans="1:6">
      <c r="A10537" t="s">
        <v>10356</v>
      </c>
      <c r="B10537" t="str">
        <f t="shared" si="390"/>
        <v>0.00005%</v>
      </c>
      <c r="C10537" t="s">
        <v>10</v>
      </c>
      <c r="D10537" t="s">
        <v>10</v>
      </c>
      <c r="E10537" t="str">
        <f>"$ 388"</f>
        <v>$ 388</v>
      </c>
      <c r="F10537">
        <v>86</v>
      </c>
    </row>
    <row r="10538" spans="1:6">
      <c r="A10538" t="s">
        <v>10357</v>
      </c>
      <c r="B10538" t="str">
        <f t="shared" si="390"/>
        <v>0.00005%</v>
      </c>
      <c r="C10538" t="s">
        <v>10</v>
      </c>
      <c r="D10538" t="s">
        <v>10</v>
      </c>
      <c r="E10538" t="str">
        <f>"$ 401"</f>
        <v>$ 401</v>
      </c>
      <c r="F10538">
        <v>418</v>
      </c>
    </row>
    <row r="10539" spans="1:6">
      <c r="A10539" t="s">
        <v>10096</v>
      </c>
      <c r="B10539" t="str">
        <f t="shared" si="390"/>
        <v>0.00005%</v>
      </c>
      <c r="C10539" t="s">
        <v>10</v>
      </c>
      <c r="D10539" t="s">
        <v>10</v>
      </c>
      <c r="E10539" t="str">
        <f>"$ 392"</f>
        <v>$ 392</v>
      </c>
      <c r="F10539">
        <v>78</v>
      </c>
    </row>
    <row r="10540" spans="1:6">
      <c r="A10540" t="s">
        <v>10358</v>
      </c>
      <c r="B10540" t="str">
        <f t="shared" si="390"/>
        <v>0.00005%</v>
      </c>
      <c r="C10540" t="s">
        <v>10</v>
      </c>
      <c r="D10540" t="s">
        <v>10</v>
      </c>
      <c r="E10540" t="str">
        <f>"$ 391"</f>
        <v>$ 391</v>
      </c>
      <c r="F10540">
        <v>102</v>
      </c>
    </row>
    <row r="10541" spans="1:6">
      <c r="A10541" t="s">
        <v>10359</v>
      </c>
      <c r="B10541" t="str">
        <f t="shared" si="390"/>
        <v>0.00005%</v>
      </c>
      <c r="C10541" t="s">
        <v>10</v>
      </c>
      <c r="D10541" t="s">
        <v>10</v>
      </c>
      <c r="E10541" t="str">
        <f>"$ 400"</f>
        <v>$ 400</v>
      </c>
      <c r="F10541">
        <v>66</v>
      </c>
    </row>
    <row r="10542" spans="1:6">
      <c r="A10542" t="s">
        <v>10360</v>
      </c>
      <c r="B10542" t="str">
        <f t="shared" si="390"/>
        <v>0.00005%</v>
      </c>
      <c r="C10542" t="s">
        <v>10</v>
      </c>
      <c r="D10542" t="s">
        <v>10</v>
      </c>
      <c r="E10542" t="str">
        <f>"$ 362"</f>
        <v>$ 362</v>
      </c>
      <c r="F10542">
        <v>64</v>
      </c>
    </row>
    <row r="10543" spans="1:6">
      <c r="A10543" t="s">
        <v>10361</v>
      </c>
      <c r="B10543" t="str">
        <f t="shared" si="390"/>
        <v>0.00005%</v>
      </c>
      <c r="C10543" t="s">
        <v>10</v>
      </c>
      <c r="D10543" t="s">
        <v>10</v>
      </c>
      <c r="E10543" t="str">
        <f>"$ 372"</f>
        <v>$ 372</v>
      </c>
      <c r="F10543">
        <v>113</v>
      </c>
    </row>
    <row r="10544" spans="1:6">
      <c r="A10544" t="s">
        <v>10362</v>
      </c>
      <c r="B10544" t="str">
        <f t="shared" si="390"/>
        <v>0.00005%</v>
      </c>
      <c r="C10544" t="s">
        <v>10</v>
      </c>
      <c r="D10544" t="s">
        <v>10</v>
      </c>
      <c r="E10544" t="str">
        <f>"$ 354"</f>
        <v>$ 354</v>
      </c>
      <c r="F10544">
        <v>27</v>
      </c>
    </row>
    <row r="10545" spans="1:6">
      <c r="A10545" t="s">
        <v>10363</v>
      </c>
      <c r="B10545" t="str">
        <f t="shared" si="390"/>
        <v>0.00005%</v>
      </c>
      <c r="C10545" t="s">
        <v>10</v>
      </c>
      <c r="D10545" t="s">
        <v>10</v>
      </c>
      <c r="E10545" t="str">
        <f>"$ 357"</f>
        <v>$ 357</v>
      </c>
      <c r="F10545">
        <v>155</v>
      </c>
    </row>
    <row r="10546" spans="1:6">
      <c r="A10546" t="s">
        <v>10364</v>
      </c>
      <c r="B10546" t="str">
        <f t="shared" si="390"/>
        <v>0.00005%</v>
      </c>
      <c r="C10546" t="s">
        <v>10</v>
      </c>
      <c r="D10546" t="s">
        <v>10</v>
      </c>
      <c r="E10546" t="str">
        <f>"$ 399"</f>
        <v>$ 399</v>
      </c>
      <c r="F10546">
        <v>266</v>
      </c>
    </row>
    <row r="10547" spans="1:6">
      <c r="A10547" t="s">
        <v>10365</v>
      </c>
      <c r="B10547" t="str">
        <f t="shared" si="390"/>
        <v>0.00005%</v>
      </c>
      <c r="C10547" t="s">
        <v>10</v>
      </c>
      <c r="D10547" t="s">
        <v>10</v>
      </c>
      <c r="E10547" t="str">
        <f>"$ 386"</f>
        <v>$ 386</v>
      </c>
      <c r="F10547">
        <v>165</v>
      </c>
    </row>
    <row r="10548" spans="1:6">
      <c r="A10548" t="s">
        <v>9438</v>
      </c>
      <c r="B10548" t="str">
        <f t="shared" ref="B10548:B10611" si="391">"0.00005%"</f>
        <v>0.00005%</v>
      </c>
      <c r="C10548" t="s">
        <v>10</v>
      </c>
      <c r="D10548" t="s">
        <v>10</v>
      </c>
      <c r="E10548" t="str">
        <f>"$ 379"</f>
        <v>$ 379</v>
      </c>
      <c r="F10548">
        <v>354</v>
      </c>
    </row>
    <row r="10549" spans="1:6">
      <c r="A10549" t="s">
        <v>10366</v>
      </c>
      <c r="B10549" t="str">
        <f t="shared" si="391"/>
        <v>0.00005%</v>
      </c>
      <c r="C10549" t="s">
        <v>10</v>
      </c>
      <c r="D10549" t="s">
        <v>10</v>
      </c>
      <c r="E10549" t="str">
        <f>"$ 380"</f>
        <v>$ 380</v>
      </c>
      <c r="F10549">
        <v>50</v>
      </c>
    </row>
    <row r="10550" spans="1:6">
      <c r="A10550" t="s">
        <v>10367</v>
      </c>
      <c r="B10550" t="str">
        <f t="shared" si="391"/>
        <v>0.00005%</v>
      </c>
      <c r="C10550" t="s">
        <v>10</v>
      </c>
      <c r="D10550" t="s">
        <v>10</v>
      </c>
      <c r="E10550" t="str">
        <f>"$ 388"</f>
        <v>$ 388</v>
      </c>
      <c r="F10550">
        <v>251</v>
      </c>
    </row>
    <row r="10551" spans="1:6">
      <c r="A10551" t="s">
        <v>10368</v>
      </c>
      <c r="B10551" t="str">
        <f t="shared" si="391"/>
        <v>0.00005%</v>
      </c>
      <c r="C10551" t="s">
        <v>10</v>
      </c>
      <c r="D10551" t="s">
        <v>10</v>
      </c>
      <c r="E10551" t="str">
        <f>"$ 422"</f>
        <v>$ 422</v>
      </c>
      <c r="F10551">
        <v>266</v>
      </c>
    </row>
    <row r="10552" spans="1:6">
      <c r="A10552" t="s">
        <v>10369</v>
      </c>
      <c r="B10552" t="str">
        <f t="shared" si="391"/>
        <v>0.00005%</v>
      </c>
      <c r="C10552" t="s">
        <v>10</v>
      </c>
      <c r="D10552" t="s">
        <v>10</v>
      </c>
      <c r="E10552" t="str">
        <f>"$ 417"</f>
        <v>$ 417</v>
      </c>
      <c r="F10552">
        <v>663</v>
      </c>
    </row>
    <row r="10553" spans="1:6">
      <c r="A10553" t="s">
        <v>8764</v>
      </c>
      <c r="B10553" t="str">
        <f t="shared" si="391"/>
        <v>0.00005%</v>
      </c>
      <c r="C10553" t="s">
        <v>10</v>
      </c>
      <c r="D10553" t="s">
        <v>10</v>
      </c>
      <c r="E10553" t="str">
        <f>"$ 420"</f>
        <v>$ 420</v>
      </c>
      <c r="F10553">
        <v>231</v>
      </c>
    </row>
    <row r="10554" spans="1:6">
      <c r="A10554" t="s">
        <v>10112</v>
      </c>
      <c r="B10554" t="str">
        <f t="shared" si="391"/>
        <v>0.00005%</v>
      </c>
      <c r="C10554" t="s">
        <v>10</v>
      </c>
      <c r="D10554" t="s">
        <v>10</v>
      </c>
      <c r="E10554" t="str">
        <f>"$ 361"</f>
        <v>$ 361</v>
      </c>
      <c r="F10554">
        <v>149</v>
      </c>
    </row>
    <row r="10555" spans="1:6">
      <c r="A10555" t="s">
        <v>10370</v>
      </c>
      <c r="B10555" t="str">
        <f t="shared" si="391"/>
        <v>0.00005%</v>
      </c>
      <c r="C10555" t="s">
        <v>10</v>
      </c>
      <c r="D10555" t="s">
        <v>10</v>
      </c>
      <c r="E10555" t="str">
        <f>"$ 358"</f>
        <v>$ 358</v>
      </c>
      <c r="F10555">
        <v>312</v>
      </c>
    </row>
    <row r="10556" spans="1:6">
      <c r="A10556" t="s">
        <v>10371</v>
      </c>
      <c r="B10556" t="str">
        <f t="shared" si="391"/>
        <v>0.00005%</v>
      </c>
      <c r="C10556" t="s">
        <v>10</v>
      </c>
      <c r="D10556" t="s">
        <v>10</v>
      </c>
      <c r="E10556" t="str">
        <f>"$ 356"</f>
        <v>$ 356</v>
      </c>
      <c r="F10556">
        <v>165</v>
      </c>
    </row>
    <row r="10557" spans="1:6">
      <c r="A10557" t="s">
        <v>10372</v>
      </c>
      <c r="B10557" t="str">
        <f t="shared" si="391"/>
        <v>0.00005%</v>
      </c>
      <c r="C10557" t="s">
        <v>10</v>
      </c>
      <c r="D10557" t="s">
        <v>10</v>
      </c>
      <c r="E10557" t="str">
        <f>"$ 349"</f>
        <v>$ 349</v>
      </c>
      <c r="F10557">
        <v>169</v>
      </c>
    </row>
    <row r="10558" spans="1:6">
      <c r="A10558" t="s">
        <v>10373</v>
      </c>
      <c r="B10558" t="str">
        <f t="shared" si="391"/>
        <v>0.00005%</v>
      </c>
      <c r="C10558" t="s">
        <v>10</v>
      </c>
      <c r="D10558" t="s">
        <v>10</v>
      </c>
      <c r="E10558" t="str">
        <f>"$ 355"</f>
        <v>$ 355</v>
      </c>
      <c r="F10558">
        <v>135</v>
      </c>
    </row>
    <row r="10559" spans="1:6">
      <c r="A10559" t="s">
        <v>10374</v>
      </c>
      <c r="B10559" t="str">
        <f t="shared" si="391"/>
        <v>0.00005%</v>
      </c>
      <c r="C10559" t="s">
        <v>10</v>
      </c>
      <c r="D10559" t="s">
        <v>10</v>
      </c>
      <c r="E10559" t="str">
        <f>"$ 356"</f>
        <v>$ 356</v>
      </c>
      <c r="F10559">
        <v>182</v>
      </c>
    </row>
    <row r="10560" spans="1:6">
      <c r="A10560" t="s">
        <v>10375</v>
      </c>
      <c r="B10560" t="str">
        <f t="shared" si="391"/>
        <v>0.00005%</v>
      </c>
      <c r="C10560" t="s">
        <v>10</v>
      </c>
      <c r="D10560" t="s">
        <v>10</v>
      </c>
      <c r="E10560" t="str">
        <f>"$ 387"</f>
        <v>$ 387</v>
      </c>
      <c r="F10560">
        <v>136</v>
      </c>
    </row>
    <row r="10561" spans="1:6">
      <c r="A10561" t="s">
        <v>10376</v>
      </c>
      <c r="B10561" t="str">
        <f t="shared" si="391"/>
        <v>0.00005%</v>
      </c>
      <c r="C10561" t="s">
        <v>10</v>
      </c>
      <c r="D10561" t="s">
        <v>10</v>
      </c>
      <c r="E10561" t="str">
        <f>"$ 384"</f>
        <v>$ 384</v>
      </c>
      <c r="F10561">
        <v>279</v>
      </c>
    </row>
    <row r="10562" spans="1:6">
      <c r="A10562" t="s">
        <v>10377</v>
      </c>
      <c r="B10562" t="str">
        <f t="shared" si="391"/>
        <v>0.00005%</v>
      </c>
      <c r="C10562" t="s">
        <v>10</v>
      </c>
      <c r="D10562" t="s">
        <v>10</v>
      </c>
      <c r="E10562" t="str">
        <f>"$ 365"</f>
        <v>$ 365</v>
      </c>
      <c r="F10562" s="1">
        <v>3382</v>
      </c>
    </row>
    <row r="10563" spans="1:6">
      <c r="A10563" t="s">
        <v>10378</v>
      </c>
      <c r="B10563" t="str">
        <f t="shared" si="391"/>
        <v>0.00005%</v>
      </c>
      <c r="C10563" t="s">
        <v>10</v>
      </c>
      <c r="D10563" t="s">
        <v>10</v>
      </c>
      <c r="E10563" t="str">
        <f>"$ 356"</f>
        <v>$ 356</v>
      </c>
      <c r="F10563">
        <v>175</v>
      </c>
    </row>
    <row r="10564" spans="1:6">
      <c r="A10564" t="s">
        <v>10379</v>
      </c>
      <c r="B10564" t="str">
        <f t="shared" si="391"/>
        <v>0.00005%</v>
      </c>
      <c r="C10564" t="s">
        <v>10</v>
      </c>
      <c r="D10564" t="s">
        <v>10</v>
      </c>
      <c r="E10564" t="str">
        <f>"$ 395"</f>
        <v>$ 395</v>
      </c>
      <c r="F10564">
        <v>97</v>
      </c>
    </row>
    <row r="10565" spans="1:6">
      <c r="A10565" t="s">
        <v>10380</v>
      </c>
      <c r="B10565" t="str">
        <f t="shared" si="391"/>
        <v>0.00005%</v>
      </c>
      <c r="C10565" t="s">
        <v>10</v>
      </c>
      <c r="D10565" t="s">
        <v>10</v>
      </c>
      <c r="E10565" t="str">
        <f>"$ 391"</f>
        <v>$ 391</v>
      </c>
      <c r="F10565">
        <v>99</v>
      </c>
    </row>
    <row r="10566" spans="1:6">
      <c r="A10566" t="s">
        <v>10381</v>
      </c>
      <c r="B10566" t="str">
        <f t="shared" si="391"/>
        <v>0.00005%</v>
      </c>
      <c r="C10566" t="s">
        <v>10</v>
      </c>
      <c r="D10566" t="s">
        <v>10</v>
      </c>
      <c r="E10566" t="str">
        <f>"$ 390"</f>
        <v>$ 390</v>
      </c>
      <c r="F10566">
        <v>82</v>
      </c>
    </row>
    <row r="10567" spans="1:6">
      <c r="A10567" t="s">
        <v>10382</v>
      </c>
      <c r="B10567" t="str">
        <f t="shared" si="391"/>
        <v>0.00005%</v>
      </c>
      <c r="C10567" t="s">
        <v>10</v>
      </c>
      <c r="D10567" t="s">
        <v>10</v>
      </c>
      <c r="E10567" t="str">
        <f>"$ 420"</f>
        <v>$ 420</v>
      </c>
      <c r="F10567">
        <v>511</v>
      </c>
    </row>
    <row r="10568" spans="1:6">
      <c r="A10568" t="s">
        <v>10383</v>
      </c>
      <c r="B10568" t="str">
        <f t="shared" si="391"/>
        <v>0.00005%</v>
      </c>
      <c r="C10568" t="s">
        <v>10</v>
      </c>
      <c r="D10568" t="s">
        <v>10</v>
      </c>
      <c r="E10568" t="str">
        <f>"$ 357"</f>
        <v>$ 357</v>
      </c>
      <c r="F10568">
        <v>102</v>
      </c>
    </row>
    <row r="10569" spans="1:6">
      <c r="A10569" t="s">
        <v>10384</v>
      </c>
      <c r="B10569" t="str">
        <f t="shared" si="391"/>
        <v>0.00005%</v>
      </c>
      <c r="C10569" t="s">
        <v>10</v>
      </c>
      <c r="D10569" t="s">
        <v>10</v>
      </c>
      <c r="E10569" t="str">
        <f>"$ 363"</f>
        <v>$ 363</v>
      </c>
      <c r="F10569">
        <v>106</v>
      </c>
    </row>
    <row r="10570" spans="1:6">
      <c r="A10570" t="s">
        <v>9450</v>
      </c>
      <c r="B10570" t="str">
        <f t="shared" si="391"/>
        <v>0.00005%</v>
      </c>
      <c r="C10570" t="s">
        <v>10</v>
      </c>
      <c r="D10570" t="s">
        <v>10</v>
      </c>
      <c r="E10570" t="str">
        <f>"$ 406"</f>
        <v>$ 406</v>
      </c>
      <c r="F10570">
        <v>405</v>
      </c>
    </row>
    <row r="10571" spans="1:6">
      <c r="A10571" t="s">
        <v>10385</v>
      </c>
      <c r="B10571" t="str">
        <f t="shared" si="391"/>
        <v>0.00005%</v>
      </c>
      <c r="C10571" t="s">
        <v>10</v>
      </c>
      <c r="D10571" t="s">
        <v>10</v>
      </c>
      <c r="E10571" t="str">
        <f>"$ 395"</f>
        <v>$ 395</v>
      </c>
      <c r="F10571">
        <v>30</v>
      </c>
    </row>
    <row r="10572" spans="1:6">
      <c r="A10572" t="s">
        <v>10386</v>
      </c>
      <c r="B10572" t="str">
        <f t="shared" si="391"/>
        <v>0.00005%</v>
      </c>
      <c r="C10572" t="s">
        <v>10</v>
      </c>
      <c r="D10572" t="s">
        <v>10</v>
      </c>
      <c r="E10572" t="str">
        <f>"$ 404"</f>
        <v>$ 404</v>
      </c>
      <c r="F10572">
        <v>228</v>
      </c>
    </row>
    <row r="10573" spans="1:6">
      <c r="A10573" t="s">
        <v>10387</v>
      </c>
      <c r="B10573" t="str">
        <f t="shared" si="391"/>
        <v>0.00005%</v>
      </c>
      <c r="C10573" t="s">
        <v>10</v>
      </c>
      <c r="D10573" t="s">
        <v>10</v>
      </c>
      <c r="E10573" t="str">
        <f>"$ 370"</f>
        <v>$ 370</v>
      </c>
      <c r="F10573">
        <v>56</v>
      </c>
    </row>
    <row r="10574" spans="1:6">
      <c r="A10574" t="s">
        <v>10388</v>
      </c>
      <c r="B10574" t="str">
        <f t="shared" si="391"/>
        <v>0.00005%</v>
      </c>
      <c r="C10574" t="s">
        <v>10</v>
      </c>
      <c r="D10574" t="s">
        <v>10</v>
      </c>
      <c r="E10574" t="str">
        <f>"$ 370"</f>
        <v>$ 370</v>
      </c>
      <c r="F10574">
        <v>115</v>
      </c>
    </row>
    <row r="10575" spans="1:6">
      <c r="A10575" t="s">
        <v>10389</v>
      </c>
      <c r="B10575" t="str">
        <f t="shared" si="391"/>
        <v>0.00005%</v>
      </c>
      <c r="C10575" t="s">
        <v>10</v>
      </c>
      <c r="D10575" t="s">
        <v>10</v>
      </c>
      <c r="E10575" t="str">
        <f>"$ 372"</f>
        <v>$ 372</v>
      </c>
      <c r="F10575">
        <v>237</v>
      </c>
    </row>
    <row r="10576" spans="1:6">
      <c r="A10576" t="s">
        <v>10390</v>
      </c>
      <c r="B10576" t="str">
        <f t="shared" si="391"/>
        <v>0.00005%</v>
      </c>
      <c r="C10576" t="s">
        <v>10</v>
      </c>
      <c r="D10576" t="s">
        <v>10</v>
      </c>
      <c r="E10576" t="str">
        <f>"$ 415"</f>
        <v>$ 415</v>
      </c>
      <c r="F10576">
        <v>252</v>
      </c>
    </row>
    <row r="10577" spans="1:6">
      <c r="A10577" t="s">
        <v>8942</v>
      </c>
      <c r="B10577" t="str">
        <f t="shared" si="391"/>
        <v>0.00005%</v>
      </c>
      <c r="C10577" t="s">
        <v>10</v>
      </c>
      <c r="D10577" t="s">
        <v>10</v>
      </c>
      <c r="E10577" t="str">
        <f>"$ 411"</f>
        <v>$ 411</v>
      </c>
      <c r="F10577">
        <v>302</v>
      </c>
    </row>
    <row r="10578" spans="1:6">
      <c r="A10578" t="s">
        <v>10391</v>
      </c>
      <c r="B10578" t="str">
        <f t="shared" si="391"/>
        <v>0.00005%</v>
      </c>
      <c r="C10578" t="s">
        <v>10</v>
      </c>
      <c r="D10578" t="s">
        <v>10</v>
      </c>
      <c r="E10578" t="str">
        <f>"$ 387"</f>
        <v>$ 387</v>
      </c>
      <c r="F10578">
        <v>9</v>
      </c>
    </row>
    <row r="10579" spans="1:6">
      <c r="A10579" t="s">
        <v>10392</v>
      </c>
      <c r="B10579" t="str">
        <f t="shared" si="391"/>
        <v>0.00005%</v>
      </c>
      <c r="C10579" t="s">
        <v>10</v>
      </c>
      <c r="D10579" t="s">
        <v>10</v>
      </c>
      <c r="E10579" t="str">
        <f>"$ 382"</f>
        <v>$ 382</v>
      </c>
      <c r="F10579">
        <v>134</v>
      </c>
    </row>
    <row r="10580" spans="1:6">
      <c r="A10580" t="s">
        <v>10393</v>
      </c>
      <c r="B10580" t="str">
        <f t="shared" si="391"/>
        <v>0.00005%</v>
      </c>
      <c r="C10580" t="s">
        <v>10</v>
      </c>
      <c r="D10580" t="s">
        <v>10</v>
      </c>
      <c r="E10580" t="str">
        <f>"$ 418"</f>
        <v>$ 418</v>
      </c>
      <c r="F10580">
        <v>196</v>
      </c>
    </row>
    <row r="10581" spans="1:6">
      <c r="A10581" t="s">
        <v>10394</v>
      </c>
      <c r="B10581" t="str">
        <f t="shared" si="391"/>
        <v>0.00005%</v>
      </c>
      <c r="C10581" t="s">
        <v>10</v>
      </c>
      <c r="D10581" t="s">
        <v>10</v>
      </c>
      <c r="E10581" t="str">
        <f>"$ 409"</f>
        <v>$ 409</v>
      </c>
      <c r="F10581" s="1">
        <v>1455</v>
      </c>
    </row>
    <row r="10582" spans="1:6">
      <c r="A10582" t="s">
        <v>10395</v>
      </c>
      <c r="B10582" t="str">
        <f t="shared" si="391"/>
        <v>0.00005%</v>
      </c>
      <c r="C10582" t="s">
        <v>10</v>
      </c>
      <c r="D10582" t="s">
        <v>10</v>
      </c>
      <c r="E10582" t="str">
        <f>"$ 384"</f>
        <v>$ 384</v>
      </c>
      <c r="F10582">
        <v>313</v>
      </c>
    </row>
    <row r="10583" spans="1:6">
      <c r="A10583" t="s">
        <v>10396</v>
      </c>
      <c r="B10583" t="str">
        <f t="shared" si="391"/>
        <v>0.00005%</v>
      </c>
      <c r="C10583" t="s">
        <v>10</v>
      </c>
      <c r="D10583" t="s">
        <v>10</v>
      </c>
      <c r="E10583" t="str">
        <f>"$ 385"</f>
        <v>$ 385</v>
      </c>
      <c r="F10583">
        <v>730</v>
      </c>
    </row>
    <row r="10584" spans="1:6">
      <c r="A10584" t="s">
        <v>10397</v>
      </c>
      <c r="B10584" t="str">
        <f t="shared" si="391"/>
        <v>0.00005%</v>
      </c>
      <c r="C10584" t="s">
        <v>10</v>
      </c>
      <c r="D10584" t="s">
        <v>10</v>
      </c>
      <c r="E10584" t="str">
        <f>"$ 406"</f>
        <v>$ 406</v>
      </c>
      <c r="F10584">
        <v>398</v>
      </c>
    </row>
    <row r="10585" spans="1:6">
      <c r="A10585" t="s">
        <v>10398</v>
      </c>
      <c r="B10585" t="str">
        <f t="shared" si="391"/>
        <v>0.00005%</v>
      </c>
      <c r="C10585" t="s">
        <v>10</v>
      </c>
      <c r="D10585" t="s">
        <v>10</v>
      </c>
      <c r="E10585" t="str">
        <f>"$ 354"</f>
        <v>$ 354</v>
      </c>
      <c r="F10585">
        <v>127</v>
      </c>
    </row>
    <row r="10586" spans="1:6">
      <c r="A10586" t="s">
        <v>9905</v>
      </c>
      <c r="B10586" t="str">
        <f t="shared" si="391"/>
        <v>0.00005%</v>
      </c>
      <c r="C10586" t="s">
        <v>10</v>
      </c>
      <c r="D10586" t="s">
        <v>10</v>
      </c>
      <c r="E10586" t="str">
        <f>"$ 372"</f>
        <v>$ 372</v>
      </c>
      <c r="F10586">
        <v>316</v>
      </c>
    </row>
    <row r="10587" spans="1:6">
      <c r="A10587" t="s">
        <v>10399</v>
      </c>
      <c r="B10587" t="str">
        <f t="shared" si="391"/>
        <v>0.00005%</v>
      </c>
      <c r="C10587" t="s">
        <v>10</v>
      </c>
      <c r="D10587" t="s">
        <v>10</v>
      </c>
      <c r="E10587" t="str">
        <f>"$ 403"</f>
        <v>$ 403</v>
      </c>
      <c r="F10587">
        <v>706</v>
      </c>
    </row>
    <row r="10588" spans="1:6">
      <c r="A10588" t="s">
        <v>10400</v>
      </c>
      <c r="B10588" t="str">
        <f t="shared" si="391"/>
        <v>0.00005%</v>
      </c>
      <c r="C10588" t="s">
        <v>10</v>
      </c>
      <c r="D10588" t="s">
        <v>10</v>
      </c>
      <c r="E10588" t="str">
        <f>"$ 392"</f>
        <v>$ 392</v>
      </c>
      <c r="F10588">
        <v>223</v>
      </c>
    </row>
    <row r="10589" spans="1:6">
      <c r="A10589" t="s">
        <v>9119</v>
      </c>
      <c r="B10589" t="str">
        <f t="shared" si="391"/>
        <v>0.00005%</v>
      </c>
      <c r="C10589" t="s">
        <v>10</v>
      </c>
      <c r="D10589" t="s">
        <v>10</v>
      </c>
      <c r="E10589" t="str">
        <f>"$ 400"</f>
        <v>$ 400</v>
      </c>
      <c r="F10589">
        <v>342</v>
      </c>
    </row>
    <row r="10590" spans="1:6">
      <c r="A10590" t="s">
        <v>10401</v>
      </c>
      <c r="B10590" t="str">
        <f t="shared" si="391"/>
        <v>0.00005%</v>
      </c>
      <c r="C10590" t="s">
        <v>10</v>
      </c>
      <c r="D10590" t="s">
        <v>10</v>
      </c>
      <c r="E10590" t="str">
        <f>"$ 397"</f>
        <v>$ 397</v>
      </c>
      <c r="F10590" s="1">
        <v>1913</v>
      </c>
    </row>
    <row r="10591" spans="1:6">
      <c r="A10591" t="s">
        <v>7401</v>
      </c>
      <c r="B10591" t="str">
        <f t="shared" si="391"/>
        <v>0.00005%</v>
      </c>
      <c r="C10591" t="s">
        <v>10</v>
      </c>
      <c r="D10591" t="s">
        <v>10</v>
      </c>
      <c r="E10591" t="str">
        <f>"$ 367"</f>
        <v>$ 367</v>
      </c>
      <c r="F10591">
        <v>115</v>
      </c>
    </row>
    <row r="10592" spans="1:6">
      <c r="A10592" t="s">
        <v>10402</v>
      </c>
      <c r="B10592" t="str">
        <f t="shared" si="391"/>
        <v>0.00005%</v>
      </c>
      <c r="C10592" t="s">
        <v>10</v>
      </c>
      <c r="D10592" t="s">
        <v>10</v>
      </c>
      <c r="E10592" t="str">
        <f>"$ 359"</f>
        <v>$ 359</v>
      </c>
      <c r="F10592">
        <v>308</v>
      </c>
    </row>
    <row r="10593" spans="1:6">
      <c r="A10593" t="s">
        <v>10403</v>
      </c>
      <c r="B10593" t="str">
        <f t="shared" si="391"/>
        <v>0.00005%</v>
      </c>
      <c r="C10593" t="s">
        <v>10</v>
      </c>
      <c r="D10593" t="s">
        <v>10</v>
      </c>
      <c r="E10593" t="str">
        <f>"$ 360"</f>
        <v>$ 360</v>
      </c>
      <c r="F10593">
        <v>463</v>
      </c>
    </row>
    <row r="10594" spans="1:6">
      <c r="A10594" t="s">
        <v>10404</v>
      </c>
      <c r="B10594" t="str">
        <f t="shared" si="391"/>
        <v>0.00005%</v>
      </c>
      <c r="C10594" t="s">
        <v>10</v>
      </c>
      <c r="D10594" t="s">
        <v>10</v>
      </c>
      <c r="E10594" t="str">
        <f>"$ 402"</f>
        <v>$ 402</v>
      </c>
      <c r="F10594" s="1">
        <v>1771</v>
      </c>
    </row>
    <row r="10595" spans="1:6">
      <c r="A10595" t="s">
        <v>6431</v>
      </c>
      <c r="B10595" t="str">
        <f t="shared" si="391"/>
        <v>0.00005%</v>
      </c>
      <c r="C10595" t="s">
        <v>10</v>
      </c>
      <c r="D10595" t="s">
        <v>10</v>
      </c>
      <c r="E10595" t="str">
        <f>"$ 376"</f>
        <v>$ 376</v>
      </c>
      <c r="F10595">
        <v>300</v>
      </c>
    </row>
    <row r="10596" spans="1:6">
      <c r="A10596" t="s">
        <v>10405</v>
      </c>
      <c r="B10596" t="str">
        <f t="shared" si="391"/>
        <v>0.00005%</v>
      </c>
      <c r="C10596" t="s">
        <v>10</v>
      </c>
      <c r="D10596" t="s">
        <v>10</v>
      </c>
      <c r="E10596" t="str">
        <f>"$ 376"</f>
        <v>$ 376</v>
      </c>
      <c r="F10596">
        <v>14</v>
      </c>
    </row>
    <row r="10597" spans="1:6">
      <c r="A10597" t="s">
        <v>10406</v>
      </c>
      <c r="B10597" t="str">
        <f t="shared" si="391"/>
        <v>0.00005%</v>
      </c>
      <c r="C10597" t="s">
        <v>10</v>
      </c>
      <c r="D10597" t="s">
        <v>10</v>
      </c>
      <c r="E10597" t="str">
        <f>"$ 415"</f>
        <v>$ 415</v>
      </c>
      <c r="F10597">
        <v>16</v>
      </c>
    </row>
    <row r="10598" spans="1:6">
      <c r="A10598" t="s">
        <v>10407</v>
      </c>
      <c r="B10598" t="str">
        <f t="shared" si="391"/>
        <v>0.00005%</v>
      </c>
      <c r="C10598" t="s">
        <v>10</v>
      </c>
      <c r="D10598" t="s">
        <v>10</v>
      </c>
      <c r="E10598" t="str">
        <f>"$ 414"</f>
        <v>$ 414</v>
      </c>
      <c r="F10598" s="1">
        <v>1288</v>
      </c>
    </row>
    <row r="10599" spans="1:6">
      <c r="A10599" t="s">
        <v>10408</v>
      </c>
      <c r="B10599" t="str">
        <f t="shared" si="391"/>
        <v>0.00005%</v>
      </c>
      <c r="C10599" t="s">
        <v>10</v>
      </c>
      <c r="D10599" t="s">
        <v>10</v>
      </c>
      <c r="E10599" t="str">
        <f>"$ 374"</f>
        <v>$ 374</v>
      </c>
      <c r="F10599">
        <v>24</v>
      </c>
    </row>
    <row r="10600" spans="1:6">
      <c r="A10600" t="s">
        <v>6367</v>
      </c>
      <c r="B10600" t="str">
        <f t="shared" si="391"/>
        <v>0.00005%</v>
      </c>
      <c r="C10600" t="s">
        <v>10</v>
      </c>
      <c r="D10600" t="s">
        <v>10</v>
      </c>
      <c r="E10600" t="str">
        <f>"$ 384"</f>
        <v>$ 384</v>
      </c>
      <c r="F10600">
        <v>34</v>
      </c>
    </row>
    <row r="10601" spans="1:6">
      <c r="A10601" t="s">
        <v>8546</v>
      </c>
      <c r="B10601" t="str">
        <f t="shared" si="391"/>
        <v>0.00005%</v>
      </c>
      <c r="C10601" t="s">
        <v>10</v>
      </c>
      <c r="D10601" t="s">
        <v>10</v>
      </c>
      <c r="E10601" t="str">
        <f>"$ 374"</f>
        <v>$ 374</v>
      </c>
      <c r="F10601">
        <v>93</v>
      </c>
    </row>
    <row r="10602" spans="1:6">
      <c r="A10602" t="s">
        <v>10409</v>
      </c>
      <c r="B10602" t="str">
        <f t="shared" si="391"/>
        <v>0.00005%</v>
      </c>
      <c r="C10602" t="s">
        <v>10</v>
      </c>
      <c r="D10602" t="s">
        <v>10</v>
      </c>
      <c r="E10602" t="str">
        <f>"$ 381"</f>
        <v>$ 381</v>
      </c>
      <c r="F10602">
        <v>172</v>
      </c>
    </row>
    <row r="10603" spans="1:6">
      <c r="A10603" t="s">
        <v>10410</v>
      </c>
      <c r="B10603" t="str">
        <f t="shared" si="391"/>
        <v>0.00005%</v>
      </c>
      <c r="C10603" t="s">
        <v>10</v>
      </c>
      <c r="D10603" t="s">
        <v>10</v>
      </c>
      <c r="E10603" t="str">
        <f>"$ 393"</f>
        <v>$ 393</v>
      </c>
      <c r="F10603" s="1">
        <v>24165</v>
      </c>
    </row>
    <row r="10604" spans="1:6">
      <c r="A10604" t="s">
        <v>10411</v>
      </c>
      <c r="B10604" t="str">
        <f t="shared" si="391"/>
        <v>0.00005%</v>
      </c>
      <c r="C10604" t="s">
        <v>10</v>
      </c>
      <c r="D10604" t="s">
        <v>10</v>
      </c>
      <c r="E10604" t="str">
        <f>"$ 416"</f>
        <v>$ 416</v>
      </c>
      <c r="F10604">
        <v>287</v>
      </c>
    </row>
    <row r="10605" spans="1:6">
      <c r="A10605" t="s">
        <v>10412</v>
      </c>
      <c r="B10605" t="str">
        <f t="shared" si="391"/>
        <v>0.00005%</v>
      </c>
      <c r="C10605" t="s">
        <v>10</v>
      </c>
      <c r="D10605" t="s">
        <v>10</v>
      </c>
      <c r="E10605" t="str">
        <f>"$ 421"</f>
        <v>$ 421</v>
      </c>
      <c r="F10605">
        <v>125</v>
      </c>
    </row>
    <row r="10606" spans="1:6">
      <c r="A10606" t="s">
        <v>10413</v>
      </c>
      <c r="B10606" t="str">
        <f t="shared" si="391"/>
        <v>0.00005%</v>
      </c>
      <c r="C10606" t="s">
        <v>10</v>
      </c>
      <c r="D10606" t="s">
        <v>10</v>
      </c>
      <c r="E10606" t="str">
        <f>"$ 407"</f>
        <v>$ 407</v>
      </c>
      <c r="F10606" s="1">
        <v>14605</v>
      </c>
    </row>
    <row r="10607" spans="1:6">
      <c r="A10607" t="s">
        <v>10414</v>
      </c>
      <c r="B10607" t="str">
        <f t="shared" si="391"/>
        <v>0.00005%</v>
      </c>
      <c r="C10607" t="s">
        <v>10</v>
      </c>
      <c r="D10607" t="s">
        <v>10</v>
      </c>
      <c r="E10607" t="str">
        <f>"$ 368"</f>
        <v>$ 368</v>
      </c>
      <c r="F10607">
        <v>406</v>
      </c>
    </row>
    <row r="10608" spans="1:6">
      <c r="A10608" t="s">
        <v>10415</v>
      </c>
      <c r="B10608" t="str">
        <f t="shared" si="391"/>
        <v>0.00005%</v>
      </c>
      <c r="C10608" t="s">
        <v>10</v>
      </c>
      <c r="D10608" t="s">
        <v>10</v>
      </c>
      <c r="E10608" t="str">
        <f>"$ 366"</f>
        <v>$ 366</v>
      </c>
      <c r="F10608">
        <v>172</v>
      </c>
    </row>
    <row r="10609" spans="1:6">
      <c r="A10609" t="s">
        <v>10416</v>
      </c>
      <c r="B10609" t="str">
        <f t="shared" si="391"/>
        <v>0.00005%</v>
      </c>
      <c r="C10609" t="s">
        <v>10</v>
      </c>
      <c r="D10609" t="s">
        <v>10</v>
      </c>
      <c r="E10609" t="str">
        <f>"$ 368"</f>
        <v>$ 368</v>
      </c>
      <c r="F10609">
        <v>166</v>
      </c>
    </row>
    <row r="10610" spans="1:6">
      <c r="A10610" t="s">
        <v>10417</v>
      </c>
      <c r="B10610" t="str">
        <f t="shared" si="391"/>
        <v>0.00005%</v>
      </c>
      <c r="C10610" t="s">
        <v>10</v>
      </c>
      <c r="D10610" t="s">
        <v>10</v>
      </c>
      <c r="E10610" t="str">
        <f>"$ 418"</f>
        <v>$ 418</v>
      </c>
      <c r="F10610" s="1">
        <v>1897</v>
      </c>
    </row>
    <row r="10611" spans="1:6">
      <c r="A10611" t="s">
        <v>10418</v>
      </c>
      <c r="B10611" t="str">
        <f t="shared" si="391"/>
        <v>0.00005%</v>
      </c>
      <c r="C10611" t="s">
        <v>10</v>
      </c>
      <c r="D10611" t="s">
        <v>10</v>
      </c>
      <c r="E10611" t="str">
        <f>"$ 403"</f>
        <v>$ 403</v>
      </c>
      <c r="F10611" s="1">
        <v>3307</v>
      </c>
    </row>
    <row r="10612" spans="1:6">
      <c r="A10612" t="s">
        <v>10419</v>
      </c>
      <c r="B10612" t="str">
        <f t="shared" ref="B10612:B10654" si="392">"0.00005%"</f>
        <v>0.00005%</v>
      </c>
      <c r="C10612" t="s">
        <v>10</v>
      </c>
      <c r="D10612" t="s">
        <v>10</v>
      </c>
      <c r="E10612" t="str">
        <f>"$ 419"</f>
        <v>$ 419</v>
      </c>
      <c r="F10612">
        <v>81</v>
      </c>
    </row>
    <row r="10613" spans="1:6">
      <c r="A10613" t="s">
        <v>10420</v>
      </c>
      <c r="B10613" t="str">
        <f t="shared" si="392"/>
        <v>0.00005%</v>
      </c>
      <c r="C10613" t="s">
        <v>10</v>
      </c>
      <c r="D10613" t="s">
        <v>10</v>
      </c>
      <c r="E10613" t="str">
        <f>"$ 394"</f>
        <v>$ 394</v>
      </c>
      <c r="F10613">
        <v>13</v>
      </c>
    </row>
    <row r="10614" spans="1:6">
      <c r="A10614" t="s">
        <v>10421</v>
      </c>
      <c r="B10614" t="str">
        <f t="shared" si="392"/>
        <v>0.00005%</v>
      </c>
      <c r="C10614" t="s">
        <v>10</v>
      </c>
      <c r="D10614" t="s">
        <v>10</v>
      </c>
      <c r="E10614" t="str">
        <f>"$ 389"</f>
        <v>$ 389</v>
      </c>
      <c r="F10614">
        <v>141</v>
      </c>
    </row>
    <row r="10615" spans="1:6">
      <c r="A10615" t="s">
        <v>10422</v>
      </c>
      <c r="B10615" t="str">
        <f t="shared" si="392"/>
        <v>0.00005%</v>
      </c>
      <c r="C10615" t="s">
        <v>10</v>
      </c>
      <c r="D10615" t="s">
        <v>10</v>
      </c>
      <c r="E10615" t="str">
        <f>"$ 374"</f>
        <v>$ 374</v>
      </c>
      <c r="F10615">
        <v>79</v>
      </c>
    </row>
    <row r="10616" spans="1:6">
      <c r="A10616" t="s">
        <v>10423</v>
      </c>
      <c r="B10616" t="str">
        <f t="shared" si="392"/>
        <v>0.00005%</v>
      </c>
      <c r="C10616" t="s">
        <v>10</v>
      </c>
      <c r="D10616" t="s">
        <v>10</v>
      </c>
      <c r="E10616" t="str">
        <f>"$ 378"</f>
        <v>$ 378</v>
      </c>
      <c r="F10616">
        <v>47</v>
      </c>
    </row>
    <row r="10617" spans="1:6">
      <c r="A10617" t="s">
        <v>7870</v>
      </c>
      <c r="B10617" t="str">
        <f t="shared" si="392"/>
        <v>0.00005%</v>
      </c>
      <c r="C10617" t="s">
        <v>10</v>
      </c>
      <c r="D10617" t="s">
        <v>10</v>
      </c>
      <c r="E10617" t="str">
        <f>"$ 372"</f>
        <v>$ 372</v>
      </c>
      <c r="F10617">
        <v>277</v>
      </c>
    </row>
    <row r="10618" spans="1:6">
      <c r="A10618" t="s">
        <v>10424</v>
      </c>
      <c r="B10618" t="str">
        <f t="shared" si="392"/>
        <v>0.00005%</v>
      </c>
      <c r="C10618" t="s">
        <v>10</v>
      </c>
      <c r="D10618" t="s">
        <v>10</v>
      </c>
      <c r="E10618" t="str">
        <f>"$ 363"</f>
        <v>$ 363</v>
      </c>
      <c r="F10618">
        <v>259</v>
      </c>
    </row>
    <row r="10619" spans="1:6">
      <c r="A10619" t="s">
        <v>10425</v>
      </c>
      <c r="B10619" t="str">
        <f t="shared" si="392"/>
        <v>0.00005%</v>
      </c>
      <c r="C10619" t="s">
        <v>10</v>
      </c>
      <c r="D10619" t="s">
        <v>10</v>
      </c>
      <c r="E10619" t="str">
        <f>"$ 422"</f>
        <v>$ 422</v>
      </c>
      <c r="F10619">
        <v>870</v>
      </c>
    </row>
    <row r="10620" spans="1:6">
      <c r="A10620" t="s">
        <v>10426</v>
      </c>
      <c r="B10620" t="str">
        <f t="shared" si="392"/>
        <v>0.00005%</v>
      </c>
      <c r="C10620" t="s">
        <v>10</v>
      </c>
      <c r="D10620" t="s">
        <v>10</v>
      </c>
      <c r="E10620" t="str">
        <f>"$ 418"</f>
        <v>$ 418</v>
      </c>
      <c r="F10620">
        <v>248</v>
      </c>
    </row>
    <row r="10621" spans="1:6">
      <c r="A10621" t="s">
        <v>10427</v>
      </c>
      <c r="B10621" t="str">
        <f t="shared" si="392"/>
        <v>0.00005%</v>
      </c>
      <c r="C10621" t="s">
        <v>10</v>
      </c>
      <c r="D10621" t="s">
        <v>10</v>
      </c>
      <c r="E10621" t="str">
        <f>"$ 383"</f>
        <v>$ 383</v>
      </c>
      <c r="F10621">
        <v>119</v>
      </c>
    </row>
    <row r="10622" spans="1:6">
      <c r="A10622" t="s">
        <v>10428</v>
      </c>
      <c r="B10622" t="str">
        <f t="shared" si="392"/>
        <v>0.00005%</v>
      </c>
      <c r="C10622" t="s">
        <v>10</v>
      </c>
      <c r="D10622" t="s">
        <v>10</v>
      </c>
      <c r="E10622" t="str">
        <f>"$ 402"</f>
        <v>$ 402</v>
      </c>
      <c r="F10622">
        <v>220</v>
      </c>
    </row>
    <row r="10623" spans="1:6">
      <c r="A10623" t="s">
        <v>10429</v>
      </c>
      <c r="B10623" t="str">
        <f t="shared" si="392"/>
        <v>0.00005%</v>
      </c>
      <c r="C10623" t="s">
        <v>10</v>
      </c>
      <c r="D10623" t="s">
        <v>10</v>
      </c>
      <c r="E10623" t="str">
        <f>"$ 405"</f>
        <v>$ 405</v>
      </c>
      <c r="F10623">
        <v>301</v>
      </c>
    </row>
    <row r="10624" spans="1:6">
      <c r="A10624" t="s">
        <v>10430</v>
      </c>
      <c r="B10624" t="str">
        <f t="shared" si="392"/>
        <v>0.00005%</v>
      </c>
      <c r="C10624" t="s">
        <v>10</v>
      </c>
      <c r="D10624" t="s">
        <v>10</v>
      </c>
      <c r="E10624" t="str">
        <f>"$ 407"</f>
        <v>$ 407</v>
      </c>
      <c r="F10624">
        <v>116</v>
      </c>
    </row>
    <row r="10625" spans="1:6">
      <c r="A10625" t="s">
        <v>10431</v>
      </c>
      <c r="B10625" t="str">
        <f t="shared" si="392"/>
        <v>0.00005%</v>
      </c>
      <c r="C10625" t="s">
        <v>10</v>
      </c>
      <c r="D10625" t="s">
        <v>10</v>
      </c>
      <c r="E10625" t="str">
        <f>"$ 405"</f>
        <v>$ 405</v>
      </c>
      <c r="F10625">
        <v>57</v>
      </c>
    </row>
    <row r="10626" spans="1:6">
      <c r="A10626" t="s">
        <v>10432</v>
      </c>
      <c r="B10626" t="str">
        <f t="shared" si="392"/>
        <v>0.00005%</v>
      </c>
      <c r="C10626" t="s">
        <v>10</v>
      </c>
      <c r="D10626" t="s">
        <v>10</v>
      </c>
      <c r="E10626" t="str">
        <f>"$ 406"</f>
        <v>$ 406</v>
      </c>
      <c r="F10626">
        <v>65</v>
      </c>
    </row>
    <row r="10627" spans="1:6">
      <c r="A10627" t="s">
        <v>10433</v>
      </c>
      <c r="B10627" t="str">
        <f t="shared" si="392"/>
        <v>0.00005%</v>
      </c>
      <c r="C10627" t="s">
        <v>10</v>
      </c>
      <c r="D10627" t="s">
        <v>10</v>
      </c>
      <c r="E10627" t="str">
        <f>"$ 367"</f>
        <v>$ 367</v>
      </c>
      <c r="F10627">
        <v>189</v>
      </c>
    </row>
    <row r="10628" spans="1:6">
      <c r="A10628" t="s">
        <v>10434</v>
      </c>
      <c r="B10628" t="str">
        <f t="shared" si="392"/>
        <v>0.00005%</v>
      </c>
      <c r="C10628" t="s">
        <v>10</v>
      </c>
      <c r="D10628" t="s">
        <v>10</v>
      </c>
      <c r="E10628" t="str">
        <f>"$ 348"</f>
        <v>$ 348</v>
      </c>
      <c r="F10628">
        <v>182</v>
      </c>
    </row>
    <row r="10629" spans="1:6">
      <c r="A10629" t="s">
        <v>10435</v>
      </c>
      <c r="B10629" t="str">
        <f t="shared" si="392"/>
        <v>0.00005%</v>
      </c>
      <c r="C10629" t="s">
        <v>10</v>
      </c>
      <c r="D10629" t="s">
        <v>10</v>
      </c>
      <c r="E10629" t="str">
        <f>"$ 353"</f>
        <v>$ 353</v>
      </c>
      <c r="F10629">
        <v>125</v>
      </c>
    </row>
    <row r="10630" spans="1:6">
      <c r="A10630" t="s">
        <v>10436</v>
      </c>
      <c r="B10630" t="str">
        <f t="shared" si="392"/>
        <v>0.00005%</v>
      </c>
      <c r="C10630" t="s">
        <v>10</v>
      </c>
      <c r="D10630" t="s">
        <v>10</v>
      </c>
      <c r="E10630" t="str">
        <f>"$ 389"</f>
        <v>$ 389</v>
      </c>
      <c r="F10630">
        <v>206</v>
      </c>
    </row>
    <row r="10631" spans="1:6">
      <c r="A10631" t="s">
        <v>10437</v>
      </c>
      <c r="B10631" t="str">
        <f t="shared" si="392"/>
        <v>0.00005%</v>
      </c>
      <c r="C10631" t="s">
        <v>10</v>
      </c>
      <c r="D10631" t="s">
        <v>10</v>
      </c>
      <c r="E10631" t="str">
        <f>"$ 378"</f>
        <v>$ 378</v>
      </c>
      <c r="F10631">
        <v>199</v>
      </c>
    </row>
    <row r="10632" spans="1:6">
      <c r="A10632" t="s">
        <v>10438</v>
      </c>
      <c r="B10632" t="str">
        <f t="shared" si="392"/>
        <v>0.00005%</v>
      </c>
      <c r="C10632" t="s">
        <v>10</v>
      </c>
      <c r="D10632" t="s">
        <v>10</v>
      </c>
      <c r="E10632" t="str">
        <f>"$ 377"</f>
        <v>$ 377</v>
      </c>
      <c r="F10632">
        <v>119</v>
      </c>
    </row>
    <row r="10633" spans="1:6">
      <c r="A10633" t="s">
        <v>10439</v>
      </c>
      <c r="B10633" t="str">
        <f t="shared" si="392"/>
        <v>0.00005%</v>
      </c>
      <c r="C10633" t="s">
        <v>10</v>
      </c>
      <c r="D10633" t="s">
        <v>10</v>
      </c>
      <c r="E10633" t="str">
        <f>"$ 402"</f>
        <v>$ 402</v>
      </c>
      <c r="F10633">
        <v>9</v>
      </c>
    </row>
    <row r="10634" spans="1:6">
      <c r="A10634" t="s">
        <v>10440</v>
      </c>
      <c r="B10634" t="str">
        <f t="shared" si="392"/>
        <v>0.00005%</v>
      </c>
      <c r="C10634" t="s">
        <v>10</v>
      </c>
      <c r="D10634" t="s">
        <v>10</v>
      </c>
      <c r="E10634" t="str">
        <f>"$ 393"</f>
        <v>$ 393</v>
      </c>
      <c r="F10634">
        <v>85</v>
      </c>
    </row>
    <row r="10635" spans="1:6">
      <c r="A10635" t="s">
        <v>10441</v>
      </c>
      <c r="B10635" t="str">
        <f t="shared" si="392"/>
        <v>0.00005%</v>
      </c>
      <c r="C10635" t="s">
        <v>10</v>
      </c>
      <c r="D10635" t="s">
        <v>10</v>
      </c>
      <c r="E10635" t="str">
        <f>"$ 373"</f>
        <v>$ 373</v>
      </c>
      <c r="F10635">
        <v>131</v>
      </c>
    </row>
    <row r="10636" spans="1:6">
      <c r="A10636" t="s">
        <v>10442</v>
      </c>
      <c r="B10636" t="str">
        <f t="shared" si="392"/>
        <v>0.00005%</v>
      </c>
      <c r="C10636" t="s">
        <v>10</v>
      </c>
      <c r="D10636" t="s">
        <v>10</v>
      </c>
      <c r="E10636" t="str">
        <f>"$ 360"</f>
        <v>$ 360</v>
      </c>
      <c r="F10636">
        <v>232</v>
      </c>
    </row>
    <row r="10637" spans="1:6">
      <c r="A10637" t="s">
        <v>9154</v>
      </c>
      <c r="B10637" t="str">
        <f t="shared" si="392"/>
        <v>0.00005%</v>
      </c>
      <c r="C10637" t="s">
        <v>10</v>
      </c>
      <c r="D10637" t="s">
        <v>10</v>
      </c>
      <c r="E10637" t="str">
        <f>"$ 350"</f>
        <v>$ 350</v>
      </c>
      <c r="F10637">
        <v>36</v>
      </c>
    </row>
    <row r="10638" spans="1:6">
      <c r="A10638" t="s">
        <v>10443</v>
      </c>
      <c r="B10638" t="str">
        <f t="shared" si="392"/>
        <v>0.00005%</v>
      </c>
      <c r="C10638" t="s">
        <v>10</v>
      </c>
      <c r="D10638" t="s">
        <v>10</v>
      </c>
      <c r="E10638" t="str">
        <f>"$ 356"</f>
        <v>$ 356</v>
      </c>
      <c r="F10638">
        <v>341</v>
      </c>
    </row>
    <row r="10639" spans="1:6">
      <c r="A10639" t="s">
        <v>10444</v>
      </c>
      <c r="B10639" t="str">
        <f t="shared" si="392"/>
        <v>0.00005%</v>
      </c>
      <c r="C10639" t="s">
        <v>10</v>
      </c>
      <c r="D10639" t="s">
        <v>10</v>
      </c>
      <c r="E10639" t="str">
        <f>"$ 356"</f>
        <v>$ 356</v>
      </c>
      <c r="F10639">
        <v>423</v>
      </c>
    </row>
    <row r="10640" spans="1:6">
      <c r="A10640" t="s">
        <v>10445</v>
      </c>
      <c r="B10640" t="str">
        <f t="shared" si="392"/>
        <v>0.00005%</v>
      </c>
      <c r="C10640" t="s">
        <v>10</v>
      </c>
      <c r="D10640" t="s">
        <v>10</v>
      </c>
      <c r="E10640" t="str">
        <f>"$ 390"</f>
        <v>$ 390</v>
      </c>
      <c r="F10640">
        <v>121</v>
      </c>
    </row>
    <row r="10641" spans="1:6">
      <c r="A10641" t="s">
        <v>9704</v>
      </c>
      <c r="B10641" t="str">
        <f t="shared" si="392"/>
        <v>0.00005%</v>
      </c>
      <c r="C10641" t="s">
        <v>10</v>
      </c>
      <c r="D10641" t="s">
        <v>10</v>
      </c>
      <c r="E10641" t="str">
        <f>"$ 419"</f>
        <v>$ 419</v>
      </c>
      <c r="F10641">
        <v>202</v>
      </c>
    </row>
    <row r="10642" spans="1:6">
      <c r="A10642" t="s">
        <v>10446</v>
      </c>
      <c r="B10642" t="str">
        <f t="shared" si="392"/>
        <v>0.00005%</v>
      </c>
      <c r="C10642" t="s">
        <v>10</v>
      </c>
      <c r="D10642" t="s">
        <v>10</v>
      </c>
      <c r="E10642" t="str">
        <f>"$ 423"</f>
        <v>$ 423</v>
      </c>
      <c r="F10642">
        <v>33</v>
      </c>
    </row>
    <row r="10643" spans="1:6">
      <c r="A10643" t="s">
        <v>10447</v>
      </c>
      <c r="B10643" t="str">
        <f t="shared" si="392"/>
        <v>0.00005%</v>
      </c>
      <c r="C10643" t="s">
        <v>10</v>
      </c>
      <c r="D10643" t="s">
        <v>10</v>
      </c>
      <c r="E10643" t="str">
        <f>"$ 359"</f>
        <v>$ 359</v>
      </c>
      <c r="F10643">
        <v>52</v>
      </c>
    </row>
    <row r="10644" spans="1:6">
      <c r="A10644" t="s">
        <v>10448</v>
      </c>
      <c r="B10644" t="str">
        <f t="shared" si="392"/>
        <v>0.00005%</v>
      </c>
      <c r="C10644" t="s">
        <v>10</v>
      </c>
      <c r="D10644" t="s">
        <v>10</v>
      </c>
      <c r="E10644" t="str">
        <f>"$ 397"</f>
        <v>$ 397</v>
      </c>
      <c r="F10644">
        <v>235</v>
      </c>
    </row>
    <row r="10645" spans="1:6">
      <c r="A10645" t="s">
        <v>10449</v>
      </c>
      <c r="B10645" t="str">
        <f t="shared" si="392"/>
        <v>0.00005%</v>
      </c>
      <c r="C10645" t="s">
        <v>10</v>
      </c>
      <c r="D10645" t="s">
        <v>10</v>
      </c>
      <c r="E10645" t="str">
        <f>"$ 381"</f>
        <v>$ 381</v>
      </c>
      <c r="F10645">
        <v>195</v>
      </c>
    </row>
    <row r="10646" spans="1:6">
      <c r="A10646" t="s">
        <v>10450</v>
      </c>
      <c r="B10646" t="str">
        <f t="shared" si="392"/>
        <v>0.00005%</v>
      </c>
      <c r="C10646" t="s">
        <v>10</v>
      </c>
      <c r="D10646" t="s">
        <v>10</v>
      </c>
      <c r="E10646" t="str">
        <f>"$ 384"</f>
        <v>$ 384</v>
      </c>
      <c r="F10646">
        <v>16</v>
      </c>
    </row>
    <row r="10647" spans="1:6">
      <c r="A10647" t="s">
        <v>9710</v>
      </c>
      <c r="B10647" t="str">
        <f t="shared" si="392"/>
        <v>0.00005%</v>
      </c>
      <c r="C10647" t="s">
        <v>10</v>
      </c>
      <c r="D10647" t="s">
        <v>10</v>
      </c>
      <c r="E10647" t="str">
        <f>"$ 379"</f>
        <v>$ 379</v>
      </c>
      <c r="F10647">
        <v>82</v>
      </c>
    </row>
    <row r="10648" spans="1:6">
      <c r="A10648" t="s">
        <v>10451</v>
      </c>
      <c r="B10648" t="str">
        <f t="shared" si="392"/>
        <v>0.00005%</v>
      </c>
      <c r="C10648" t="s">
        <v>10</v>
      </c>
      <c r="D10648" t="s">
        <v>10</v>
      </c>
      <c r="E10648" t="str">
        <f>"$ 374"</f>
        <v>$ 374</v>
      </c>
      <c r="F10648">
        <v>143</v>
      </c>
    </row>
    <row r="10649" spans="1:6">
      <c r="A10649" t="s">
        <v>10452</v>
      </c>
      <c r="B10649" t="str">
        <f t="shared" si="392"/>
        <v>0.00005%</v>
      </c>
      <c r="C10649" t="s">
        <v>10</v>
      </c>
      <c r="D10649" t="s">
        <v>10</v>
      </c>
      <c r="E10649" t="str">
        <f>"$ 415"</f>
        <v>$ 415</v>
      </c>
      <c r="F10649">
        <v>103</v>
      </c>
    </row>
    <row r="10650" spans="1:6">
      <c r="A10650" t="s">
        <v>10453</v>
      </c>
      <c r="B10650" t="str">
        <f t="shared" si="392"/>
        <v>0.00005%</v>
      </c>
      <c r="C10650" t="s">
        <v>10</v>
      </c>
      <c r="D10650" t="s">
        <v>10</v>
      </c>
      <c r="E10650" t="str">
        <f>"$ 393"</f>
        <v>$ 393</v>
      </c>
      <c r="F10650">
        <v>137</v>
      </c>
    </row>
    <row r="10651" spans="1:6">
      <c r="A10651" t="s">
        <v>10454</v>
      </c>
      <c r="B10651" t="str">
        <f t="shared" si="392"/>
        <v>0.00005%</v>
      </c>
      <c r="C10651" t="s">
        <v>10</v>
      </c>
      <c r="D10651" t="s">
        <v>10</v>
      </c>
      <c r="E10651" t="str">
        <f>"$ 402"</f>
        <v>$ 402</v>
      </c>
      <c r="F10651">
        <v>226</v>
      </c>
    </row>
    <row r="10652" spans="1:6">
      <c r="A10652" t="s">
        <v>10455</v>
      </c>
      <c r="B10652" t="str">
        <f t="shared" si="392"/>
        <v>0.00005%</v>
      </c>
      <c r="C10652" t="s">
        <v>10</v>
      </c>
      <c r="D10652" t="s">
        <v>10</v>
      </c>
      <c r="E10652" t="str">
        <f>"$ 405"</f>
        <v>$ 405</v>
      </c>
      <c r="F10652">
        <v>312</v>
      </c>
    </row>
    <row r="10653" spans="1:6">
      <c r="A10653" t="s">
        <v>10456</v>
      </c>
      <c r="B10653" t="str">
        <f t="shared" si="392"/>
        <v>0.00005%</v>
      </c>
      <c r="C10653" t="s">
        <v>10</v>
      </c>
      <c r="D10653" t="s">
        <v>10</v>
      </c>
      <c r="E10653" t="str">
        <f>"$ 349"</f>
        <v>$ 349</v>
      </c>
      <c r="F10653">
        <v>72</v>
      </c>
    </row>
    <row r="10654" spans="1:6">
      <c r="A10654" t="s">
        <v>10457</v>
      </c>
      <c r="B10654" t="str">
        <f t="shared" si="392"/>
        <v>0.00005%</v>
      </c>
      <c r="C10654" t="s">
        <v>10</v>
      </c>
      <c r="D10654" t="s">
        <v>10</v>
      </c>
      <c r="E10654" t="str">
        <f>"$ 375"</f>
        <v>$ 375</v>
      </c>
      <c r="F10654">
        <v>12</v>
      </c>
    </row>
    <row r="10655" spans="1:6">
      <c r="A10655" t="s">
        <v>10458</v>
      </c>
      <c r="B10655" t="str">
        <f t="shared" ref="B10655:B10718" si="393">"0.00004%"</f>
        <v>0.00004%</v>
      </c>
      <c r="C10655" t="s">
        <v>10</v>
      </c>
      <c r="D10655" t="s">
        <v>10</v>
      </c>
      <c r="E10655" t="str">
        <f>"$ 322"</f>
        <v>$ 322</v>
      </c>
      <c r="F10655">
        <v>191</v>
      </c>
    </row>
    <row r="10656" spans="1:6">
      <c r="A10656" t="s">
        <v>10459</v>
      </c>
      <c r="B10656" t="str">
        <f t="shared" si="393"/>
        <v>0.00004%</v>
      </c>
      <c r="C10656" t="s">
        <v>10</v>
      </c>
      <c r="D10656" t="s">
        <v>10</v>
      </c>
      <c r="E10656" t="str">
        <f>"$ 344"</f>
        <v>$ 344</v>
      </c>
      <c r="F10656">
        <v>265</v>
      </c>
    </row>
    <row r="10657" spans="1:6">
      <c r="A10657" t="s">
        <v>10460</v>
      </c>
      <c r="B10657" t="str">
        <f t="shared" si="393"/>
        <v>0.00004%</v>
      </c>
      <c r="C10657" t="s">
        <v>10</v>
      </c>
      <c r="D10657" t="s">
        <v>10</v>
      </c>
      <c r="E10657" t="str">
        <f>"$ 272"</f>
        <v>$ 272</v>
      </c>
      <c r="F10657" s="1">
        <v>14681</v>
      </c>
    </row>
    <row r="10658" spans="1:6">
      <c r="A10658" t="s">
        <v>10461</v>
      </c>
      <c r="B10658" t="str">
        <f t="shared" si="393"/>
        <v>0.00004%</v>
      </c>
      <c r="C10658" t="s">
        <v>10</v>
      </c>
      <c r="D10658" t="s">
        <v>10</v>
      </c>
      <c r="E10658" t="str">
        <f>"$ 293"</f>
        <v>$ 293</v>
      </c>
      <c r="F10658">
        <v>486</v>
      </c>
    </row>
    <row r="10659" spans="1:6">
      <c r="A10659" t="s">
        <v>10462</v>
      </c>
      <c r="B10659" t="str">
        <f t="shared" si="393"/>
        <v>0.00004%</v>
      </c>
      <c r="C10659" t="s">
        <v>10</v>
      </c>
      <c r="D10659" t="s">
        <v>10</v>
      </c>
      <c r="E10659" t="str">
        <f>"$ 297"</f>
        <v>$ 297</v>
      </c>
      <c r="F10659">
        <v>47</v>
      </c>
    </row>
    <row r="10660" spans="1:6">
      <c r="A10660" t="s">
        <v>10463</v>
      </c>
      <c r="B10660" t="str">
        <f t="shared" si="393"/>
        <v>0.00004%</v>
      </c>
      <c r="C10660" t="s">
        <v>10</v>
      </c>
      <c r="D10660" t="s">
        <v>10</v>
      </c>
      <c r="E10660" t="str">
        <f>"$ 321"</f>
        <v>$ 321</v>
      </c>
      <c r="F10660">
        <v>102</v>
      </c>
    </row>
    <row r="10661" spans="1:6">
      <c r="A10661" t="s">
        <v>10464</v>
      </c>
      <c r="B10661" t="str">
        <f t="shared" si="393"/>
        <v>0.00004%</v>
      </c>
      <c r="C10661" t="s">
        <v>10</v>
      </c>
      <c r="D10661" t="s">
        <v>10</v>
      </c>
      <c r="E10661" t="str">
        <f>"$ 298"</f>
        <v>$ 298</v>
      </c>
      <c r="F10661">
        <v>431</v>
      </c>
    </row>
    <row r="10662" spans="1:6">
      <c r="A10662" t="s">
        <v>10465</v>
      </c>
      <c r="B10662" t="str">
        <f t="shared" si="393"/>
        <v>0.00004%</v>
      </c>
      <c r="C10662" t="s">
        <v>10</v>
      </c>
      <c r="D10662" t="s">
        <v>10</v>
      </c>
      <c r="E10662" t="str">
        <f>"$ 280"</f>
        <v>$ 280</v>
      </c>
      <c r="F10662">
        <v>223</v>
      </c>
    </row>
    <row r="10663" spans="1:6">
      <c r="A10663" t="s">
        <v>10466</v>
      </c>
      <c r="B10663" t="str">
        <f t="shared" si="393"/>
        <v>0.00004%</v>
      </c>
      <c r="C10663" t="s">
        <v>10</v>
      </c>
      <c r="D10663" t="s">
        <v>10</v>
      </c>
      <c r="E10663" t="str">
        <f>"$ 336"</f>
        <v>$ 336</v>
      </c>
      <c r="F10663">
        <v>91</v>
      </c>
    </row>
    <row r="10664" spans="1:6">
      <c r="A10664" t="s">
        <v>10467</v>
      </c>
      <c r="B10664" t="str">
        <f t="shared" si="393"/>
        <v>0.00004%</v>
      </c>
      <c r="C10664" t="s">
        <v>10</v>
      </c>
      <c r="D10664" t="s">
        <v>10</v>
      </c>
      <c r="E10664" t="str">
        <f>"$ 312"</f>
        <v>$ 312</v>
      </c>
      <c r="F10664">
        <v>214</v>
      </c>
    </row>
    <row r="10665" spans="1:6">
      <c r="A10665" t="s">
        <v>9507</v>
      </c>
      <c r="B10665" t="str">
        <f t="shared" si="393"/>
        <v>0.00004%</v>
      </c>
      <c r="C10665" t="s">
        <v>10</v>
      </c>
      <c r="D10665" t="s">
        <v>10</v>
      </c>
      <c r="E10665" t="str">
        <f>"$ 322"</f>
        <v>$ 322</v>
      </c>
      <c r="F10665">
        <v>182</v>
      </c>
    </row>
    <row r="10666" spans="1:6">
      <c r="A10666" t="s">
        <v>10468</v>
      </c>
      <c r="B10666" t="str">
        <f t="shared" si="393"/>
        <v>0.00004%</v>
      </c>
      <c r="C10666" t="s">
        <v>10</v>
      </c>
      <c r="D10666" t="s">
        <v>10</v>
      </c>
      <c r="E10666" t="str">
        <f>"$ 329"</f>
        <v>$ 329</v>
      </c>
      <c r="F10666">
        <v>183</v>
      </c>
    </row>
    <row r="10667" spans="1:6">
      <c r="A10667" t="s">
        <v>10469</v>
      </c>
      <c r="B10667" t="str">
        <f t="shared" si="393"/>
        <v>0.00004%</v>
      </c>
      <c r="C10667" t="s">
        <v>10</v>
      </c>
      <c r="D10667" t="s">
        <v>10</v>
      </c>
      <c r="E10667" t="str">
        <f>"$ 297"</f>
        <v>$ 297</v>
      </c>
      <c r="F10667">
        <v>226</v>
      </c>
    </row>
    <row r="10668" spans="1:6">
      <c r="A10668" t="s">
        <v>10470</v>
      </c>
      <c r="B10668" t="str">
        <f t="shared" si="393"/>
        <v>0.00004%</v>
      </c>
      <c r="C10668" t="s">
        <v>10</v>
      </c>
      <c r="D10668" t="s">
        <v>10</v>
      </c>
      <c r="E10668" t="str">
        <f>"$ 278"</f>
        <v>$ 278</v>
      </c>
      <c r="F10668">
        <v>147</v>
      </c>
    </row>
    <row r="10669" spans="1:6">
      <c r="A10669" t="s">
        <v>10471</v>
      </c>
      <c r="B10669" t="str">
        <f t="shared" si="393"/>
        <v>0.00004%</v>
      </c>
      <c r="C10669" t="s">
        <v>10</v>
      </c>
      <c r="D10669" t="s">
        <v>10</v>
      </c>
      <c r="E10669" t="str">
        <f>"$ 323"</f>
        <v>$ 323</v>
      </c>
      <c r="F10669">
        <v>490</v>
      </c>
    </row>
    <row r="10670" spans="1:6">
      <c r="A10670" t="s">
        <v>10472</v>
      </c>
      <c r="B10670" t="str">
        <f t="shared" si="393"/>
        <v>0.00004%</v>
      </c>
      <c r="C10670" t="s">
        <v>10</v>
      </c>
      <c r="D10670" t="s">
        <v>10</v>
      </c>
      <c r="E10670" t="str">
        <f>"$ 334"</f>
        <v>$ 334</v>
      </c>
      <c r="F10670">
        <v>291</v>
      </c>
    </row>
    <row r="10671" spans="1:6">
      <c r="A10671" t="s">
        <v>10473</v>
      </c>
      <c r="B10671" t="str">
        <f t="shared" si="393"/>
        <v>0.00004%</v>
      </c>
      <c r="C10671" t="s">
        <v>10</v>
      </c>
      <c r="D10671" t="s">
        <v>10</v>
      </c>
      <c r="E10671" t="str">
        <f>"$ 314"</f>
        <v>$ 314</v>
      </c>
      <c r="F10671">
        <v>248</v>
      </c>
    </row>
    <row r="10672" spans="1:6">
      <c r="A10672" t="s">
        <v>10474</v>
      </c>
      <c r="B10672" t="str">
        <f t="shared" si="393"/>
        <v>0.00004%</v>
      </c>
      <c r="C10672" t="s">
        <v>10</v>
      </c>
      <c r="D10672" t="s">
        <v>10</v>
      </c>
      <c r="E10672" t="str">
        <f>"$ 300"</f>
        <v>$ 300</v>
      </c>
      <c r="F10672">
        <v>184</v>
      </c>
    </row>
    <row r="10673" spans="1:6">
      <c r="A10673" t="s">
        <v>9962</v>
      </c>
      <c r="B10673" t="str">
        <f t="shared" si="393"/>
        <v>0.00004%</v>
      </c>
      <c r="C10673" t="s">
        <v>10</v>
      </c>
      <c r="D10673" t="s">
        <v>10</v>
      </c>
      <c r="E10673" t="str">
        <f>"$ 302"</f>
        <v>$ 302</v>
      </c>
      <c r="F10673">
        <v>134</v>
      </c>
    </row>
    <row r="10674" spans="1:6">
      <c r="A10674" t="s">
        <v>10475</v>
      </c>
      <c r="B10674" t="str">
        <f t="shared" si="393"/>
        <v>0.00004%</v>
      </c>
      <c r="C10674" t="s">
        <v>10</v>
      </c>
      <c r="D10674" t="s">
        <v>10</v>
      </c>
      <c r="E10674" t="str">
        <f>"$ 304"</f>
        <v>$ 304</v>
      </c>
      <c r="F10674">
        <v>12</v>
      </c>
    </row>
    <row r="10675" spans="1:6">
      <c r="A10675" t="s">
        <v>10476</v>
      </c>
      <c r="B10675" t="str">
        <f t="shared" si="393"/>
        <v>0.00004%</v>
      </c>
      <c r="C10675" t="s">
        <v>10</v>
      </c>
      <c r="D10675" t="s">
        <v>10</v>
      </c>
      <c r="E10675" t="str">
        <f>"$ 306"</f>
        <v>$ 306</v>
      </c>
      <c r="F10675">
        <v>207</v>
      </c>
    </row>
    <row r="10676" spans="1:6">
      <c r="A10676" t="s">
        <v>10477</v>
      </c>
      <c r="B10676" t="str">
        <f t="shared" si="393"/>
        <v>0.00004%</v>
      </c>
      <c r="C10676" t="s">
        <v>10</v>
      </c>
      <c r="D10676" t="s">
        <v>10</v>
      </c>
      <c r="E10676" t="str">
        <f>"$ 307"</f>
        <v>$ 307</v>
      </c>
      <c r="F10676">
        <v>313</v>
      </c>
    </row>
    <row r="10677" spans="1:6">
      <c r="A10677" t="s">
        <v>10478</v>
      </c>
      <c r="B10677" t="str">
        <f t="shared" si="393"/>
        <v>0.00004%</v>
      </c>
      <c r="C10677" t="s">
        <v>10</v>
      </c>
      <c r="D10677" t="s">
        <v>10</v>
      </c>
      <c r="E10677" t="str">
        <f>"$ 279"</f>
        <v>$ 279</v>
      </c>
      <c r="F10677">
        <v>304</v>
      </c>
    </row>
    <row r="10678" spans="1:6">
      <c r="A10678" t="s">
        <v>9346</v>
      </c>
      <c r="B10678" t="str">
        <f t="shared" si="393"/>
        <v>0.00004%</v>
      </c>
      <c r="C10678" t="s">
        <v>10</v>
      </c>
      <c r="D10678" t="s">
        <v>10</v>
      </c>
      <c r="E10678" t="str">
        <f>"$ 280"</f>
        <v>$ 280</v>
      </c>
      <c r="F10678">
        <v>174</v>
      </c>
    </row>
    <row r="10679" spans="1:6">
      <c r="A10679" t="s">
        <v>10479</v>
      </c>
      <c r="B10679" t="str">
        <f t="shared" si="393"/>
        <v>0.00004%</v>
      </c>
      <c r="C10679" t="s">
        <v>10</v>
      </c>
      <c r="D10679" t="s">
        <v>10</v>
      </c>
      <c r="E10679" t="str">
        <f>"$ 280"</f>
        <v>$ 280</v>
      </c>
      <c r="F10679">
        <v>199</v>
      </c>
    </row>
    <row r="10680" spans="1:6">
      <c r="A10680" t="s">
        <v>10480</v>
      </c>
      <c r="B10680" t="str">
        <f t="shared" si="393"/>
        <v>0.00004%</v>
      </c>
      <c r="C10680" t="s">
        <v>10</v>
      </c>
      <c r="D10680" t="s">
        <v>10</v>
      </c>
      <c r="E10680" t="str">
        <f>"$ 285"</f>
        <v>$ 285</v>
      </c>
      <c r="F10680">
        <v>275</v>
      </c>
    </row>
    <row r="10681" spans="1:6">
      <c r="A10681" t="s">
        <v>8997</v>
      </c>
      <c r="B10681" t="str">
        <f t="shared" si="393"/>
        <v>0.00004%</v>
      </c>
      <c r="C10681" t="s">
        <v>10</v>
      </c>
      <c r="D10681" t="s">
        <v>10</v>
      </c>
      <c r="E10681" t="str">
        <f>"$ 306"</f>
        <v>$ 306</v>
      </c>
      <c r="F10681">
        <v>428</v>
      </c>
    </row>
    <row r="10682" spans="1:6">
      <c r="A10682" t="s">
        <v>10481</v>
      </c>
      <c r="B10682" t="str">
        <f t="shared" si="393"/>
        <v>0.00004%</v>
      </c>
      <c r="C10682" t="s">
        <v>10</v>
      </c>
      <c r="D10682" t="s">
        <v>10</v>
      </c>
      <c r="E10682" t="str">
        <f>"$ 330"</f>
        <v>$ 330</v>
      </c>
      <c r="F10682">
        <v>522</v>
      </c>
    </row>
    <row r="10683" spans="1:6">
      <c r="A10683" t="s">
        <v>10482</v>
      </c>
      <c r="B10683" t="str">
        <f t="shared" si="393"/>
        <v>0.00004%</v>
      </c>
      <c r="C10683" t="s">
        <v>10</v>
      </c>
      <c r="D10683" t="s">
        <v>10</v>
      </c>
      <c r="E10683" t="str">
        <f>"$ 308"</f>
        <v>$ 308</v>
      </c>
      <c r="F10683">
        <v>276</v>
      </c>
    </row>
    <row r="10684" spans="1:6">
      <c r="A10684" t="s">
        <v>10483</v>
      </c>
      <c r="B10684" t="str">
        <f t="shared" si="393"/>
        <v>0.00004%</v>
      </c>
      <c r="C10684" t="s">
        <v>10</v>
      </c>
      <c r="D10684" t="s">
        <v>10</v>
      </c>
      <c r="E10684" t="str">
        <f>"$ 311"</f>
        <v>$ 311</v>
      </c>
      <c r="F10684">
        <v>251</v>
      </c>
    </row>
    <row r="10685" spans="1:6">
      <c r="A10685" t="s">
        <v>10484</v>
      </c>
      <c r="B10685" t="str">
        <f t="shared" si="393"/>
        <v>0.00004%</v>
      </c>
      <c r="C10685" t="s">
        <v>10</v>
      </c>
      <c r="D10685" t="s">
        <v>10</v>
      </c>
      <c r="E10685" t="str">
        <f>"$ 284"</f>
        <v>$ 284</v>
      </c>
      <c r="F10685">
        <v>182</v>
      </c>
    </row>
    <row r="10686" spans="1:6">
      <c r="A10686" t="s">
        <v>10485</v>
      </c>
      <c r="B10686" t="str">
        <f t="shared" si="393"/>
        <v>0.00004%</v>
      </c>
      <c r="C10686" t="s">
        <v>10</v>
      </c>
      <c r="D10686" t="s">
        <v>10</v>
      </c>
      <c r="E10686" t="str">
        <f>"$ 308"</f>
        <v>$ 308</v>
      </c>
      <c r="F10686">
        <v>49</v>
      </c>
    </row>
    <row r="10687" spans="1:6">
      <c r="A10687" t="s">
        <v>10486</v>
      </c>
      <c r="B10687" t="str">
        <f t="shared" si="393"/>
        <v>0.00004%</v>
      </c>
      <c r="C10687" t="s">
        <v>10</v>
      </c>
      <c r="D10687" t="s">
        <v>10</v>
      </c>
      <c r="E10687" t="str">
        <f>"$ 331"</f>
        <v>$ 331</v>
      </c>
      <c r="F10687">
        <v>4</v>
      </c>
    </row>
    <row r="10688" spans="1:6">
      <c r="A10688" t="s">
        <v>10487</v>
      </c>
      <c r="B10688" t="str">
        <f t="shared" si="393"/>
        <v>0.00004%</v>
      </c>
      <c r="C10688" t="s">
        <v>10</v>
      </c>
      <c r="D10688" t="s">
        <v>10</v>
      </c>
      <c r="E10688" t="str">
        <f>"$ 332"</f>
        <v>$ 332</v>
      </c>
      <c r="F10688">
        <v>306</v>
      </c>
    </row>
    <row r="10689" spans="1:6">
      <c r="A10689" t="s">
        <v>10488</v>
      </c>
      <c r="B10689" t="str">
        <f t="shared" si="393"/>
        <v>0.00004%</v>
      </c>
      <c r="C10689" t="s">
        <v>10</v>
      </c>
      <c r="D10689" t="s">
        <v>10</v>
      </c>
      <c r="E10689" t="str">
        <f>"$ 319"</f>
        <v>$ 319</v>
      </c>
      <c r="F10689">
        <v>5</v>
      </c>
    </row>
    <row r="10690" spans="1:6">
      <c r="A10690" t="s">
        <v>9521</v>
      </c>
      <c r="B10690" t="str">
        <f t="shared" si="393"/>
        <v>0.00004%</v>
      </c>
      <c r="C10690" t="s">
        <v>10</v>
      </c>
      <c r="D10690" t="s">
        <v>10</v>
      </c>
      <c r="E10690" t="str">
        <f>"$ 283"</f>
        <v>$ 283</v>
      </c>
      <c r="F10690">
        <v>408</v>
      </c>
    </row>
    <row r="10691" spans="1:6">
      <c r="A10691" t="s">
        <v>10489</v>
      </c>
      <c r="B10691" t="str">
        <f t="shared" si="393"/>
        <v>0.00004%</v>
      </c>
      <c r="C10691" t="s">
        <v>10</v>
      </c>
      <c r="D10691" t="s">
        <v>10</v>
      </c>
      <c r="E10691" t="str">
        <f>"$ 307"</f>
        <v>$ 307</v>
      </c>
      <c r="F10691">
        <v>525</v>
      </c>
    </row>
    <row r="10692" spans="1:6">
      <c r="A10692" t="s">
        <v>10490</v>
      </c>
      <c r="B10692" t="str">
        <f t="shared" si="393"/>
        <v>0.00004%</v>
      </c>
      <c r="C10692" t="s">
        <v>10</v>
      </c>
      <c r="D10692" t="s">
        <v>10</v>
      </c>
      <c r="E10692" t="str">
        <f>"$ 298"</f>
        <v>$ 298</v>
      </c>
      <c r="F10692">
        <v>289</v>
      </c>
    </row>
    <row r="10693" spans="1:6">
      <c r="A10693" t="s">
        <v>10491</v>
      </c>
      <c r="B10693" t="str">
        <f t="shared" si="393"/>
        <v>0.00004%</v>
      </c>
      <c r="C10693" t="s">
        <v>10</v>
      </c>
      <c r="D10693" t="s">
        <v>10</v>
      </c>
      <c r="E10693" t="str">
        <f>"$ 283"</f>
        <v>$ 283</v>
      </c>
      <c r="F10693">
        <v>29</v>
      </c>
    </row>
    <row r="10694" spans="1:6">
      <c r="A10694" t="s">
        <v>10487</v>
      </c>
      <c r="B10694" t="str">
        <f t="shared" si="393"/>
        <v>0.00004%</v>
      </c>
      <c r="C10694" t="s">
        <v>10</v>
      </c>
      <c r="D10694" t="s">
        <v>10</v>
      </c>
      <c r="E10694" t="str">
        <f>"$ 272"</f>
        <v>$ 272</v>
      </c>
      <c r="F10694">
        <v>251</v>
      </c>
    </row>
    <row r="10695" spans="1:6">
      <c r="A10695" t="s">
        <v>10492</v>
      </c>
      <c r="B10695" t="str">
        <f t="shared" si="393"/>
        <v>0.00004%</v>
      </c>
      <c r="C10695" t="s">
        <v>10</v>
      </c>
      <c r="D10695" t="s">
        <v>10</v>
      </c>
      <c r="E10695" t="str">
        <f>"$ 276"</f>
        <v>$ 276</v>
      </c>
      <c r="F10695">
        <v>312</v>
      </c>
    </row>
    <row r="10696" spans="1:6">
      <c r="A10696" t="s">
        <v>10493</v>
      </c>
      <c r="B10696" t="str">
        <f t="shared" si="393"/>
        <v>0.00004%</v>
      </c>
      <c r="C10696" t="s">
        <v>10</v>
      </c>
      <c r="D10696" t="s">
        <v>10</v>
      </c>
      <c r="E10696" t="str">
        <f>"$ 341"</f>
        <v>$ 341</v>
      </c>
      <c r="F10696">
        <v>149</v>
      </c>
    </row>
    <row r="10697" spans="1:6">
      <c r="A10697" t="s">
        <v>10492</v>
      </c>
      <c r="B10697" t="str">
        <f t="shared" si="393"/>
        <v>0.00004%</v>
      </c>
      <c r="C10697" t="s">
        <v>10</v>
      </c>
      <c r="D10697" t="s">
        <v>10</v>
      </c>
      <c r="E10697" t="str">
        <f>"$ 334"</f>
        <v>$ 334</v>
      </c>
      <c r="F10697">
        <v>377</v>
      </c>
    </row>
    <row r="10698" spans="1:6">
      <c r="A10698" t="s">
        <v>10494</v>
      </c>
      <c r="B10698" t="str">
        <f t="shared" si="393"/>
        <v>0.00004%</v>
      </c>
      <c r="C10698" t="s">
        <v>10</v>
      </c>
      <c r="D10698" t="s">
        <v>10</v>
      </c>
      <c r="E10698" t="str">
        <f>"$ 331"</f>
        <v>$ 331</v>
      </c>
      <c r="F10698">
        <v>266</v>
      </c>
    </row>
    <row r="10699" spans="1:6">
      <c r="A10699" t="s">
        <v>10495</v>
      </c>
      <c r="B10699" t="str">
        <f t="shared" si="393"/>
        <v>0.00004%</v>
      </c>
      <c r="C10699" t="s">
        <v>10</v>
      </c>
      <c r="D10699" t="s">
        <v>10</v>
      </c>
      <c r="E10699" t="str">
        <f>"$ 334"</f>
        <v>$ 334</v>
      </c>
      <c r="F10699">
        <v>171</v>
      </c>
    </row>
    <row r="10700" spans="1:6">
      <c r="A10700" t="s">
        <v>10496</v>
      </c>
      <c r="B10700" t="str">
        <f t="shared" si="393"/>
        <v>0.00004%</v>
      </c>
      <c r="C10700" t="s">
        <v>10</v>
      </c>
      <c r="D10700" t="s">
        <v>10</v>
      </c>
      <c r="E10700" t="str">
        <f>"$ 333"</f>
        <v>$ 333</v>
      </c>
      <c r="F10700">
        <v>395</v>
      </c>
    </row>
    <row r="10701" spans="1:6">
      <c r="A10701" t="s">
        <v>10497</v>
      </c>
      <c r="B10701" t="str">
        <f t="shared" si="393"/>
        <v>0.00004%</v>
      </c>
      <c r="C10701" t="s">
        <v>10</v>
      </c>
      <c r="D10701" t="s">
        <v>10</v>
      </c>
      <c r="E10701" t="str">
        <f>"$ 319"</f>
        <v>$ 319</v>
      </c>
      <c r="F10701">
        <v>370</v>
      </c>
    </row>
    <row r="10702" spans="1:6">
      <c r="A10702" t="s">
        <v>10498</v>
      </c>
      <c r="B10702" t="str">
        <f t="shared" si="393"/>
        <v>0.00004%</v>
      </c>
      <c r="C10702" t="s">
        <v>10</v>
      </c>
      <c r="D10702" t="s">
        <v>10</v>
      </c>
      <c r="E10702" t="str">
        <f>"$ 284"</f>
        <v>$ 284</v>
      </c>
      <c r="F10702">
        <v>181</v>
      </c>
    </row>
    <row r="10703" spans="1:6">
      <c r="A10703" t="s">
        <v>10499</v>
      </c>
      <c r="B10703" t="str">
        <f t="shared" si="393"/>
        <v>0.00004%</v>
      </c>
      <c r="C10703" t="s">
        <v>10</v>
      </c>
      <c r="D10703" t="s">
        <v>10</v>
      </c>
      <c r="E10703" t="str">
        <f>"$ 293"</f>
        <v>$ 293</v>
      </c>
      <c r="F10703">
        <v>101</v>
      </c>
    </row>
    <row r="10704" spans="1:6">
      <c r="A10704" t="s">
        <v>10500</v>
      </c>
      <c r="B10704" t="str">
        <f t="shared" si="393"/>
        <v>0.00004%</v>
      </c>
      <c r="C10704" t="s">
        <v>10</v>
      </c>
      <c r="D10704" t="s">
        <v>10</v>
      </c>
      <c r="E10704" t="str">
        <f>"$ 307"</f>
        <v>$ 307</v>
      </c>
      <c r="F10704">
        <v>463</v>
      </c>
    </row>
    <row r="10705" spans="1:6">
      <c r="A10705" t="s">
        <v>10501</v>
      </c>
      <c r="B10705" t="str">
        <f t="shared" si="393"/>
        <v>0.00004%</v>
      </c>
      <c r="C10705" t="s">
        <v>10</v>
      </c>
      <c r="D10705" t="s">
        <v>10</v>
      </c>
      <c r="E10705" t="str">
        <f>"$ 304"</f>
        <v>$ 304</v>
      </c>
      <c r="F10705">
        <v>32</v>
      </c>
    </row>
    <row r="10706" spans="1:6">
      <c r="A10706" t="s">
        <v>10502</v>
      </c>
      <c r="B10706" t="str">
        <f t="shared" si="393"/>
        <v>0.00004%</v>
      </c>
      <c r="C10706" t="s">
        <v>10</v>
      </c>
      <c r="D10706" t="s">
        <v>10</v>
      </c>
      <c r="E10706" t="str">
        <f>"$ 303"</f>
        <v>$ 303</v>
      </c>
      <c r="F10706">
        <v>49</v>
      </c>
    </row>
    <row r="10707" spans="1:6">
      <c r="A10707" t="s">
        <v>10503</v>
      </c>
      <c r="B10707" t="str">
        <f t="shared" si="393"/>
        <v>0.00004%</v>
      </c>
      <c r="C10707" t="s">
        <v>10</v>
      </c>
      <c r="D10707" t="s">
        <v>10</v>
      </c>
      <c r="E10707" t="str">
        <f>"$ 285"</f>
        <v>$ 285</v>
      </c>
      <c r="F10707">
        <v>157</v>
      </c>
    </row>
    <row r="10708" spans="1:6">
      <c r="A10708" t="s">
        <v>10504</v>
      </c>
      <c r="B10708" t="str">
        <f t="shared" si="393"/>
        <v>0.00004%</v>
      </c>
      <c r="C10708" t="s">
        <v>10</v>
      </c>
      <c r="D10708" t="s">
        <v>10</v>
      </c>
      <c r="E10708" t="str">
        <f>"$ 287"</f>
        <v>$ 287</v>
      </c>
      <c r="F10708">
        <v>217</v>
      </c>
    </row>
    <row r="10709" spans="1:6">
      <c r="A10709" t="s">
        <v>10505</v>
      </c>
      <c r="B10709" t="str">
        <f t="shared" si="393"/>
        <v>0.00004%</v>
      </c>
      <c r="C10709" t="s">
        <v>10</v>
      </c>
      <c r="D10709" t="s">
        <v>10</v>
      </c>
      <c r="E10709" t="str">
        <f>"$ 328"</f>
        <v>$ 328</v>
      </c>
      <c r="F10709">
        <v>330</v>
      </c>
    </row>
    <row r="10710" spans="1:6">
      <c r="A10710" t="s">
        <v>9987</v>
      </c>
      <c r="B10710" t="str">
        <f t="shared" si="393"/>
        <v>0.00004%</v>
      </c>
      <c r="C10710" t="s">
        <v>10</v>
      </c>
      <c r="D10710" t="s">
        <v>10</v>
      </c>
      <c r="E10710" t="str">
        <f>"$ 342"</f>
        <v>$ 342</v>
      </c>
      <c r="F10710">
        <v>209</v>
      </c>
    </row>
    <row r="10711" spans="1:6">
      <c r="A10711" t="s">
        <v>10506</v>
      </c>
      <c r="B10711" t="str">
        <f t="shared" si="393"/>
        <v>0.00004%</v>
      </c>
      <c r="C10711" t="s">
        <v>10</v>
      </c>
      <c r="D10711" t="s">
        <v>10</v>
      </c>
      <c r="E10711" t="str">
        <f>"$ 300"</f>
        <v>$ 300</v>
      </c>
      <c r="F10711">
        <v>206</v>
      </c>
    </row>
    <row r="10712" spans="1:6">
      <c r="A10712" t="s">
        <v>10507</v>
      </c>
      <c r="B10712" t="str">
        <f t="shared" si="393"/>
        <v>0.00004%</v>
      </c>
      <c r="C10712" t="s">
        <v>10</v>
      </c>
      <c r="D10712" t="s">
        <v>10</v>
      </c>
      <c r="E10712" t="str">
        <f>"$ 300"</f>
        <v>$ 300</v>
      </c>
      <c r="F10712">
        <v>160</v>
      </c>
    </row>
    <row r="10713" spans="1:6">
      <c r="A10713" t="s">
        <v>10508</v>
      </c>
      <c r="B10713" t="str">
        <f t="shared" si="393"/>
        <v>0.00004%</v>
      </c>
      <c r="C10713" t="s">
        <v>10</v>
      </c>
      <c r="D10713" t="s">
        <v>10</v>
      </c>
      <c r="E10713" t="str">
        <f>"$ 342"</f>
        <v>$ 342</v>
      </c>
      <c r="F10713">
        <v>288</v>
      </c>
    </row>
    <row r="10714" spans="1:6">
      <c r="A10714" t="s">
        <v>10509</v>
      </c>
      <c r="B10714" t="str">
        <f t="shared" si="393"/>
        <v>0.00004%</v>
      </c>
      <c r="C10714" t="s">
        <v>10</v>
      </c>
      <c r="D10714" t="s">
        <v>10</v>
      </c>
      <c r="E10714" t="str">
        <f>"$ 276"</f>
        <v>$ 276</v>
      </c>
      <c r="F10714">
        <v>191</v>
      </c>
    </row>
    <row r="10715" spans="1:6">
      <c r="A10715" t="s">
        <v>10510</v>
      </c>
      <c r="B10715" t="str">
        <f t="shared" si="393"/>
        <v>0.00004%</v>
      </c>
      <c r="C10715" t="s">
        <v>10</v>
      </c>
      <c r="D10715" t="s">
        <v>10</v>
      </c>
      <c r="E10715" t="str">
        <f>"$ 287"</f>
        <v>$ 287</v>
      </c>
      <c r="F10715">
        <v>93</v>
      </c>
    </row>
    <row r="10716" spans="1:6">
      <c r="A10716" t="s">
        <v>10511</v>
      </c>
      <c r="B10716" t="str">
        <f t="shared" si="393"/>
        <v>0.00004%</v>
      </c>
      <c r="C10716" t="s">
        <v>10</v>
      </c>
      <c r="D10716" t="s">
        <v>10</v>
      </c>
      <c r="E10716" t="str">
        <f>"$ 346"</f>
        <v>$ 346</v>
      </c>
      <c r="F10716">
        <v>174</v>
      </c>
    </row>
    <row r="10717" spans="1:6">
      <c r="A10717" t="s">
        <v>10512</v>
      </c>
      <c r="B10717" t="str">
        <f t="shared" si="393"/>
        <v>0.00004%</v>
      </c>
      <c r="C10717" t="s">
        <v>10</v>
      </c>
      <c r="D10717" t="s">
        <v>10</v>
      </c>
      <c r="E10717" t="str">
        <f>"$ 327"</f>
        <v>$ 327</v>
      </c>
      <c r="F10717">
        <v>124</v>
      </c>
    </row>
    <row r="10718" spans="1:6">
      <c r="A10718" t="s">
        <v>10513</v>
      </c>
      <c r="B10718" t="str">
        <f t="shared" si="393"/>
        <v>0.00004%</v>
      </c>
      <c r="C10718" t="s">
        <v>10</v>
      </c>
      <c r="D10718" t="s">
        <v>10</v>
      </c>
      <c r="E10718" t="str">
        <f>"$ 335"</f>
        <v>$ 335</v>
      </c>
      <c r="F10718">
        <v>328</v>
      </c>
    </row>
    <row r="10719" spans="1:6">
      <c r="A10719" t="s">
        <v>10514</v>
      </c>
      <c r="B10719" t="str">
        <f t="shared" ref="B10719:B10782" si="394">"0.00004%"</f>
        <v>0.00004%</v>
      </c>
      <c r="C10719" t="s">
        <v>10</v>
      </c>
      <c r="D10719" t="s">
        <v>10</v>
      </c>
      <c r="E10719" t="str">
        <f>"$ 318"</f>
        <v>$ 318</v>
      </c>
      <c r="F10719">
        <v>313</v>
      </c>
    </row>
    <row r="10720" spans="1:6">
      <c r="A10720" t="s">
        <v>10515</v>
      </c>
      <c r="B10720" t="str">
        <f t="shared" si="394"/>
        <v>0.00004%</v>
      </c>
      <c r="C10720" t="s">
        <v>10</v>
      </c>
      <c r="D10720" t="s">
        <v>10</v>
      </c>
      <c r="E10720" t="str">
        <f>"$ 314"</f>
        <v>$ 314</v>
      </c>
      <c r="F10720">
        <v>156</v>
      </c>
    </row>
    <row r="10721" spans="1:6">
      <c r="A10721" t="s">
        <v>10516</v>
      </c>
      <c r="B10721" t="str">
        <f t="shared" si="394"/>
        <v>0.00004%</v>
      </c>
      <c r="C10721" t="s">
        <v>10</v>
      </c>
      <c r="D10721" t="s">
        <v>10</v>
      </c>
      <c r="E10721" t="str">
        <f>"$ 312"</f>
        <v>$ 312</v>
      </c>
      <c r="F10721">
        <v>139</v>
      </c>
    </row>
    <row r="10722" spans="1:6">
      <c r="A10722" t="s">
        <v>8856</v>
      </c>
      <c r="B10722" t="str">
        <f t="shared" si="394"/>
        <v>0.00004%</v>
      </c>
      <c r="C10722" t="s">
        <v>10</v>
      </c>
      <c r="D10722" t="s">
        <v>10</v>
      </c>
      <c r="E10722" t="str">
        <f>"$ 314"</f>
        <v>$ 314</v>
      </c>
      <c r="F10722">
        <v>62</v>
      </c>
    </row>
    <row r="10723" spans="1:6">
      <c r="A10723" t="s">
        <v>10517</v>
      </c>
      <c r="B10723" t="str">
        <f t="shared" si="394"/>
        <v>0.00004%</v>
      </c>
      <c r="C10723" t="s">
        <v>10</v>
      </c>
      <c r="D10723" t="s">
        <v>10</v>
      </c>
      <c r="E10723" t="str">
        <f>"$ 316"</f>
        <v>$ 316</v>
      </c>
      <c r="F10723">
        <v>337</v>
      </c>
    </row>
    <row r="10724" spans="1:6">
      <c r="A10724" t="s">
        <v>10518</v>
      </c>
      <c r="B10724" t="str">
        <f t="shared" si="394"/>
        <v>0.00004%</v>
      </c>
      <c r="C10724" t="s">
        <v>10</v>
      </c>
      <c r="D10724" t="s">
        <v>10</v>
      </c>
      <c r="E10724" t="str">
        <f>"$ 316"</f>
        <v>$ 316</v>
      </c>
      <c r="F10724">
        <v>156</v>
      </c>
    </row>
    <row r="10725" spans="1:6">
      <c r="A10725" t="s">
        <v>10519</v>
      </c>
      <c r="B10725" t="str">
        <f t="shared" si="394"/>
        <v>0.00004%</v>
      </c>
      <c r="C10725" t="s">
        <v>10</v>
      </c>
      <c r="D10725" t="s">
        <v>10</v>
      </c>
      <c r="E10725" t="str">
        <f>"$ 287"</f>
        <v>$ 287</v>
      </c>
      <c r="F10725">
        <v>282</v>
      </c>
    </row>
    <row r="10726" spans="1:6">
      <c r="A10726" t="s">
        <v>10520</v>
      </c>
      <c r="B10726" t="str">
        <f t="shared" si="394"/>
        <v>0.00004%</v>
      </c>
      <c r="C10726" t="s">
        <v>10</v>
      </c>
      <c r="D10726" t="s">
        <v>10</v>
      </c>
      <c r="E10726" t="str">
        <f>"$ 292"</f>
        <v>$ 292</v>
      </c>
      <c r="F10726">
        <v>444</v>
      </c>
    </row>
    <row r="10727" spans="1:6">
      <c r="A10727" t="s">
        <v>10521</v>
      </c>
      <c r="B10727" t="str">
        <f t="shared" si="394"/>
        <v>0.00004%</v>
      </c>
      <c r="C10727" t="s">
        <v>10</v>
      </c>
      <c r="D10727" t="s">
        <v>10</v>
      </c>
      <c r="E10727" t="str">
        <f>"$ 300"</f>
        <v>$ 300</v>
      </c>
      <c r="F10727">
        <v>134</v>
      </c>
    </row>
    <row r="10728" spans="1:6">
      <c r="A10728" t="s">
        <v>10522</v>
      </c>
      <c r="B10728" t="str">
        <f t="shared" si="394"/>
        <v>0.00004%</v>
      </c>
      <c r="C10728" t="s">
        <v>10</v>
      </c>
      <c r="D10728" t="s">
        <v>10</v>
      </c>
      <c r="E10728" t="str">
        <f>"$ 296"</f>
        <v>$ 296</v>
      </c>
      <c r="F10728">
        <v>182</v>
      </c>
    </row>
    <row r="10729" spans="1:6">
      <c r="A10729" t="s">
        <v>10523</v>
      </c>
      <c r="B10729" t="str">
        <f t="shared" si="394"/>
        <v>0.00004%</v>
      </c>
      <c r="C10729" t="s">
        <v>10</v>
      </c>
      <c r="D10729" t="s">
        <v>10</v>
      </c>
      <c r="E10729" t="str">
        <f>"$ 299"</f>
        <v>$ 299</v>
      </c>
      <c r="F10729">
        <v>213</v>
      </c>
    </row>
    <row r="10730" spans="1:6">
      <c r="A10730" t="s">
        <v>10524</v>
      </c>
      <c r="B10730" t="str">
        <f t="shared" si="394"/>
        <v>0.00004%</v>
      </c>
      <c r="C10730" t="s">
        <v>10</v>
      </c>
      <c r="D10730" t="s">
        <v>10</v>
      </c>
      <c r="E10730" t="str">
        <f>"$ 307"</f>
        <v>$ 307</v>
      </c>
      <c r="F10730">
        <v>162</v>
      </c>
    </row>
    <row r="10731" spans="1:6">
      <c r="A10731" t="s">
        <v>10525</v>
      </c>
      <c r="B10731" t="str">
        <f t="shared" si="394"/>
        <v>0.00004%</v>
      </c>
      <c r="C10731" t="s">
        <v>10</v>
      </c>
      <c r="D10731" t="s">
        <v>10</v>
      </c>
      <c r="E10731" t="str">
        <f>"$ 306"</f>
        <v>$ 306</v>
      </c>
      <c r="F10731">
        <v>295</v>
      </c>
    </row>
    <row r="10732" spans="1:6">
      <c r="A10732" t="s">
        <v>10526</v>
      </c>
      <c r="B10732" t="str">
        <f t="shared" si="394"/>
        <v>0.00004%</v>
      </c>
      <c r="C10732" t="s">
        <v>10</v>
      </c>
      <c r="D10732" t="s">
        <v>10</v>
      </c>
      <c r="E10732" t="str">
        <f>"$ 306"</f>
        <v>$ 306</v>
      </c>
      <c r="F10732">
        <v>199</v>
      </c>
    </row>
    <row r="10733" spans="1:6">
      <c r="A10733" t="s">
        <v>10527</v>
      </c>
      <c r="B10733" t="str">
        <f t="shared" si="394"/>
        <v>0.00004%</v>
      </c>
      <c r="C10733" t="s">
        <v>10</v>
      </c>
      <c r="D10733" t="s">
        <v>10</v>
      </c>
      <c r="E10733" t="str">
        <f>"$ 279"</f>
        <v>$ 279</v>
      </c>
      <c r="F10733">
        <v>337</v>
      </c>
    </row>
    <row r="10734" spans="1:6">
      <c r="A10734" t="s">
        <v>10528</v>
      </c>
      <c r="B10734" t="str">
        <f t="shared" si="394"/>
        <v>0.00004%</v>
      </c>
      <c r="C10734" t="s">
        <v>10</v>
      </c>
      <c r="D10734" t="s">
        <v>10</v>
      </c>
      <c r="E10734" t="str">
        <f>"$ 279"</f>
        <v>$ 279</v>
      </c>
      <c r="F10734">
        <v>8</v>
      </c>
    </row>
    <row r="10735" spans="1:6">
      <c r="A10735" t="s">
        <v>10529</v>
      </c>
      <c r="B10735" t="str">
        <f t="shared" si="394"/>
        <v>0.00004%</v>
      </c>
      <c r="C10735" t="s">
        <v>10</v>
      </c>
      <c r="D10735" t="s">
        <v>10</v>
      </c>
      <c r="E10735" t="str">
        <f>"$ 289"</f>
        <v>$ 289</v>
      </c>
      <c r="F10735">
        <v>185</v>
      </c>
    </row>
    <row r="10736" spans="1:6">
      <c r="A10736" t="s">
        <v>10530</v>
      </c>
      <c r="B10736" t="str">
        <f t="shared" si="394"/>
        <v>0.00004%</v>
      </c>
      <c r="C10736" t="s">
        <v>10</v>
      </c>
      <c r="D10736" t="s">
        <v>10</v>
      </c>
      <c r="E10736" t="str">
        <f>"$ 273"</f>
        <v>$ 273</v>
      </c>
      <c r="F10736">
        <v>75</v>
      </c>
    </row>
    <row r="10737" spans="1:6">
      <c r="A10737" t="s">
        <v>10531</v>
      </c>
      <c r="B10737" t="str">
        <f t="shared" si="394"/>
        <v>0.00004%</v>
      </c>
      <c r="C10737" t="s">
        <v>10</v>
      </c>
      <c r="D10737" t="s">
        <v>10</v>
      </c>
      <c r="E10737" t="str">
        <f>"$ 274"</f>
        <v>$ 274</v>
      </c>
      <c r="F10737">
        <v>318</v>
      </c>
    </row>
    <row r="10738" spans="1:6">
      <c r="A10738" t="s">
        <v>10532</v>
      </c>
      <c r="B10738" t="str">
        <f t="shared" si="394"/>
        <v>0.00004%</v>
      </c>
      <c r="C10738" t="s">
        <v>10</v>
      </c>
      <c r="D10738" t="s">
        <v>10</v>
      </c>
      <c r="E10738" t="str">
        <f>"$ 317"</f>
        <v>$ 317</v>
      </c>
      <c r="F10738">
        <v>226</v>
      </c>
    </row>
    <row r="10739" spans="1:6">
      <c r="A10739" t="s">
        <v>10533</v>
      </c>
      <c r="B10739" t="str">
        <f t="shared" si="394"/>
        <v>0.00004%</v>
      </c>
      <c r="C10739" t="s">
        <v>10</v>
      </c>
      <c r="D10739" t="s">
        <v>10</v>
      </c>
      <c r="E10739" t="str">
        <f>"$ 337"</f>
        <v>$ 337</v>
      </c>
      <c r="F10739" s="1">
        <v>1293</v>
      </c>
    </row>
    <row r="10740" spans="1:6">
      <c r="A10740" t="s">
        <v>10534</v>
      </c>
      <c r="B10740" t="str">
        <f t="shared" si="394"/>
        <v>0.00004%</v>
      </c>
      <c r="C10740" t="s">
        <v>10</v>
      </c>
      <c r="D10740" t="s">
        <v>10</v>
      </c>
      <c r="E10740" t="str">
        <f>"$ 330"</f>
        <v>$ 330</v>
      </c>
      <c r="F10740">
        <v>259</v>
      </c>
    </row>
    <row r="10741" spans="1:6">
      <c r="A10741" t="s">
        <v>10535</v>
      </c>
      <c r="B10741" t="str">
        <f t="shared" si="394"/>
        <v>0.00004%</v>
      </c>
      <c r="C10741" t="s">
        <v>10</v>
      </c>
      <c r="D10741" t="s">
        <v>10</v>
      </c>
      <c r="E10741" t="str">
        <f>"$ 331"</f>
        <v>$ 331</v>
      </c>
      <c r="F10741">
        <v>298</v>
      </c>
    </row>
    <row r="10742" spans="1:6">
      <c r="A10742" t="s">
        <v>10536</v>
      </c>
      <c r="B10742" t="str">
        <f t="shared" si="394"/>
        <v>0.00004%</v>
      </c>
      <c r="C10742" t="s">
        <v>10</v>
      </c>
      <c r="D10742" t="s">
        <v>10</v>
      </c>
      <c r="E10742" t="str">
        <f>"$ 310"</f>
        <v>$ 310</v>
      </c>
      <c r="F10742">
        <v>213</v>
      </c>
    </row>
    <row r="10743" spans="1:6">
      <c r="A10743" t="s">
        <v>10537</v>
      </c>
      <c r="B10743" t="str">
        <f t="shared" si="394"/>
        <v>0.00004%</v>
      </c>
      <c r="C10743" t="s">
        <v>10</v>
      </c>
      <c r="D10743" t="s">
        <v>10</v>
      </c>
      <c r="E10743" t="str">
        <f>"$ 315"</f>
        <v>$ 315</v>
      </c>
      <c r="F10743">
        <v>74</v>
      </c>
    </row>
    <row r="10744" spans="1:6">
      <c r="A10744" t="s">
        <v>10538</v>
      </c>
      <c r="B10744" t="str">
        <f t="shared" si="394"/>
        <v>0.00004%</v>
      </c>
      <c r="C10744" t="s">
        <v>10</v>
      </c>
      <c r="D10744" t="s">
        <v>10</v>
      </c>
      <c r="E10744" t="str">
        <f>"$ 319"</f>
        <v>$ 319</v>
      </c>
      <c r="F10744">
        <v>399</v>
      </c>
    </row>
    <row r="10745" spans="1:6">
      <c r="A10745" t="s">
        <v>10539</v>
      </c>
      <c r="B10745" t="str">
        <f t="shared" si="394"/>
        <v>0.00004%</v>
      </c>
      <c r="C10745" t="s">
        <v>10</v>
      </c>
      <c r="D10745" t="s">
        <v>10</v>
      </c>
      <c r="E10745" t="str">
        <f>"$ 289"</f>
        <v>$ 289</v>
      </c>
      <c r="F10745">
        <v>164</v>
      </c>
    </row>
    <row r="10746" spans="1:6">
      <c r="A10746" t="s">
        <v>10540</v>
      </c>
      <c r="B10746" t="str">
        <f t="shared" si="394"/>
        <v>0.00004%</v>
      </c>
      <c r="C10746" t="s">
        <v>10</v>
      </c>
      <c r="D10746" t="s">
        <v>10</v>
      </c>
      <c r="E10746" t="str">
        <f>"$ 280"</f>
        <v>$ 280</v>
      </c>
      <c r="F10746">
        <v>225</v>
      </c>
    </row>
    <row r="10747" spans="1:6">
      <c r="A10747" t="s">
        <v>10541</v>
      </c>
      <c r="B10747" t="str">
        <f t="shared" si="394"/>
        <v>0.00004%</v>
      </c>
      <c r="C10747" t="s">
        <v>10</v>
      </c>
      <c r="D10747" t="s">
        <v>10</v>
      </c>
      <c r="E10747" t="str">
        <f>"$ 283"</f>
        <v>$ 283</v>
      </c>
      <c r="F10747">
        <v>281</v>
      </c>
    </row>
    <row r="10748" spans="1:6">
      <c r="A10748" t="s">
        <v>10542</v>
      </c>
      <c r="B10748" t="str">
        <f t="shared" si="394"/>
        <v>0.00004%</v>
      </c>
      <c r="C10748" t="s">
        <v>10</v>
      </c>
      <c r="D10748" t="s">
        <v>10</v>
      </c>
      <c r="E10748" t="str">
        <f>"$ 275"</f>
        <v>$ 275</v>
      </c>
      <c r="F10748">
        <v>147</v>
      </c>
    </row>
    <row r="10749" spans="1:6">
      <c r="A10749" t="s">
        <v>10543</v>
      </c>
      <c r="B10749" t="str">
        <f t="shared" si="394"/>
        <v>0.00004%</v>
      </c>
      <c r="C10749" t="s">
        <v>10</v>
      </c>
      <c r="D10749" t="s">
        <v>10</v>
      </c>
      <c r="E10749" t="str">
        <f>"$ 273"</f>
        <v>$ 273</v>
      </c>
      <c r="F10749">
        <v>476</v>
      </c>
    </row>
    <row r="10750" spans="1:6">
      <c r="A10750" t="s">
        <v>10544</v>
      </c>
      <c r="B10750" t="str">
        <f t="shared" si="394"/>
        <v>0.00004%</v>
      </c>
      <c r="C10750" t="s">
        <v>10</v>
      </c>
      <c r="D10750" t="s">
        <v>10</v>
      </c>
      <c r="E10750" t="str">
        <f>"$ 314"</f>
        <v>$ 314</v>
      </c>
      <c r="F10750">
        <v>36</v>
      </c>
    </row>
    <row r="10751" spans="1:6">
      <c r="A10751" t="s">
        <v>10545</v>
      </c>
      <c r="B10751" t="str">
        <f t="shared" si="394"/>
        <v>0.00004%</v>
      </c>
      <c r="C10751" t="s">
        <v>10</v>
      </c>
      <c r="D10751" t="s">
        <v>10</v>
      </c>
      <c r="E10751" t="str">
        <f>"$ 271"</f>
        <v>$ 271</v>
      </c>
      <c r="F10751">
        <v>171</v>
      </c>
    </row>
    <row r="10752" spans="1:6">
      <c r="A10752" t="s">
        <v>9801</v>
      </c>
      <c r="B10752" t="str">
        <f t="shared" si="394"/>
        <v>0.00004%</v>
      </c>
      <c r="C10752" t="s">
        <v>10</v>
      </c>
      <c r="D10752" t="s">
        <v>10</v>
      </c>
      <c r="E10752" t="str">
        <f>"$ 283"</f>
        <v>$ 283</v>
      </c>
      <c r="F10752">
        <v>124</v>
      </c>
    </row>
    <row r="10753" spans="1:6">
      <c r="A10753" t="s">
        <v>10546</v>
      </c>
      <c r="B10753" t="str">
        <f t="shared" si="394"/>
        <v>0.00004%</v>
      </c>
      <c r="C10753" t="s">
        <v>10</v>
      </c>
      <c r="D10753" t="s">
        <v>10</v>
      </c>
      <c r="E10753" t="str">
        <f>"$ 280"</f>
        <v>$ 280</v>
      </c>
      <c r="F10753">
        <v>316</v>
      </c>
    </row>
    <row r="10754" spans="1:6">
      <c r="A10754" t="s">
        <v>10547</v>
      </c>
      <c r="B10754" t="str">
        <f t="shared" si="394"/>
        <v>0.00004%</v>
      </c>
      <c r="C10754" t="s">
        <v>10</v>
      </c>
      <c r="D10754" t="s">
        <v>10</v>
      </c>
      <c r="E10754" t="str">
        <f>"$ 314"</f>
        <v>$ 314</v>
      </c>
      <c r="F10754">
        <v>217</v>
      </c>
    </row>
    <row r="10755" spans="1:6">
      <c r="A10755" t="s">
        <v>10548</v>
      </c>
      <c r="B10755" t="str">
        <f t="shared" si="394"/>
        <v>0.00004%</v>
      </c>
      <c r="C10755" t="s">
        <v>10</v>
      </c>
      <c r="D10755" t="s">
        <v>10</v>
      </c>
      <c r="E10755" t="str">
        <f>"$ 335"</f>
        <v>$ 335</v>
      </c>
      <c r="F10755" s="1">
        <v>2201</v>
      </c>
    </row>
    <row r="10756" spans="1:6">
      <c r="A10756" t="s">
        <v>10294</v>
      </c>
      <c r="B10756" t="str">
        <f t="shared" si="394"/>
        <v>0.00004%</v>
      </c>
      <c r="C10756" t="s">
        <v>10</v>
      </c>
      <c r="D10756" t="s">
        <v>10</v>
      </c>
      <c r="E10756" t="str">
        <f>"$ 337"</f>
        <v>$ 337</v>
      </c>
      <c r="F10756">
        <v>189</v>
      </c>
    </row>
    <row r="10757" spans="1:6">
      <c r="A10757" t="s">
        <v>10549</v>
      </c>
      <c r="B10757" t="str">
        <f t="shared" si="394"/>
        <v>0.00004%</v>
      </c>
      <c r="C10757" t="s">
        <v>10</v>
      </c>
      <c r="D10757" t="s">
        <v>10</v>
      </c>
      <c r="E10757" t="str">
        <f>"$ 309"</f>
        <v>$ 309</v>
      </c>
      <c r="F10757">
        <v>618</v>
      </c>
    </row>
    <row r="10758" spans="1:6">
      <c r="A10758" t="s">
        <v>10296</v>
      </c>
      <c r="B10758" t="str">
        <f t="shared" si="394"/>
        <v>0.00004%</v>
      </c>
      <c r="C10758" t="s">
        <v>10</v>
      </c>
      <c r="D10758" t="s">
        <v>10</v>
      </c>
      <c r="E10758" t="str">
        <f>"$ 320"</f>
        <v>$ 320</v>
      </c>
      <c r="F10758">
        <v>134</v>
      </c>
    </row>
    <row r="10759" spans="1:6">
      <c r="A10759" t="s">
        <v>10550</v>
      </c>
      <c r="B10759" t="str">
        <f t="shared" si="394"/>
        <v>0.00004%</v>
      </c>
      <c r="C10759" t="s">
        <v>10</v>
      </c>
      <c r="D10759" t="s">
        <v>10</v>
      </c>
      <c r="E10759" t="str">
        <f>"$ 315"</f>
        <v>$ 315</v>
      </c>
      <c r="F10759">
        <v>162</v>
      </c>
    </row>
    <row r="10760" spans="1:6">
      <c r="A10760" t="s">
        <v>10551</v>
      </c>
      <c r="B10760" t="str">
        <f t="shared" si="394"/>
        <v>0.00004%</v>
      </c>
      <c r="C10760" t="s">
        <v>10</v>
      </c>
      <c r="D10760" t="s">
        <v>10</v>
      </c>
      <c r="E10760" t="str">
        <f>"$ 316"</f>
        <v>$ 316</v>
      </c>
      <c r="F10760">
        <v>236</v>
      </c>
    </row>
    <row r="10761" spans="1:6">
      <c r="A10761" t="s">
        <v>10552</v>
      </c>
      <c r="B10761" t="str">
        <f t="shared" si="394"/>
        <v>0.00004%</v>
      </c>
      <c r="C10761" t="s">
        <v>10</v>
      </c>
      <c r="D10761" t="s">
        <v>10</v>
      </c>
      <c r="E10761" t="str">
        <f>"$ 344"</f>
        <v>$ 344</v>
      </c>
      <c r="F10761">
        <v>186</v>
      </c>
    </row>
    <row r="10762" spans="1:6">
      <c r="A10762" t="s">
        <v>10553</v>
      </c>
      <c r="B10762" t="str">
        <f t="shared" si="394"/>
        <v>0.00004%</v>
      </c>
      <c r="C10762" t="s">
        <v>10</v>
      </c>
      <c r="D10762" t="s">
        <v>10</v>
      </c>
      <c r="E10762" t="str">
        <f>"$ 289"</f>
        <v>$ 289</v>
      </c>
      <c r="F10762">
        <v>231</v>
      </c>
    </row>
    <row r="10763" spans="1:6">
      <c r="A10763" t="s">
        <v>10554</v>
      </c>
      <c r="B10763" t="str">
        <f t="shared" si="394"/>
        <v>0.00004%</v>
      </c>
      <c r="C10763" t="s">
        <v>10</v>
      </c>
      <c r="D10763" t="s">
        <v>10</v>
      </c>
      <c r="E10763" t="str">
        <f>"$ 292"</f>
        <v>$ 292</v>
      </c>
      <c r="F10763">
        <v>276</v>
      </c>
    </row>
    <row r="10764" spans="1:6">
      <c r="A10764" t="s">
        <v>10555</v>
      </c>
      <c r="B10764" t="str">
        <f t="shared" si="394"/>
        <v>0.00004%</v>
      </c>
      <c r="C10764" t="s">
        <v>10</v>
      </c>
      <c r="D10764" t="s">
        <v>10</v>
      </c>
      <c r="E10764" t="str">
        <f>"$ 302"</f>
        <v>$ 302</v>
      </c>
      <c r="F10764">
        <v>642</v>
      </c>
    </row>
    <row r="10765" spans="1:6">
      <c r="A10765" t="s">
        <v>10556</v>
      </c>
      <c r="B10765" t="str">
        <f t="shared" si="394"/>
        <v>0.00004%</v>
      </c>
      <c r="C10765" t="s">
        <v>10</v>
      </c>
      <c r="D10765" t="s">
        <v>10</v>
      </c>
      <c r="E10765" t="str">
        <f>"$ 297"</f>
        <v>$ 297</v>
      </c>
      <c r="F10765">
        <v>257</v>
      </c>
    </row>
    <row r="10766" spans="1:6">
      <c r="A10766" t="s">
        <v>10557</v>
      </c>
      <c r="B10766" t="str">
        <f t="shared" si="394"/>
        <v>0.00004%</v>
      </c>
      <c r="C10766" t="s">
        <v>10</v>
      </c>
      <c r="D10766" t="s">
        <v>10</v>
      </c>
      <c r="E10766" t="str">
        <f>"$ 342"</f>
        <v>$ 342</v>
      </c>
      <c r="F10766">
        <v>164</v>
      </c>
    </row>
    <row r="10767" spans="1:6">
      <c r="A10767" t="s">
        <v>10557</v>
      </c>
      <c r="B10767" t="str">
        <f t="shared" si="394"/>
        <v>0.00004%</v>
      </c>
      <c r="C10767" t="s">
        <v>10</v>
      </c>
      <c r="D10767" t="s">
        <v>10</v>
      </c>
      <c r="E10767" t="str">
        <f>"$ 281"</f>
        <v>$ 281</v>
      </c>
      <c r="F10767">
        <v>135</v>
      </c>
    </row>
    <row r="10768" spans="1:6">
      <c r="A10768" t="s">
        <v>10558</v>
      </c>
      <c r="B10768" t="str">
        <f t="shared" si="394"/>
        <v>0.00004%</v>
      </c>
      <c r="C10768" t="s">
        <v>10</v>
      </c>
      <c r="D10768" t="s">
        <v>10</v>
      </c>
      <c r="E10768" t="str">
        <f>"$ 296"</f>
        <v>$ 296</v>
      </c>
      <c r="F10768">
        <v>417</v>
      </c>
    </row>
    <row r="10769" spans="1:6">
      <c r="A10769" t="s">
        <v>10559</v>
      </c>
      <c r="B10769" t="str">
        <f t="shared" si="394"/>
        <v>0.00004%</v>
      </c>
      <c r="C10769" t="s">
        <v>10</v>
      </c>
      <c r="D10769" t="s">
        <v>10</v>
      </c>
      <c r="E10769" t="str">
        <f>"$ 302"</f>
        <v>$ 302</v>
      </c>
      <c r="F10769" s="1">
        <v>1576</v>
      </c>
    </row>
    <row r="10770" spans="1:6">
      <c r="A10770" t="s">
        <v>10560</v>
      </c>
      <c r="B10770" t="str">
        <f t="shared" si="394"/>
        <v>0.00004%</v>
      </c>
      <c r="C10770" t="s">
        <v>10</v>
      </c>
      <c r="D10770" t="s">
        <v>10</v>
      </c>
      <c r="E10770" t="str">
        <f>"$ 307"</f>
        <v>$ 307</v>
      </c>
      <c r="F10770">
        <v>292</v>
      </c>
    </row>
    <row r="10771" spans="1:6">
      <c r="A10771" t="s">
        <v>10561</v>
      </c>
      <c r="B10771" t="str">
        <f t="shared" si="394"/>
        <v>0.00004%</v>
      </c>
      <c r="C10771" t="s">
        <v>10</v>
      </c>
      <c r="D10771" t="s">
        <v>10</v>
      </c>
      <c r="E10771" t="str">
        <f>"$ 273"</f>
        <v>$ 273</v>
      </c>
      <c r="F10771">
        <v>445</v>
      </c>
    </row>
    <row r="10772" spans="1:6">
      <c r="A10772" t="s">
        <v>8220</v>
      </c>
      <c r="B10772" t="str">
        <f t="shared" si="394"/>
        <v>0.00004%</v>
      </c>
      <c r="C10772" t="s">
        <v>10</v>
      </c>
      <c r="D10772" t="s">
        <v>10</v>
      </c>
      <c r="E10772" t="str">
        <f>"$ 341"</f>
        <v>$ 341</v>
      </c>
      <c r="F10772">
        <v>319</v>
      </c>
    </row>
    <row r="10773" spans="1:6">
      <c r="A10773" t="s">
        <v>9818</v>
      </c>
      <c r="B10773" t="str">
        <f t="shared" si="394"/>
        <v>0.00004%</v>
      </c>
      <c r="C10773" t="s">
        <v>10</v>
      </c>
      <c r="D10773" t="s">
        <v>10</v>
      </c>
      <c r="E10773" t="str">
        <f>"$ 313"</f>
        <v>$ 313</v>
      </c>
      <c r="F10773">
        <v>156</v>
      </c>
    </row>
    <row r="10774" spans="1:6">
      <c r="A10774" t="s">
        <v>10562</v>
      </c>
      <c r="B10774" t="str">
        <f t="shared" si="394"/>
        <v>0.00004%</v>
      </c>
      <c r="C10774" t="s">
        <v>10</v>
      </c>
      <c r="D10774" t="s">
        <v>10</v>
      </c>
      <c r="E10774" t="str">
        <f>"$ 325"</f>
        <v>$ 325</v>
      </c>
      <c r="F10774">
        <v>385</v>
      </c>
    </row>
    <row r="10775" spans="1:6">
      <c r="A10775" t="s">
        <v>10563</v>
      </c>
      <c r="B10775" t="str">
        <f t="shared" si="394"/>
        <v>0.00004%</v>
      </c>
      <c r="C10775" t="s">
        <v>10</v>
      </c>
      <c r="D10775" t="s">
        <v>10</v>
      </c>
      <c r="E10775" t="str">
        <f>"$ 338"</f>
        <v>$ 338</v>
      </c>
      <c r="F10775">
        <v>89</v>
      </c>
    </row>
    <row r="10776" spans="1:6">
      <c r="A10776" t="s">
        <v>10564</v>
      </c>
      <c r="B10776" t="str">
        <f t="shared" si="394"/>
        <v>0.00004%</v>
      </c>
      <c r="C10776" t="s">
        <v>10</v>
      </c>
      <c r="D10776" t="s">
        <v>10</v>
      </c>
      <c r="E10776" t="str">
        <f>"$ 302"</f>
        <v>$ 302</v>
      </c>
      <c r="F10776">
        <v>20</v>
      </c>
    </row>
    <row r="10777" spans="1:6">
      <c r="A10777" t="s">
        <v>10565</v>
      </c>
      <c r="B10777" t="str">
        <f t="shared" si="394"/>
        <v>0.00004%</v>
      </c>
      <c r="C10777" t="s">
        <v>10</v>
      </c>
      <c r="D10777" t="s">
        <v>10</v>
      </c>
      <c r="E10777" t="str">
        <f>"$ 309"</f>
        <v>$ 309</v>
      </c>
      <c r="F10777">
        <v>145</v>
      </c>
    </row>
    <row r="10778" spans="1:6">
      <c r="A10778" t="s">
        <v>10566</v>
      </c>
      <c r="B10778" t="str">
        <f t="shared" si="394"/>
        <v>0.00004%</v>
      </c>
      <c r="C10778" t="s">
        <v>10</v>
      </c>
      <c r="D10778" t="s">
        <v>10</v>
      </c>
      <c r="E10778" t="str">
        <f>"$ 307"</f>
        <v>$ 307</v>
      </c>
      <c r="F10778">
        <v>174</v>
      </c>
    </row>
    <row r="10779" spans="1:6">
      <c r="A10779" t="s">
        <v>10567</v>
      </c>
      <c r="B10779" t="str">
        <f t="shared" si="394"/>
        <v>0.00004%</v>
      </c>
      <c r="C10779" t="s">
        <v>10</v>
      </c>
      <c r="D10779" t="s">
        <v>10</v>
      </c>
      <c r="E10779" t="str">
        <f>"$ 291"</f>
        <v>$ 291</v>
      </c>
      <c r="F10779">
        <v>141</v>
      </c>
    </row>
    <row r="10780" spans="1:6">
      <c r="A10780" t="s">
        <v>10568</v>
      </c>
      <c r="B10780" t="str">
        <f t="shared" si="394"/>
        <v>0.00004%</v>
      </c>
      <c r="C10780" t="s">
        <v>10</v>
      </c>
      <c r="D10780" t="s">
        <v>10</v>
      </c>
      <c r="E10780" t="str">
        <f>"$ 289"</f>
        <v>$ 289</v>
      </c>
      <c r="F10780">
        <v>185</v>
      </c>
    </row>
    <row r="10781" spans="1:6">
      <c r="A10781" t="s">
        <v>10569</v>
      </c>
      <c r="B10781" t="str">
        <f t="shared" si="394"/>
        <v>0.00004%</v>
      </c>
      <c r="C10781" t="s">
        <v>10</v>
      </c>
      <c r="D10781" t="s">
        <v>10</v>
      </c>
      <c r="E10781" t="str">
        <f>"$ 270"</f>
        <v>$ 270</v>
      </c>
      <c r="F10781" s="1">
        <v>5648</v>
      </c>
    </row>
    <row r="10782" spans="1:6">
      <c r="A10782" t="s">
        <v>10570</v>
      </c>
      <c r="B10782" t="str">
        <f t="shared" si="394"/>
        <v>0.00004%</v>
      </c>
      <c r="C10782" t="s">
        <v>10</v>
      </c>
      <c r="D10782" t="s">
        <v>10</v>
      </c>
      <c r="E10782" t="str">
        <f>"$ 336"</f>
        <v>$ 336</v>
      </c>
      <c r="F10782">
        <v>28</v>
      </c>
    </row>
    <row r="10783" spans="1:6">
      <c r="A10783" t="s">
        <v>10571</v>
      </c>
      <c r="B10783" t="str">
        <f t="shared" ref="B10783:B10846" si="395">"0.00004%"</f>
        <v>0.00004%</v>
      </c>
      <c r="C10783" t="s">
        <v>10</v>
      </c>
      <c r="D10783" t="s">
        <v>10</v>
      </c>
      <c r="E10783" t="str">
        <f>"$ 346"</f>
        <v>$ 346</v>
      </c>
      <c r="F10783">
        <v>337</v>
      </c>
    </row>
    <row r="10784" spans="1:6">
      <c r="A10784" t="s">
        <v>10572</v>
      </c>
      <c r="B10784" t="str">
        <f t="shared" si="395"/>
        <v>0.00004%</v>
      </c>
      <c r="C10784" t="s">
        <v>10</v>
      </c>
      <c r="D10784" t="s">
        <v>10</v>
      </c>
      <c r="E10784" t="str">
        <f>"$ 314"</f>
        <v>$ 314</v>
      </c>
      <c r="F10784">
        <v>315</v>
      </c>
    </row>
    <row r="10785" spans="1:6">
      <c r="A10785" t="s">
        <v>10046</v>
      </c>
      <c r="B10785" t="str">
        <f t="shared" si="395"/>
        <v>0.00004%</v>
      </c>
      <c r="C10785" t="s">
        <v>10</v>
      </c>
      <c r="D10785" t="s">
        <v>10</v>
      </c>
      <c r="E10785" t="str">
        <f>"$ 291"</f>
        <v>$ 291</v>
      </c>
      <c r="F10785">
        <v>96</v>
      </c>
    </row>
    <row r="10786" spans="1:6">
      <c r="A10786" t="s">
        <v>10573</v>
      </c>
      <c r="B10786" t="str">
        <f t="shared" si="395"/>
        <v>0.00004%</v>
      </c>
      <c r="C10786" t="s">
        <v>10</v>
      </c>
      <c r="D10786" t="s">
        <v>10</v>
      </c>
      <c r="E10786" t="str">
        <f>"$ 303"</f>
        <v>$ 303</v>
      </c>
      <c r="F10786">
        <v>167</v>
      </c>
    </row>
    <row r="10787" spans="1:6">
      <c r="A10787" t="s">
        <v>10574</v>
      </c>
      <c r="B10787" t="str">
        <f t="shared" si="395"/>
        <v>0.00004%</v>
      </c>
      <c r="C10787" t="s">
        <v>10</v>
      </c>
      <c r="D10787" t="s">
        <v>10</v>
      </c>
      <c r="E10787" t="str">
        <f>"$ 334"</f>
        <v>$ 334</v>
      </c>
      <c r="F10787">
        <v>179</v>
      </c>
    </row>
    <row r="10788" spans="1:6">
      <c r="A10788" t="s">
        <v>10575</v>
      </c>
      <c r="B10788" t="str">
        <f t="shared" si="395"/>
        <v>0.00004%</v>
      </c>
      <c r="C10788" t="s">
        <v>10</v>
      </c>
      <c r="D10788" t="s">
        <v>10</v>
      </c>
      <c r="E10788" t="str">
        <f>"$ 327"</f>
        <v>$ 327</v>
      </c>
      <c r="F10788">
        <v>129</v>
      </c>
    </row>
    <row r="10789" spans="1:6">
      <c r="A10789" t="s">
        <v>10576</v>
      </c>
      <c r="B10789" t="str">
        <f t="shared" si="395"/>
        <v>0.00004%</v>
      </c>
      <c r="C10789" t="s">
        <v>10</v>
      </c>
      <c r="D10789" t="s">
        <v>10</v>
      </c>
      <c r="E10789" t="str">
        <f>"$ 334"</f>
        <v>$ 334</v>
      </c>
      <c r="F10789">
        <v>134</v>
      </c>
    </row>
    <row r="10790" spans="1:6">
      <c r="A10790" t="s">
        <v>10577</v>
      </c>
      <c r="B10790" t="str">
        <f t="shared" si="395"/>
        <v>0.00004%</v>
      </c>
      <c r="C10790" t="s">
        <v>10</v>
      </c>
      <c r="D10790" t="s">
        <v>10</v>
      </c>
      <c r="E10790" t="str">
        <f>"$ 305"</f>
        <v>$ 305</v>
      </c>
      <c r="F10790">
        <v>152</v>
      </c>
    </row>
    <row r="10791" spans="1:6">
      <c r="A10791" t="s">
        <v>10578</v>
      </c>
      <c r="B10791" t="str">
        <f t="shared" si="395"/>
        <v>0.00004%</v>
      </c>
      <c r="C10791" t="s">
        <v>10</v>
      </c>
      <c r="D10791" t="s">
        <v>10</v>
      </c>
      <c r="E10791" t="str">
        <f>"$ 292"</f>
        <v>$ 292</v>
      </c>
      <c r="F10791">
        <v>79</v>
      </c>
    </row>
    <row r="10792" spans="1:6">
      <c r="A10792" t="s">
        <v>10579</v>
      </c>
      <c r="B10792" t="str">
        <f t="shared" si="395"/>
        <v>0.00004%</v>
      </c>
      <c r="C10792" t="s">
        <v>10</v>
      </c>
      <c r="D10792" t="s">
        <v>10</v>
      </c>
      <c r="E10792" t="str">
        <f>"$ 294"</f>
        <v>$ 294</v>
      </c>
      <c r="F10792">
        <v>356</v>
      </c>
    </row>
    <row r="10793" spans="1:6">
      <c r="A10793" t="s">
        <v>10580</v>
      </c>
      <c r="B10793" t="str">
        <f t="shared" si="395"/>
        <v>0.00004%</v>
      </c>
      <c r="C10793" t="s">
        <v>10</v>
      </c>
      <c r="D10793" t="s">
        <v>10</v>
      </c>
      <c r="E10793" t="str">
        <f>"$ 291"</f>
        <v>$ 291</v>
      </c>
      <c r="F10793">
        <v>164</v>
      </c>
    </row>
    <row r="10794" spans="1:6">
      <c r="A10794" t="s">
        <v>10581</v>
      </c>
      <c r="B10794" t="str">
        <f t="shared" si="395"/>
        <v>0.00004%</v>
      </c>
      <c r="C10794" t="s">
        <v>10</v>
      </c>
      <c r="D10794" t="s">
        <v>10</v>
      </c>
      <c r="E10794" t="str">
        <f>"$ 285"</f>
        <v>$ 285</v>
      </c>
      <c r="F10794">
        <v>80</v>
      </c>
    </row>
    <row r="10795" spans="1:6">
      <c r="A10795" t="s">
        <v>10582</v>
      </c>
      <c r="B10795" t="str">
        <f t="shared" si="395"/>
        <v>0.00004%</v>
      </c>
      <c r="C10795" t="s">
        <v>10</v>
      </c>
      <c r="D10795" t="s">
        <v>10</v>
      </c>
      <c r="E10795" t="str">
        <f>"$ 345"</f>
        <v>$ 345</v>
      </c>
      <c r="F10795">
        <v>222</v>
      </c>
    </row>
    <row r="10796" spans="1:6">
      <c r="A10796" t="s">
        <v>10582</v>
      </c>
      <c r="B10796" t="str">
        <f t="shared" si="395"/>
        <v>0.00004%</v>
      </c>
      <c r="C10796" t="s">
        <v>10</v>
      </c>
      <c r="D10796" t="s">
        <v>10</v>
      </c>
      <c r="E10796" t="str">
        <f>"$ 333"</f>
        <v>$ 333</v>
      </c>
      <c r="F10796">
        <v>214</v>
      </c>
    </row>
    <row r="10797" spans="1:6">
      <c r="A10797" t="s">
        <v>10583</v>
      </c>
      <c r="B10797" t="str">
        <f t="shared" si="395"/>
        <v>0.00004%</v>
      </c>
      <c r="C10797" t="s">
        <v>10</v>
      </c>
      <c r="D10797" t="s">
        <v>10</v>
      </c>
      <c r="E10797" t="str">
        <f>"$ 304"</f>
        <v>$ 304</v>
      </c>
      <c r="F10797">
        <v>249</v>
      </c>
    </row>
    <row r="10798" spans="1:6">
      <c r="A10798" t="s">
        <v>9830</v>
      </c>
      <c r="B10798" t="str">
        <f t="shared" si="395"/>
        <v>0.00004%</v>
      </c>
      <c r="C10798" t="s">
        <v>10</v>
      </c>
      <c r="D10798" t="s">
        <v>10</v>
      </c>
      <c r="E10798" t="str">
        <f>"$ 324"</f>
        <v>$ 324</v>
      </c>
      <c r="F10798">
        <v>120</v>
      </c>
    </row>
    <row r="10799" spans="1:6">
      <c r="A10799" t="s">
        <v>10584</v>
      </c>
      <c r="B10799" t="str">
        <f t="shared" si="395"/>
        <v>0.00004%</v>
      </c>
      <c r="C10799" t="s">
        <v>10</v>
      </c>
      <c r="D10799" t="s">
        <v>10</v>
      </c>
      <c r="E10799" t="str">
        <f>"$ 310"</f>
        <v>$ 310</v>
      </c>
      <c r="F10799">
        <v>53</v>
      </c>
    </row>
    <row r="10800" spans="1:6">
      <c r="A10800" t="s">
        <v>10585</v>
      </c>
      <c r="B10800" t="str">
        <f t="shared" si="395"/>
        <v>0.00004%</v>
      </c>
      <c r="C10800" t="s">
        <v>10</v>
      </c>
      <c r="D10800" t="s">
        <v>10</v>
      </c>
      <c r="E10800" t="str">
        <f>"$ 308"</f>
        <v>$ 308</v>
      </c>
      <c r="F10800">
        <v>414</v>
      </c>
    </row>
    <row r="10801" spans="1:6">
      <c r="A10801" t="s">
        <v>10586</v>
      </c>
      <c r="B10801" t="str">
        <f t="shared" si="395"/>
        <v>0.00004%</v>
      </c>
      <c r="C10801" t="s">
        <v>10</v>
      </c>
      <c r="D10801" t="s">
        <v>10</v>
      </c>
      <c r="E10801" t="str">
        <f>"$ 338"</f>
        <v>$ 338</v>
      </c>
      <c r="F10801">
        <v>11</v>
      </c>
    </row>
    <row r="10802" spans="1:6">
      <c r="A10802" t="s">
        <v>10587</v>
      </c>
      <c r="B10802" t="str">
        <f t="shared" si="395"/>
        <v>0.00004%</v>
      </c>
      <c r="C10802" t="s">
        <v>10</v>
      </c>
      <c r="D10802" t="s">
        <v>10</v>
      </c>
      <c r="E10802" t="str">
        <f>"$ 308"</f>
        <v>$ 308</v>
      </c>
      <c r="F10802">
        <v>428</v>
      </c>
    </row>
    <row r="10803" spans="1:6">
      <c r="A10803" t="s">
        <v>10588</v>
      </c>
      <c r="B10803" t="str">
        <f t="shared" si="395"/>
        <v>0.00004%</v>
      </c>
      <c r="C10803" t="s">
        <v>10</v>
      </c>
      <c r="D10803" t="s">
        <v>10</v>
      </c>
      <c r="E10803" t="str">
        <f>"$ 302"</f>
        <v>$ 302</v>
      </c>
      <c r="F10803">
        <v>53</v>
      </c>
    </row>
    <row r="10804" spans="1:6">
      <c r="A10804" t="s">
        <v>10589</v>
      </c>
      <c r="B10804" t="str">
        <f t="shared" si="395"/>
        <v>0.00004%</v>
      </c>
      <c r="C10804" t="s">
        <v>10</v>
      </c>
      <c r="D10804" t="s">
        <v>10</v>
      </c>
      <c r="E10804" t="str">
        <f>"$ 296"</f>
        <v>$ 296</v>
      </c>
      <c r="F10804">
        <v>51</v>
      </c>
    </row>
    <row r="10805" spans="1:6">
      <c r="A10805" t="s">
        <v>8619</v>
      </c>
      <c r="B10805" t="str">
        <f t="shared" si="395"/>
        <v>0.00004%</v>
      </c>
      <c r="C10805" t="s">
        <v>10</v>
      </c>
      <c r="D10805" t="s">
        <v>10</v>
      </c>
      <c r="E10805" t="str">
        <f>"$ 297"</f>
        <v>$ 297</v>
      </c>
      <c r="F10805">
        <v>142</v>
      </c>
    </row>
    <row r="10806" spans="1:6">
      <c r="A10806" t="s">
        <v>10333</v>
      </c>
      <c r="B10806" t="str">
        <f t="shared" si="395"/>
        <v>0.00004%</v>
      </c>
      <c r="C10806" t="s">
        <v>10</v>
      </c>
      <c r="D10806" t="s">
        <v>10</v>
      </c>
      <c r="E10806" t="str">
        <f>"$ 297"</f>
        <v>$ 297</v>
      </c>
      <c r="F10806">
        <v>105</v>
      </c>
    </row>
    <row r="10807" spans="1:6">
      <c r="A10807" t="s">
        <v>10590</v>
      </c>
      <c r="B10807" t="str">
        <f t="shared" si="395"/>
        <v>0.00004%</v>
      </c>
      <c r="C10807" t="s">
        <v>10</v>
      </c>
      <c r="D10807" t="s">
        <v>10</v>
      </c>
      <c r="E10807" t="str">
        <f>"$ 280"</f>
        <v>$ 280</v>
      </c>
      <c r="F10807">
        <v>250</v>
      </c>
    </row>
    <row r="10808" spans="1:6">
      <c r="A10808" t="s">
        <v>10591</v>
      </c>
      <c r="B10808" t="str">
        <f t="shared" si="395"/>
        <v>0.00004%</v>
      </c>
      <c r="C10808" t="s">
        <v>10</v>
      </c>
      <c r="D10808" t="s">
        <v>10</v>
      </c>
      <c r="E10808" t="str">
        <f>"$ 289"</f>
        <v>$ 289</v>
      </c>
      <c r="F10808">
        <v>154</v>
      </c>
    </row>
    <row r="10809" spans="1:6">
      <c r="A10809" t="s">
        <v>10592</v>
      </c>
      <c r="B10809" t="str">
        <f t="shared" si="395"/>
        <v>0.00004%</v>
      </c>
      <c r="C10809" t="s">
        <v>10</v>
      </c>
      <c r="D10809" t="s">
        <v>10</v>
      </c>
      <c r="E10809" t="str">
        <f>"$ 279"</f>
        <v>$ 279</v>
      </c>
      <c r="F10809">
        <v>156</v>
      </c>
    </row>
    <row r="10810" spans="1:6">
      <c r="A10810" t="s">
        <v>10593</v>
      </c>
      <c r="B10810" t="str">
        <f t="shared" si="395"/>
        <v>0.00004%</v>
      </c>
      <c r="C10810" t="s">
        <v>10</v>
      </c>
      <c r="D10810" t="s">
        <v>10</v>
      </c>
      <c r="E10810" t="str">
        <f>"$ 293"</f>
        <v>$ 293</v>
      </c>
      <c r="F10810">
        <v>362</v>
      </c>
    </row>
    <row r="10811" spans="1:6">
      <c r="A10811" t="s">
        <v>10594</v>
      </c>
      <c r="B10811" t="str">
        <f t="shared" si="395"/>
        <v>0.00004%</v>
      </c>
      <c r="C10811" t="s">
        <v>10</v>
      </c>
      <c r="D10811" t="s">
        <v>10</v>
      </c>
      <c r="E10811" t="str">
        <f>"$ 294"</f>
        <v>$ 294</v>
      </c>
      <c r="F10811">
        <v>80</v>
      </c>
    </row>
    <row r="10812" spans="1:6">
      <c r="A10812" t="s">
        <v>10595</v>
      </c>
      <c r="B10812" t="str">
        <f t="shared" si="395"/>
        <v>0.00004%</v>
      </c>
      <c r="C10812" t="s">
        <v>10</v>
      </c>
      <c r="D10812" t="s">
        <v>10</v>
      </c>
      <c r="E10812" t="str">
        <f>"$ 310"</f>
        <v>$ 310</v>
      </c>
      <c r="F10812">
        <v>863</v>
      </c>
    </row>
    <row r="10813" spans="1:6">
      <c r="A10813" t="s">
        <v>10596</v>
      </c>
      <c r="B10813" t="str">
        <f t="shared" si="395"/>
        <v>0.00004%</v>
      </c>
      <c r="C10813" t="s">
        <v>10</v>
      </c>
      <c r="D10813" t="s">
        <v>10</v>
      </c>
      <c r="E10813" t="str">
        <f>"$ 316"</f>
        <v>$ 316</v>
      </c>
      <c r="F10813">
        <v>154</v>
      </c>
    </row>
    <row r="10814" spans="1:6">
      <c r="A10814" t="s">
        <v>8901</v>
      </c>
      <c r="B10814" t="str">
        <f t="shared" si="395"/>
        <v>0.00004%</v>
      </c>
      <c r="C10814" t="s">
        <v>10</v>
      </c>
      <c r="D10814" t="s">
        <v>10</v>
      </c>
      <c r="E10814" t="str">
        <f>"$ 322"</f>
        <v>$ 322</v>
      </c>
      <c r="F10814">
        <v>280</v>
      </c>
    </row>
    <row r="10815" spans="1:6">
      <c r="A10815" t="s">
        <v>10597</v>
      </c>
      <c r="B10815" t="str">
        <f t="shared" si="395"/>
        <v>0.00004%</v>
      </c>
      <c r="C10815" t="s">
        <v>10</v>
      </c>
      <c r="D10815" t="s">
        <v>10</v>
      </c>
      <c r="E10815" t="str">
        <f>"$ 338"</f>
        <v>$ 338</v>
      </c>
      <c r="F10815">
        <v>334</v>
      </c>
    </row>
    <row r="10816" spans="1:6">
      <c r="A10816" t="s">
        <v>7462</v>
      </c>
      <c r="B10816" t="str">
        <f t="shared" si="395"/>
        <v>0.00004%</v>
      </c>
      <c r="C10816" t="s">
        <v>10</v>
      </c>
      <c r="D10816" t="s">
        <v>10</v>
      </c>
      <c r="E10816" t="str">
        <f>"$ 309"</f>
        <v>$ 309</v>
      </c>
      <c r="F10816">
        <v>102</v>
      </c>
    </row>
    <row r="10817" spans="1:6">
      <c r="A10817" t="s">
        <v>10598</v>
      </c>
      <c r="B10817" t="str">
        <f t="shared" si="395"/>
        <v>0.00004%</v>
      </c>
      <c r="C10817" t="s">
        <v>10</v>
      </c>
      <c r="D10817" t="s">
        <v>10</v>
      </c>
      <c r="E10817" t="str">
        <f>"$ 320"</f>
        <v>$ 320</v>
      </c>
      <c r="F10817">
        <v>67</v>
      </c>
    </row>
    <row r="10818" spans="1:6">
      <c r="A10818" t="s">
        <v>9597</v>
      </c>
      <c r="B10818" t="str">
        <f t="shared" si="395"/>
        <v>0.00004%</v>
      </c>
      <c r="C10818" t="s">
        <v>10</v>
      </c>
      <c r="D10818" t="s">
        <v>10</v>
      </c>
      <c r="E10818" t="str">
        <f>"$ 304"</f>
        <v>$ 304</v>
      </c>
      <c r="F10818">
        <v>284</v>
      </c>
    </row>
    <row r="10819" spans="1:6">
      <c r="A10819" t="s">
        <v>10599</v>
      </c>
      <c r="B10819" t="str">
        <f t="shared" si="395"/>
        <v>0.00004%</v>
      </c>
      <c r="C10819" t="s">
        <v>10</v>
      </c>
      <c r="D10819" t="s">
        <v>10</v>
      </c>
      <c r="E10819" t="str">
        <f>"$ 286"</f>
        <v>$ 286</v>
      </c>
      <c r="F10819">
        <v>277</v>
      </c>
    </row>
    <row r="10820" spans="1:6">
      <c r="A10820" t="s">
        <v>8492</v>
      </c>
      <c r="B10820" t="str">
        <f t="shared" si="395"/>
        <v>0.00004%</v>
      </c>
      <c r="C10820" t="s">
        <v>10</v>
      </c>
      <c r="D10820" t="s">
        <v>10</v>
      </c>
      <c r="E10820" t="str">
        <f>"$ 276"</f>
        <v>$ 276</v>
      </c>
      <c r="F10820">
        <v>200</v>
      </c>
    </row>
    <row r="10821" spans="1:6">
      <c r="A10821" t="s">
        <v>10600</v>
      </c>
      <c r="B10821" t="str">
        <f t="shared" si="395"/>
        <v>0.00004%</v>
      </c>
      <c r="C10821" t="s">
        <v>10</v>
      </c>
      <c r="D10821" t="s">
        <v>10</v>
      </c>
      <c r="E10821" t="str">
        <f>"$ 278"</f>
        <v>$ 278</v>
      </c>
      <c r="F10821">
        <v>131</v>
      </c>
    </row>
    <row r="10822" spans="1:6">
      <c r="A10822" t="s">
        <v>10601</v>
      </c>
      <c r="B10822" t="str">
        <f t="shared" si="395"/>
        <v>0.00004%</v>
      </c>
      <c r="C10822" t="s">
        <v>10</v>
      </c>
      <c r="D10822" t="s">
        <v>10</v>
      </c>
      <c r="E10822" t="str">
        <f>"$ 326"</f>
        <v>$ 326</v>
      </c>
      <c r="F10822">
        <v>206</v>
      </c>
    </row>
    <row r="10823" spans="1:6">
      <c r="A10823" t="s">
        <v>10602</v>
      </c>
      <c r="B10823" t="str">
        <f t="shared" si="395"/>
        <v>0.00004%</v>
      </c>
      <c r="C10823" t="s">
        <v>10</v>
      </c>
      <c r="D10823" t="s">
        <v>10</v>
      </c>
      <c r="E10823" t="str">
        <f>"$ 291"</f>
        <v>$ 291</v>
      </c>
      <c r="F10823">
        <v>156</v>
      </c>
    </row>
    <row r="10824" spans="1:6">
      <c r="A10824" t="s">
        <v>10603</v>
      </c>
      <c r="B10824" t="str">
        <f t="shared" si="395"/>
        <v>0.00004%</v>
      </c>
      <c r="C10824" t="s">
        <v>10</v>
      </c>
      <c r="D10824" t="s">
        <v>10</v>
      </c>
      <c r="E10824" t="str">
        <f>"$ 335"</f>
        <v>$ 335</v>
      </c>
      <c r="F10824">
        <v>44</v>
      </c>
    </row>
    <row r="10825" spans="1:6">
      <c r="A10825" t="s">
        <v>10604</v>
      </c>
      <c r="B10825" t="str">
        <f t="shared" si="395"/>
        <v>0.00004%</v>
      </c>
      <c r="C10825" t="s">
        <v>10</v>
      </c>
      <c r="D10825" t="s">
        <v>10</v>
      </c>
      <c r="E10825" t="str">
        <f>"$ 291"</f>
        <v>$ 291</v>
      </c>
      <c r="F10825">
        <v>23</v>
      </c>
    </row>
    <row r="10826" spans="1:6">
      <c r="A10826" t="s">
        <v>10605</v>
      </c>
      <c r="B10826" t="str">
        <f t="shared" si="395"/>
        <v>0.00004%</v>
      </c>
      <c r="C10826" t="s">
        <v>10</v>
      </c>
      <c r="D10826" t="s">
        <v>10</v>
      </c>
      <c r="E10826" t="str">
        <f>"$ 297"</f>
        <v>$ 297</v>
      </c>
      <c r="F10826">
        <v>13</v>
      </c>
    </row>
    <row r="10827" spans="1:6">
      <c r="A10827" t="s">
        <v>10606</v>
      </c>
      <c r="B10827" t="str">
        <f t="shared" si="395"/>
        <v>0.00004%</v>
      </c>
      <c r="C10827" t="s">
        <v>10</v>
      </c>
      <c r="D10827" t="s">
        <v>10</v>
      </c>
      <c r="E10827" t="str">
        <f>"$ 301"</f>
        <v>$ 301</v>
      </c>
      <c r="F10827">
        <v>34</v>
      </c>
    </row>
    <row r="10828" spans="1:6">
      <c r="A10828" t="s">
        <v>10607</v>
      </c>
      <c r="B10828" t="str">
        <f t="shared" si="395"/>
        <v>0.00004%</v>
      </c>
      <c r="C10828" t="s">
        <v>10</v>
      </c>
      <c r="D10828" t="s">
        <v>10</v>
      </c>
      <c r="E10828" t="str">
        <f>"$ 338"</f>
        <v>$ 338</v>
      </c>
      <c r="F10828">
        <v>112</v>
      </c>
    </row>
    <row r="10829" spans="1:6">
      <c r="A10829" t="s">
        <v>10608</v>
      </c>
      <c r="B10829" t="str">
        <f t="shared" si="395"/>
        <v>0.00004%</v>
      </c>
      <c r="C10829" t="s">
        <v>10</v>
      </c>
      <c r="D10829" t="s">
        <v>10</v>
      </c>
      <c r="E10829" t="str">
        <f>"$ 337"</f>
        <v>$ 337</v>
      </c>
      <c r="F10829">
        <v>44</v>
      </c>
    </row>
    <row r="10830" spans="1:6">
      <c r="A10830" t="s">
        <v>10609</v>
      </c>
      <c r="B10830" t="str">
        <f t="shared" si="395"/>
        <v>0.00004%</v>
      </c>
      <c r="C10830" t="s">
        <v>10</v>
      </c>
      <c r="D10830" t="s">
        <v>10</v>
      </c>
      <c r="E10830" t="str">
        <f>"$ 310"</f>
        <v>$ 310</v>
      </c>
      <c r="F10830">
        <v>269</v>
      </c>
    </row>
    <row r="10831" spans="1:6">
      <c r="A10831" t="s">
        <v>9619</v>
      </c>
      <c r="B10831" t="str">
        <f t="shared" si="395"/>
        <v>0.00004%</v>
      </c>
      <c r="C10831" t="s">
        <v>10</v>
      </c>
      <c r="D10831" t="s">
        <v>10</v>
      </c>
      <c r="E10831" t="str">
        <f>"$ 314"</f>
        <v>$ 314</v>
      </c>
      <c r="F10831">
        <v>98</v>
      </c>
    </row>
    <row r="10832" spans="1:6">
      <c r="A10832" t="s">
        <v>10610</v>
      </c>
      <c r="B10832" t="str">
        <f t="shared" si="395"/>
        <v>0.00004%</v>
      </c>
      <c r="C10832" t="s">
        <v>10</v>
      </c>
      <c r="D10832" t="s">
        <v>10</v>
      </c>
      <c r="E10832" t="str">
        <f>"$ 325"</f>
        <v>$ 325</v>
      </c>
      <c r="F10832">
        <v>45</v>
      </c>
    </row>
    <row r="10833" spans="1:6">
      <c r="A10833" t="s">
        <v>10611</v>
      </c>
      <c r="B10833" t="str">
        <f t="shared" si="395"/>
        <v>0.00004%</v>
      </c>
      <c r="C10833" t="s">
        <v>10</v>
      </c>
      <c r="D10833" t="s">
        <v>10</v>
      </c>
      <c r="E10833" t="str">
        <f>"$ 328"</f>
        <v>$ 328</v>
      </c>
      <c r="F10833">
        <v>141</v>
      </c>
    </row>
    <row r="10834" spans="1:6">
      <c r="A10834" t="s">
        <v>10612</v>
      </c>
      <c r="B10834" t="str">
        <f t="shared" si="395"/>
        <v>0.00004%</v>
      </c>
      <c r="C10834" t="s">
        <v>10</v>
      </c>
      <c r="D10834" t="s">
        <v>10</v>
      </c>
      <c r="E10834" t="str">
        <f>"$ 347"</f>
        <v>$ 347</v>
      </c>
      <c r="F10834">
        <v>36</v>
      </c>
    </row>
    <row r="10835" spans="1:6">
      <c r="A10835" t="s">
        <v>10613</v>
      </c>
      <c r="B10835" t="str">
        <f t="shared" si="395"/>
        <v>0.00004%</v>
      </c>
      <c r="C10835" t="s">
        <v>10</v>
      </c>
      <c r="D10835" t="s">
        <v>10</v>
      </c>
      <c r="E10835" t="str">
        <f>"$ 301"</f>
        <v>$ 301</v>
      </c>
      <c r="F10835">
        <v>35</v>
      </c>
    </row>
    <row r="10836" spans="1:6">
      <c r="A10836" t="s">
        <v>10614</v>
      </c>
      <c r="B10836" t="str">
        <f t="shared" si="395"/>
        <v>0.00004%</v>
      </c>
      <c r="C10836" t="s">
        <v>10</v>
      </c>
      <c r="D10836" t="s">
        <v>10</v>
      </c>
      <c r="E10836" t="str">
        <f>"$ 290"</f>
        <v>$ 290</v>
      </c>
      <c r="F10836">
        <v>22</v>
      </c>
    </row>
    <row r="10837" spans="1:6">
      <c r="A10837" t="s">
        <v>10615</v>
      </c>
      <c r="B10837" t="str">
        <f t="shared" si="395"/>
        <v>0.00004%</v>
      </c>
      <c r="C10837" t="s">
        <v>10</v>
      </c>
      <c r="D10837" t="s">
        <v>10</v>
      </c>
      <c r="E10837" t="str">
        <f>"$ 295"</f>
        <v>$ 295</v>
      </c>
      <c r="F10837">
        <v>77</v>
      </c>
    </row>
    <row r="10838" spans="1:6">
      <c r="A10838" t="s">
        <v>10616</v>
      </c>
      <c r="B10838" t="str">
        <f t="shared" si="395"/>
        <v>0.00004%</v>
      </c>
      <c r="C10838" t="s">
        <v>10</v>
      </c>
      <c r="D10838" t="s">
        <v>10</v>
      </c>
      <c r="E10838" t="str">
        <f>"$ 287"</f>
        <v>$ 287</v>
      </c>
      <c r="F10838">
        <v>52</v>
      </c>
    </row>
    <row r="10839" spans="1:6">
      <c r="A10839" t="s">
        <v>10617</v>
      </c>
      <c r="B10839" t="str">
        <f t="shared" si="395"/>
        <v>0.00004%</v>
      </c>
      <c r="C10839" t="s">
        <v>10</v>
      </c>
      <c r="D10839" t="s">
        <v>10</v>
      </c>
      <c r="E10839" t="str">
        <f>"$ 290"</f>
        <v>$ 290</v>
      </c>
      <c r="F10839">
        <v>349</v>
      </c>
    </row>
    <row r="10840" spans="1:6">
      <c r="A10840" t="s">
        <v>10618</v>
      </c>
      <c r="B10840" t="str">
        <f t="shared" si="395"/>
        <v>0.00004%</v>
      </c>
      <c r="C10840" t="s">
        <v>10</v>
      </c>
      <c r="D10840" t="s">
        <v>10</v>
      </c>
      <c r="E10840" t="str">
        <f>"$ 288"</f>
        <v>$ 288</v>
      </c>
      <c r="F10840">
        <v>408</v>
      </c>
    </row>
    <row r="10841" spans="1:6">
      <c r="A10841" t="s">
        <v>10619</v>
      </c>
      <c r="B10841" t="str">
        <f t="shared" si="395"/>
        <v>0.00004%</v>
      </c>
      <c r="C10841" t="s">
        <v>10</v>
      </c>
      <c r="D10841" t="s">
        <v>10</v>
      </c>
      <c r="E10841" t="str">
        <f>"$ 276"</f>
        <v>$ 276</v>
      </c>
      <c r="F10841">
        <v>128</v>
      </c>
    </row>
    <row r="10842" spans="1:6">
      <c r="A10842" t="s">
        <v>10620</v>
      </c>
      <c r="B10842" t="str">
        <f t="shared" si="395"/>
        <v>0.00004%</v>
      </c>
      <c r="C10842" t="s">
        <v>10</v>
      </c>
      <c r="D10842" t="s">
        <v>10</v>
      </c>
      <c r="E10842" t="str">
        <f>"$ 277"</f>
        <v>$ 277</v>
      </c>
      <c r="F10842">
        <v>64</v>
      </c>
    </row>
    <row r="10843" spans="1:6">
      <c r="A10843" t="s">
        <v>10621</v>
      </c>
      <c r="B10843" t="str">
        <f t="shared" si="395"/>
        <v>0.00004%</v>
      </c>
      <c r="C10843" t="s">
        <v>10</v>
      </c>
      <c r="D10843" t="s">
        <v>10</v>
      </c>
      <c r="E10843" t="str">
        <f>"$ 273"</f>
        <v>$ 273</v>
      </c>
      <c r="F10843">
        <v>55</v>
      </c>
    </row>
    <row r="10844" spans="1:6">
      <c r="A10844" t="s">
        <v>9080</v>
      </c>
      <c r="B10844" t="str">
        <f t="shared" si="395"/>
        <v>0.00004%</v>
      </c>
      <c r="C10844" t="s">
        <v>10</v>
      </c>
      <c r="D10844" t="s">
        <v>10</v>
      </c>
      <c r="E10844" t="str">
        <f>"$ 345"</f>
        <v>$ 345</v>
      </c>
      <c r="F10844">
        <v>111</v>
      </c>
    </row>
    <row r="10845" spans="1:6">
      <c r="A10845" t="s">
        <v>10622</v>
      </c>
      <c r="B10845" t="str">
        <f t="shared" si="395"/>
        <v>0.00004%</v>
      </c>
      <c r="C10845" t="s">
        <v>10</v>
      </c>
      <c r="D10845" t="s">
        <v>10</v>
      </c>
      <c r="E10845" t="str">
        <f>"$ 326"</f>
        <v>$ 326</v>
      </c>
      <c r="F10845">
        <v>95</v>
      </c>
    </row>
    <row r="10846" spans="1:6">
      <c r="A10846" t="s">
        <v>10116</v>
      </c>
      <c r="B10846" t="str">
        <f t="shared" si="395"/>
        <v>0.00004%</v>
      </c>
      <c r="C10846" t="s">
        <v>10</v>
      </c>
      <c r="D10846" t="s">
        <v>10</v>
      </c>
      <c r="E10846" t="str">
        <f>"$ 338"</f>
        <v>$ 338</v>
      </c>
      <c r="F10846">
        <v>196</v>
      </c>
    </row>
    <row r="10847" spans="1:6">
      <c r="A10847" t="s">
        <v>10623</v>
      </c>
      <c r="B10847" t="str">
        <f t="shared" ref="B10847:B10910" si="396">"0.00004%"</f>
        <v>0.00004%</v>
      </c>
      <c r="C10847" t="s">
        <v>10</v>
      </c>
      <c r="D10847" t="s">
        <v>10</v>
      </c>
      <c r="E10847" t="str">
        <f>"$ 334"</f>
        <v>$ 334</v>
      </c>
      <c r="F10847">
        <v>68</v>
      </c>
    </row>
    <row r="10848" spans="1:6">
      <c r="A10848" t="s">
        <v>10624</v>
      </c>
      <c r="B10848" t="str">
        <f t="shared" si="396"/>
        <v>0.00004%</v>
      </c>
      <c r="C10848" t="s">
        <v>10</v>
      </c>
      <c r="D10848" t="s">
        <v>10</v>
      </c>
      <c r="E10848" t="str">
        <f>"$ 308"</f>
        <v>$ 308</v>
      </c>
      <c r="F10848">
        <v>142</v>
      </c>
    </row>
    <row r="10849" spans="1:6">
      <c r="A10849" t="s">
        <v>10625</v>
      </c>
      <c r="B10849" t="str">
        <f t="shared" si="396"/>
        <v>0.00004%</v>
      </c>
      <c r="C10849" t="s">
        <v>10</v>
      </c>
      <c r="D10849" t="s">
        <v>10</v>
      </c>
      <c r="E10849" t="str">
        <f>"$ 323"</f>
        <v>$ 323</v>
      </c>
      <c r="F10849">
        <v>64</v>
      </c>
    </row>
    <row r="10850" spans="1:6">
      <c r="A10850" t="s">
        <v>10626</v>
      </c>
      <c r="B10850" t="str">
        <f t="shared" si="396"/>
        <v>0.00004%</v>
      </c>
      <c r="C10850" t="s">
        <v>10</v>
      </c>
      <c r="D10850" t="s">
        <v>10</v>
      </c>
      <c r="E10850" t="str">
        <f>"$ 345"</f>
        <v>$ 345</v>
      </c>
      <c r="F10850">
        <v>227</v>
      </c>
    </row>
    <row r="10851" spans="1:6">
      <c r="A10851" t="s">
        <v>10117</v>
      </c>
      <c r="B10851" t="str">
        <f t="shared" si="396"/>
        <v>0.00004%</v>
      </c>
      <c r="C10851" t="s">
        <v>10</v>
      </c>
      <c r="D10851" t="s">
        <v>10</v>
      </c>
      <c r="E10851" t="str">
        <f>"$ 271"</f>
        <v>$ 271</v>
      </c>
      <c r="F10851">
        <v>118</v>
      </c>
    </row>
    <row r="10852" spans="1:6">
      <c r="A10852" t="s">
        <v>10627</v>
      </c>
      <c r="B10852" t="str">
        <f t="shared" si="396"/>
        <v>0.00004%</v>
      </c>
      <c r="C10852" t="s">
        <v>10</v>
      </c>
      <c r="D10852" t="s">
        <v>10</v>
      </c>
      <c r="E10852" t="str">
        <f>"$ 289"</f>
        <v>$ 289</v>
      </c>
      <c r="F10852">
        <v>207</v>
      </c>
    </row>
    <row r="10853" spans="1:6">
      <c r="A10853" t="s">
        <v>9637</v>
      </c>
      <c r="B10853" t="str">
        <f t="shared" si="396"/>
        <v>0.00004%</v>
      </c>
      <c r="C10853" t="s">
        <v>10</v>
      </c>
      <c r="D10853" t="s">
        <v>10</v>
      </c>
      <c r="E10853" t="str">
        <f>"$ 290"</f>
        <v>$ 290</v>
      </c>
      <c r="F10853">
        <v>97</v>
      </c>
    </row>
    <row r="10854" spans="1:6">
      <c r="A10854" t="s">
        <v>10628</v>
      </c>
      <c r="B10854" t="str">
        <f t="shared" si="396"/>
        <v>0.00004%</v>
      </c>
      <c r="C10854" t="s">
        <v>10</v>
      </c>
      <c r="D10854" t="s">
        <v>10</v>
      </c>
      <c r="E10854" t="str">
        <f>"$ 293"</f>
        <v>$ 293</v>
      </c>
      <c r="F10854">
        <v>225</v>
      </c>
    </row>
    <row r="10855" spans="1:6">
      <c r="A10855" t="s">
        <v>10629</v>
      </c>
      <c r="B10855" t="str">
        <f t="shared" si="396"/>
        <v>0.00004%</v>
      </c>
      <c r="C10855" t="s">
        <v>10</v>
      </c>
      <c r="D10855" t="s">
        <v>10</v>
      </c>
      <c r="E10855" t="str">
        <f>"$ 298"</f>
        <v>$ 298</v>
      </c>
      <c r="F10855">
        <v>120</v>
      </c>
    </row>
    <row r="10856" spans="1:6">
      <c r="A10856" t="s">
        <v>9630</v>
      </c>
      <c r="B10856" t="str">
        <f t="shared" si="396"/>
        <v>0.00004%</v>
      </c>
      <c r="C10856" t="s">
        <v>10</v>
      </c>
      <c r="D10856" t="s">
        <v>10</v>
      </c>
      <c r="E10856" t="str">
        <f>"$ 303"</f>
        <v>$ 303</v>
      </c>
      <c r="F10856">
        <v>26</v>
      </c>
    </row>
    <row r="10857" spans="1:6">
      <c r="A10857" t="s">
        <v>10630</v>
      </c>
      <c r="B10857" t="str">
        <f t="shared" si="396"/>
        <v>0.00004%</v>
      </c>
      <c r="C10857" t="s">
        <v>10</v>
      </c>
      <c r="D10857" t="s">
        <v>10</v>
      </c>
      <c r="E10857" t="str">
        <f>"$ 278"</f>
        <v>$ 278</v>
      </c>
      <c r="F10857">
        <v>18</v>
      </c>
    </row>
    <row r="10858" spans="1:6">
      <c r="A10858" t="s">
        <v>10631</v>
      </c>
      <c r="B10858" t="str">
        <f t="shared" si="396"/>
        <v>0.00004%</v>
      </c>
      <c r="C10858" t="s">
        <v>10</v>
      </c>
      <c r="D10858" t="s">
        <v>10</v>
      </c>
      <c r="E10858" t="str">
        <f>"$ 305"</f>
        <v>$ 305</v>
      </c>
      <c r="F10858">
        <v>102</v>
      </c>
    </row>
    <row r="10859" spans="1:6">
      <c r="A10859" t="s">
        <v>10631</v>
      </c>
      <c r="B10859" t="str">
        <f t="shared" si="396"/>
        <v>0.00004%</v>
      </c>
      <c r="C10859" t="s">
        <v>10</v>
      </c>
      <c r="D10859" t="s">
        <v>10</v>
      </c>
      <c r="E10859" t="str">
        <f>"$ 282"</f>
        <v>$ 282</v>
      </c>
      <c r="F10859">
        <v>95</v>
      </c>
    </row>
    <row r="10860" spans="1:6">
      <c r="A10860" t="s">
        <v>10632</v>
      </c>
      <c r="B10860" t="str">
        <f t="shared" si="396"/>
        <v>0.00004%</v>
      </c>
      <c r="C10860" t="s">
        <v>10</v>
      </c>
      <c r="D10860" t="s">
        <v>10</v>
      </c>
      <c r="E10860" t="str">
        <f>"$ 301"</f>
        <v>$ 301</v>
      </c>
      <c r="F10860">
        <v>276</v>
      </c>
    </row>
    <row r="10861" spans="1:6">
      <c r="A10861" t="s">
        <v>10633</v>
      </c>
      <c r="B10861" t="str">
        <f t="shared" si="396"/>
        <v>0.00004%</v>
      </c>
      <c r="C10861" t="s">
        <v>10</v>
      </c>
      <c r="D10861" t="s">
        <v>10</v>
      </c>
      <c r="E10861" t="str">
        <f>"$ 310"</f>
        <v>$ 310</v>
      </c>
      <c r="F10861">
        <v>33</v>
      </c>
    </row>
    <row r="10862" spans="1:6">
      <c r="A10862" t="s">
        <v>9271</v>
      </c>
      <c r="B10862" t="str">
        <f t="shared" si="396"/>
        <v>0.00004%</v>
      </c>
      <c r="C10862" t="s">
        <v>10</v>
      </c>
      <c r="D10862" t="s">
        <v>10</v>
      </c>
      <c r="E10862" t="str">
        <f>"$ 304"</f>
        <v>$ 304</v>
      </c>
      <c r="F10862">
        <v>355</v>
      </c>
    </row>
    <row r="10863" spans="1:6">
      <c r="A10863" t="s">
        <v>10634</v>
      </c>
      <c r="B10863" t="str">
        <f t="shared" si="396"/>
        <v>0.00004%</v>
      </c>
      <c r="C10863" t="s">
        <v>10</v>
      </c>
      <c r="D10863" t="s">
        <v>10</v>
      </c>
      <c r="E10863" t="str">
        <f>"$ 304"</f>
        <v>$ 304</v>
      </c>
      <c r="F10863">
        <v>273</v>
      </c>
    </row>
    <row r="10864" spans="1:6">
      <c r="A10864" t="s">
        <v>10635</v>
      </c>
      <c r="B10864" t="str">
        <f t="shared" si="396"/>
        <v>0.00004%</v>
      </c>
      <c r="C10864" t="s">
        <v>10</v>
      </c>
      <c r="D10864" t="s">
        <v>10</v>
      </c>
      <c r="E10864" t="str">
        <f>"$ 281"</f>
        <v>$ 281</v>
      </c>
      <c r="F10864">
        <v>490</v>
      </c>
    </row>
    <row r="10865" spans="1:6">
      <c r="A10865" t="s">
        <v>10636</v>
      </c>
      <c r="B10865" t="str">
        <f t="shared" si="396"/>
        <v>0.00004%</v>
      </c>
      <c r="C10865" t="s">
        <v>10</v>
      </c>
      <c r="D10865" t="s">
        <v>10</v>
      </c>
      <c r="E10865" t="str">
        <f>"$ 289"</f>
        <v>$ 289</v>
      </c>
      <c r="F10865">
        <v>253</v>
      </c>
    </row>
    <row r="10866" spans="1:6">
      <c r="A10866" t="s">
        <v>10637</v>
      </c>
      <c r="B10866" t="str">
        <f t="shared" si="396"/>
        <v>0.00004%</v>
      </c>
      <c r="C10866" t="s">
        <v>10</v>
      </c>
      <c r="D10866" t="s">
        <v>10</v>
      </c>
      <c r="E10866" t="str">
        <f>"$ 278"</f>
        <v>$ 278</v>
      </c>
      <c r="F10866">
        <v>70</v>
      </c>
    </row>
    <row r="10867" spans="1:6">
      <c r="A10867" t="s">
        <v>10638</v>
      </c>
      <c r="B10867" t="str">
        <f t="shared" si="396"/>
        <v>0.00004%</v>
      </c>
      <c r="C10867" t="s">
        <v>10</v>
      </c>
      <c r="D10867" t="s">
        <v>10</v>
      </c>
      <c r="E10867" t="str">
        <f>"$ 325"</f>
        <v>$ 325</v>
      </c>
      <c r="F10867" s="1">
        <v>1031</v>
      </c>
    </row>
    <row r="10868" spans="1:6">
      <c r="A10868" t="s">
        <v>10639</v>
      </c>
      <c r="B10868" t="str">
        <f t="shared" si="396"/>
        <v>0.00004%</v>
      </c>
      <c r="C10868" t="s">
        <v>10</v>
      </c>
      <c r="D10868" t="s">
        <v>10</v>
      </c>
      <c r="E10868" t="str">
        <f>"$ 279"</f>
        <v>$ 279</v>
      </c>
      <c r="F10868">
        <v>82</v>
      </c>
    </row>
    <row r="10869" spans="1:6">
      <c r="A10869" t="s">
        <v>10640</v>
      </c>
      <c r="B10869" t="str">
        <f t="shared" si="396"/>
        <v>0.00004%</v>
      </c>
      <c r="C10869" t="s">
        <v>10</v>
      </c>
      <c r="D10869" t="s">
        <v>10</v>
      </c>
      <c r="E10869" t="str">
        <f>"$ 322"</f>
        <v>$ 322</v>
      </c>
      <c r="F10869">
        <v>293</v>
      </c>
    </row>
    <row r="10870" spans="1:6">
      <c r="A10870" t="s">
        <v>10382</v>
      </c>
      <c r="B10870" t="str">
        <f t="shared" si="396"/>
        <v>0.00004%</v>
      </c>
      <c r="C10870" t="s">
        <v>10</v>
      </c>
      <c r="D10870" t="s">
        <v>10</v>
      </c>
      <c r="E10870" t="str">
        <f>"$ 316"</f>
        <v>$ 316</v>
      </c>
      <c r="F10870">
        <v>384</v>
      </c>
    </row>
    <row r="10871" spans="1:6">
      <c r="A10871" t="s">
        <v>10641</v>
      </c>
      <c r="B10871" t="str">
        <f t="shared" si="396"/>
        <v>0.00004%</v>
      </c>
      <c r="C10871" t="s">
        <v>10</v>
      </c>
      <c r="D10871" t="s">
        <v>10</v>
      </c>
      <c r="E10871" t="str">
        <f>"$ 347"</f>
        <v>$ 347</v>
      </c>
      <c r="F10871">
        <v>29</v>
      </c>
    </row>
    <row r="10872" spans="1:6">
      <c r="A10872" t="s">
        <v>10642</v>
      </c>
      <c r="B10872" t="str">
        <f t="shared" si="396"/>
        <v>0.00004%</v>
      </c>
      <c r="C10872" t="s">
        <v>10</v>
      </c>
      <c r="D10872" t="s">
        <v>10</v>
      </c>
      <c r="E10872" t="str">
        <f>"$ 317"</f>
        <v>$ 317</v>
      </c>
      <c r="F10872">
        <v>152</v>
      </c>
    </row>
    <row r="10873" spans="1:6">
      <c r="A10873" t="s">
        <v>10643</v>
      </c>
      <c r="B10873" t="str">
        <f t="shared" si="396"/>
        <v>0.00004%</v>
      </c>
      <c r="C10873" t="s">
        <v>10</v>
      </c>
      <c r="D10873" t="s">
        <v>10</v>
      </c>
      <c r="E10873" t="str">
        <f>"$ 346"</f>
        <v>$ 346</v>
      </c>
      <c r="F10873">
        <v>666</v>
      </c>
    </row>
    <row r="10874" spans="1:6">
      <c r="A10874" t="s">
        <v>10644</v>
      </c>
      <c r="B10874" t="str">
        <f t="shared" si="396"/>
        <v>0.00004%</v>
      </c>
      <c r="C10874" t="s">
        <v>10</v>
      </c>
      <c r="D10874" t="s">
        <v>10</v>
      </c>
      <c r="E10874" t="str">
        <f>"$ 345"</f>
        <v>$ 345</v>
      </c>
      <c r="F10874">
        <v>134</v>
      </c>
    </row>
    <row r="10875" spans="1:6">
      <c r="A10875" t="s">
        <v>10645</v>
      </c>
      <c r="B10875" t="str">
        <f t="shared" si="396"/>
        <v>0.00004%</v>
      </c>
      <c r="C10875" t="s">
        <v>10</v>
      </c>
      <c r="D10875" t="s">
        <v>10</v>
      </c>
      <c r="E10875" t="str">
        <f>"$ 339"</f>
        <v>$ 339</v>
      </c>
      <c r="F10875">
        <v>42</v>
      </c>
    </row>
    <row r="10876" spans="1:6">
      <c r="A10876" t="s">
        <v>10646</v>
      </c>
      <c r="B10876" t="str">
        <f t="shared" si="396"/>
        <v>0.00004%</v>
      </c>
      <c r="C10876" t="s">
        <v>10</v>
      </c>
      <c r="D10876" t="s">
        <v>10</v>
      </c>
      <c r="E10876" t="str">
        <f>"$ 325"</f>
        <v>$ 325</v>
      </c>
      <c r="F10876">
        <v>454</v>
      </c>
    </row>
    <row r="10877" spans="1:6">
      <c r="A10877" t="s">
        <v>10647</v>
      </c>
      <c r="B10877" t="str">
        <f t="shared" si="396"/>
        <v>0.00004%</v>
      </c>
      <c r="C10877" t="s">
        <v>10</v>
      </c>
      <c r="D10877" t="s">
        <v>10</v>
      </c>
      <c r="E10877" t="str">
        <f>"$ 288"</f>
        <v>$ 288</v>
      </c>
      <c r="F10877">
        <v>44</v>
      </c>
    </row>
    <row r="10878" spans="1:6">
      <c r="A10878" t="s">
        <v>10648</v>
      </c>
      <c r="B10878" t="str">
        <f t="shared" si="396"/>
        <v>0.00004%</v>
      </c>
      <c r="C10878" t="s">
        <v>10</v>
      </c>
      <c r="D10878" t="s">
        <v>10</v>
      </c>
      <c r="E10878" t="str">
        <f>"$ 273"</f>
        <v>$ 273</v>
      </c>
      <c r="F10878">
        <v>266</v>
      </c>
    </row>
    <row r="10879" spans="1:6">
      <c r="A10879" t="s">
        <v>8941</v>
      </c>
      <c r="B10879" t="str">
        <f t="shared" si="396"/>
        <v>0.00004%</v>
      </c>
      <c r="C10879" t="s">
        <v>10</v>
      </c>
      <c r="D10879" t="s">
        <v>10</v>
      </c>
      <c r="E10879" t="str">
        <f>"$ 327"</f>
        <v>$ 327</v>
      </c>
      <c r="F10879">
        <v>131</v>
      </c>
    </row>
    <row r="10880" spans="1:6">
      <c r="A10880" t="s">
        <v>10649</v>
      </c>
      <c r="B10880" t="str">
        <f t="shared" si="396"/>
        <v>0.00004%</v>
      </c>
      <c r="C10880" t="s">
        <v>10</v>
      </c>
      <c r="D10880" t="s">
        <v>10</v>
      </c>
      <c r="E10880" t="str">
        <f>"$ 318"</f>
        <v>$ 318</v>
      </c>
      <c r="F10880">
        <v>119</v>
      </c>
    </row>
    <row r="10881" spans="1:6">
      <c r="A10881" t="s">
        <v>10650</v>
      </c>
      <c r="B10881" t="str">
        <f t="shared" si="396"/>
        <v>0.00004%</v>
      </c>
      <c r="C10881" t="s">
        <v>10</v>
      </c>
      <c r="D10881" t="s">
        <v>10</v>
      </c>
      <c r="E10881" t="str">
        <f>"$ 299"</f>
        <v>$ 299</v>
      </c>
      <c r="F10881">
        <v>101</v>
      </c>
    </row>
    <row r="10882" spans="1:6">
      <c r="A10882" t="s">
        <v>10651</v>
      </c>
      <c r="B10882" t="str">
        <f t="shared" si="396"/>
        <v>0.00004%</v>
      </c>
      <c r="C10882" t="s">
        <v>10</v>
      </c>
      <c r="D10882" t="s">
        <v>10</v>
      </c>
      <c r="E10882" t="str">
        <f>"$ 302"</f>
        <v>$ 302</v>
      </c>
      <c r="F10882">
        <v>16</v>
      </c>
    </row>
    <row r="10883" spans="1:6">
      <c r="A10883" t="s">
        <v>10652</v>
      </c>
      <c r="B10883" t="str">
        <f t="shared" si="396"/>
        <v>0.00004%</v>
      </c>
      <c r="C10883" t="s">
        <v>10</v>
      </c>
      <c r="D10883" t="s">
        <v>10</v>
      </c>
      <c r="E10883" t="str">
        <f>"$ 318"</f>
        <v>$ 318</v>
      </c>
      <c r="F10883">
        <v>17</v>
      </c>
    </row>
    <row r="10884" spans="1:6">
      <c r="A10884" t="s">
        <v>10653</v>
      </c>
      <c r="B10884" t="str">
        <f t="shared" si="396"/>
        <v>0.00004%</v>
      </c>
      <c r="C10884" t="s">
        <v>10</v>
      </c>
      <c r="D10884" t="s">
        <v>10</v>
      </c>
      <c r="E10884" t="str">
        <f>"$ 293"</f>
        <v>$ 293</v>
      </c>
      <c r="F10884">
        <v>101</v>
      </c>
    </row>
    <row r="10885" spans="1:6">
      <c r="A10885" t="s">
        <v>10654</v>
      </c>
      <c r="B10885" t="str">
        <f t="shared" si="396"/>
        <v>0.00004%</v>
      </c>
      <c r="C10885" t="s">
        <v>10</v>
      </c>
      <c r="D10885" t="s">
        <v>10</v>
      </c>
      <c r="E10885" t="str">
        <f>"$ 315"</f>
        <v>$ 315</v>
      </c>
      <c r="F10885">
        <v>64</v>
      </c>
    </row>
    <row r="10886" spans="1:6">
      <c r="A10886" t="s">
        <v>10655</v>
      </c>
      <c r="B10886" t="str">
        <f t="shared" si="396"/>
        <v>0.00004%</v>
      </c>
      <c r="C10886" t="s">
        <v>10</v>
      </c>
      <c r="D10886" t="s">
        <v>10</v>
      </c>
      <c r="E10886" t="str">
        <f>"$ 310"</f>
        <v>$ 310</v>
      </c>
      <c r="F10886">
        <v>61</v>
      </c>
    </row>
    <row r="10887" spans="1:6">
      <c r="A10887" t="s">
        <v>10656</v>
      </c>
      <c r="B10887" t="str">
        <f t="shared" si="396"/>
        <v>0.00004%</v>
      </c>
      <c r="C10887" t="s">
        <v>10</v>
      </c>
      <c r="D10887" t="s">
        <v>10</v>
      </c>
      <c r="E10887" t="str">
        <f>"$ 313"</f>
        <v>$ 313</v>
      </c>
      <c r="F10887">
        <v>632</v>
      </c>
    </row>
    <row r="10888" spans="1:6">
      <c r="A10888" t="s">
        <v>10657</v>
      </c>
      <c r="B10888" t="str">
        <f t="shared" si="396"/>
        <v>0.00004%</v>
      </c>
      <c r="C10888" t="s">
        <v>10</v>
      </c>
      <c r="D10888" t="s">
        <v>10</v>
      </c>
      <c r="E10888" t="str">
        <f>"$ 325"</f>
        <v>$ 325</v>
      </c>
      <c r="F10888">
        <v>530</v>
      </c>
    </row>
    <row r="10889" spans="1:6">
      <c r="A10889" t="s">
        <v>10658</v>
      </c>
      <c r="B10889" t="str">
        <f t="shared" si="396"/>
        <v>0.00004%</v>
      </c>
      <c r="C10889" t="s">
        <v>10</v>
      </c>
      <c r="D10889" t="s">
        <v>10</v>
      </c>
      <c r="E10889" t="str">
        <f>"$ 336"</f>
        <v>$ 336</v>
      </c>
      <c r="F10889">
        <v>45</v>
      </c>
    </row>
    <row r="10890" spans="1:6">
      <c r="A10890" t="s">
        <v>10392</v>
      </c>
      <c r="B10890" t="str">
        <f t="shared" si="396"/>
        <v>0.00004%</v>
      </c>
      <c r="C10890" t="s">
        <v>10</v>
      </c>
      <c r="D10890" t="s">
        <v>10</v>
      </c>
      <c r="E10890" t="str">
        <f>"$ 279"</f>
        <v>$ 279</v>
      </c>
      <c r="F10890">
        <v>98</v>
      </c>
    </row>
    <row r="10891" spans="1:6">
      <c r="A10891" t="s">
        <v>10659</v>
      </c>
      <c r="B10891" t="str">
        <f t="shared" si="396"/>
        <v>0.00004%</v>
      </c>
      <c r="C10891" t="s">
        <v>10</v>
      </c>
      <c r="D10891" t="s">
        <v>10</v>
      </c>
      <c r="E10891" t="str">
        <f>"$ 298"</f>
        <v>$ 298</v>
      </c>
      <c r="F10891">
        <v>193</v>
      </c>
    </row>
    <row r="10892" spans="1:6">
      <c r="A10892" t="s">
        <v>10660</v>
      </c>
      <c r="B10892" t="str">
        <f t="shared" si="396"/>
        <v>0.00004%</v>
      </c>
      <c r="C10892" t="s">
        <v>10</v>
      </c>
      <c r="D10892" t="s">
        <v>10</v>
      </c>
      <c r="E10892" t="str">
        <f>"$ 296"</f>
        <v>$ 296</v>
      </c>
      <c r="F10892">
        <v>50</v>
      </c>
    </row>
    <row r="10893" spans="1:6">
      <c r="A10893" t="s">
        <v>10661</v>
      </c>
      <c r="B10893" t="str">
        <f t="shared" si="396"/>
        <v>0.00004%</v>
      </c>
      <c r="C10893" t="s">
        <v>10</v>
      </c>
      <c r="D10893" t="s">
        <v>10</v>
      </c>
      <c r="E10893" t="str">
        <f>"$ 300"</f>
        <v>$ 300</v>
      </c>
      <c r="F10893">
        <v>186</v>
      </c>
    </row>
    <row r="10894" spans="1:6">
      <c r="A10894" t="s">
        <v>10662</v>
      </c>
      <c r="B10894" t="str">
        <f t="shared" si="396"/>
        <v>0.00004%</v>
      </c>
      <c r="C10894" t="s">
        <v>10</v>
      </c>
      <c r="D10894" t="s">
        <v>10</v>
      </c>
      <c r="E10894" t="str">
        <f>"$ 290"</f>
        <v>$ 290</v>
      </c>
      <c r="F10894">
        <v>12</v>
      </c>
    </row>
    <row r="10895" spans="1:6">
      <c r="A10895" t="s">
        <v>10663</v>
      </c>
      <c r="B10895" t="str">
        <f t="shared" si="396"/>
        <v>0.00004%</v>
      </c>
      <c r="C10895" t="s">
        <v>10</v>
      </c>
      <c r="D10895" t="s">
        <v>10</v>
      </c>
      <c r="E10895" t="str">
        <f>"$ 336"</f>
        <v>$ 336</v>
      </c>
      <c r="F10895" s="1">
        <v>1834</v>
      </c>
    </row>
    <row r="10896" spans="1:6">
      <c r="A10896" t="s">
        <v>10664</v>
      </c>
      <c r="B10896" t="str">
        <f t="shared" si="396"/>
        <v>0.00004%</v>
      </c>
      <c r="C10896" t="s">
        <v>10</v>
      </c>
      <c r="D10896" t="s">
        <v>10</v>
      </c>
      <c r="E10896" t="str">
        <f>"$ 339"</f>
        <v>$ 339</v>
      </c>
      <c r="F10896">
        <v>253</v>
      </c>
    </row>
    <row r="10897" spans="1:6">
      <c r="A10897" t="s">
        <v>10665</v>
      </c>
      <c r="B10897" t="str">
        <f t="shared" si="396"/>
        <v>0.00004%</v>
      </c>
      <c r="C10897" t="s">
        <v>10</v>
      </c>
      <c r="D10897" t="s">
        <v>10</v>
      </c>
      <c r="E10897" t="str">
        <f>"$ 343"</f>
        <v>$ 343</v>
      </c>
      <c r="F10897">
        <v>308</v>
      </c>
    </row>
    <row r="10898" spans="1:6">
      <c r="A10898" t="s">
        <v>10666</v>
      </c>
      <c r="B10898" t="str">
        <f t="shared" si="396"/>
        <v>0.00004%</v>
      </c>
      <c r="C10898" t="s">
        <v>10</v>
      </c>
      <c r="D10898" t="s">
        <v>10</v>
      </c>
      <c r="E10898" t="str">
        <f>"$ 347"</f>
        <v>$ 347</v>
      </c>
      <c r="F10898">
        <v>529</v>
      </c>
    </row>
    <row r="10899" spans="1:6">
      <c r="A10899" t="s">
        <v>9903</v>
      </c>
      <c r="B10899" t="str">
        <f t="shared" si="396"/>
        <v>0.00004%</v>
      </c>
      <c r="C10899" t="s">
        <v>10</v>
      </c>
      <c r="D10899" t="s">
        <v>10</v>
      </c>
      <c r="E10899" t="str">
        <f>"$ 325"</f>
        <v>$ 325</v>
      </c>
      <c r="F10899">
        <v>190</v>
      </c>
    </row>
    <row r="10900" spans="1:6">
      <c r="A10900" t="s">
        <v>9288</v>
      </c>
      <c r="B10900" t="str">
        <f t="shared" si="396"/>
        <v>0.00004%</v>
      </c>
      <c r="C10900" t="s">
        <v>10</v>
      </c>
      <c r="D10900" t="s">
        <v>10</v>
      </c>
      <c r="E10900" t="str">
        <f>"$ 325"</f>
        <v>$ 325</v>
      </c>
      <c r="F10900">
        <v>425</v>
      </c>
    </row>
    <row r="10901" spans="1:6">
      <c r="A10901" t="s">
        <v>10667</v>
      </c>
      <c r="B10901" t="str">
        <f t="shared" si="396"/>
        <v>0.00004%</v>
      </c>
      <c r="C10901" t="s">
        <v>10</v>
      </c>
      <c r="D10901" t="s">
        <v>10</v>
      </c>
      <c r="E10901" t="str">
        <f>"$ 331"</f>
        <v>$ 331</v>
      </c>
      <c r="F10901">
        <v>213</v>
      </c>
    </row>
    <row r="10902" spans="1:6">
      <c r="A10902" t="s">
        <v>9670</v>
      </c>
      <c r="B10902" t="str">
        <f t="shared" si="396"/>
        <v>0.00004%</v>
      </c>
      <c r="C10902" t="s">
        <v>10</v>
      </c>
      <c r="D10902" t="s">
        <v>10</v>
      </c>
      <c r="E10902" t="str">
        <f>"$ 331"</f>
        <v>$ 331</v>
      </c>
      <c r="F10902">
        <v>425</v>
      </c>
    </row>
    <row r="10903" spans="1:6">
      <c r="A10903" t="s">
        <v>10668</v>
      </c>
      <c r="B10903" t="str">
        <f t="shared" si="396"/>
        <v>0.00004%</v>
      </c>
      <c r="C10903" t="s">
        <v>10</v>
      </c>
      <c r="D10903" t="s">
        <v>10</v>
      </c>
      <c r="E10903" t="str">
        <f>"$ 347"</f>
        <v>$ 347</v>
      </c>
      <c r="F10903">
        <v>266</v>
      </c>
    </row>
    <row r="10904" spans="1:6">
      <c r="A10904" t="s">
        <v>8414</v>
      </c>
      <c r="B10904" t="str">
        <f t="shared" si="396"/>
        <v>0.00004%</v>
      </c>
      <c r="C10904" t="s">
        <v>10</v>
      </c>
      <c r="D10904" t="s">
        <v>10</v>
      </c>
      <c r="E10904" t="str">
        <f>"$ 326"</f>
        <v>$ 326</v>
      </c>
      <c r="F10904">
        <v>220</v>
      </c>
    </row>
    <row r="10905" spans="1:6">
      <c r="A10905" t="s">
        <v>10669</v>
      </c>
      <c r="B10905" t="str">
        <f t="shared" si="396"/>
        <v>0.00004%</v>
      </c>
      <c r="C10905" t="s">
        <v>10</v>
      </c>
      <c r="D10905" t="s">
        <v>10</v>
      </c>
      <c r="E10905" t="str">
        <f>"$ 338"</f>
        <v>$ 338</v>
      </c>
      <c r="F10905">
        <v>7</v>
      </c>
    </row>
    <row r="10906" spans="1:6">
      <c r="A10906" t="s">
        <v>10670</v>
      </c>
      <c r="B10906" t="str">
        <f t="shared" si="396"/>
        <v>0.00004%</v>
      </c>
      <c r="C10906" t="s">
        <v>10</v>
      </c>
      <c r="D10906" t="s">
        <v>10</v>
      </c>
      <c r="E10906" t="str">
        <f>"$ 311"</f>
        <v>$ 311</v>
      </c>
      <c r="F10906">
        <v>20</v>
      </c>
    </row>
    <row r="10907" spans="1:6">
      <c r="A10907" t="s">
        <v>10671</v>
      </c>
      <c r="B10907" t="str">
        <f t="shared" si="396"/>
        <v>0.00004%</v>
      </c>
      <c r="C10907" t="s">
        <v>10</v>
      </c>
      <c r="D10907" t="s">
        <v>10</v>
      </c>
      <c r="E10907" t="str">
        <f>"$ 315"</f>
        <v>$ 315</v>
      </c>
      <c r="F10907">
        <v>12</v>
      </c>
    </row>
    <row r="10908" spans="1:6">
      <c r="A10908" t="s">
        <v>10672</v>
      </c>
      <c r="B10908" t="str">
        <f t="shared" si="396"/>
        <v>0.00004%</v>
      </c>
      <c r="C10908" t="s">
        <v>10</v>
      </c>
      <c r="D10908" t="s">
        <v>10</v>
      </c>
      <c r="E10908" t="str">
        <f>"$ 283"</f>
        <v>$ 283</v>
      </c>
      <c r="F10908">
        <v>588</v>
      </c>
    </row>
    <row r="10909" spans="1:6">
      <c r="A10909" t="s">
        <v>9136</v>
      </c>
      <c r="B10909" t="str">
        <f t="shared" si="396"/>
        <v>0.00004%</v>
      </c>
      <c r="C10909" t="s">
        <v>10</v>
      </c>
      <c r="D10909" t="s">
        <v>10</v>
      </c>
      <c r="E10909" t="str">
        <f>"$ 314"</f>
        <v>$ 314</v>
      </c>
      <c r="F10909">
        <v>195</v>
      </c>
    </row>
    <row r="10910" spans="1:6">
      <c r="A10910" t="s">
        <v>8550</v>
      </c>
      <c r="B10910" t="str">
        <f t="shared" si="396"/>
        <v>0.00004%</v>
      </c>
      <c r="C10910" t="s">
        <v>10</v>
      </c>
      <c r="D10910" t="s">
        <v>10</v>
      </c>
      <c r="E10910" t="str">
        <f>"$ 332"</f>
        <v>$ 332</v>
      </c>
      <c r="F10910">
        <v>471</v>
      </c>
    </row>
    <row r="10911" spans="1:6">
      <c r="A10911" t="s">
        <v>10673</v>
      </c>
      <c r="B10911" t="str">
        <f t="shared" ref="B10911:B10971" si="397">"0.00004%"</f>
        <v>0.00004%</v>
      </c>
      <c r="C10911" t="s">
        <v>10</v>
      </c>
      <c r="D10911" t="s">
        <v>10</v>
      </c>
      <c r="E10911" t="str">
        <f>"$ 308"</f>
        <v>$ 308</v>
      </c>
      <c r="F10911">
        <v>7</v>
      </c>
    </row>
    <row r="10912" spans="1:6">
      <c r="A10912" t="s">
        <v>10674</v>
      </c>
      <c r="B10912" t="str">
        <f t="shared" si="397"/>
        <v>0.00004%</v>
      </c>
      <c r="C10912" t="s">
        <v>10</v>
      </c>
      <c r="D10912" t="s">
        <v>10</v>
      </c>
      <c r="E10912" t="str">
        <f>"$ 341"</f>
        <v>$ 341</v>
      </c>
      <c r="F10912">
        <v>217</v>
      </c>
    </row>
    <row r="10913" spans="1:6">
      <c r="A10913" t="s">
        <v>10166</v>
      </c>
      <c r="B10913" t="str">
        <f t="shared" si="397"/>
        <v>0.00004%</v>
      </c>
      <c r="C10913" t="s">
        <v>10</v>
      </c>
      <c r="D10913" t="s">
        <v>10</v>
      </c>
      <c r="E10913" t="str">
        <f>"$ 282"</f>
        <v>$ 282</v>
      </c>
      <c r="F10913">
        <v>182</v>
      </c>
    </row>
    <row r="10914" spans="1:6">
      <c r="A10914" t="s">
        <v>10675</v>
      </c>
      <c r="B10914" t="str">
        <f t="shared" si="397"/>
        <v>0.00004%</v>
      </c>
      <c r="C10914" t="s">
        <v>10</v>
      </c>
      <c r="D10914" t="s">
        <v>10</v>
      </c>
      <c r="E10914" t="str">
        <f>"$ 302"</f>
        <v>$ 302</v>
      </c>
      <c r="F10914" s="1">
        <v>36804</v>
      </c>
    </row>
    <row r="10915" spans="1:6">
      <c r="A10915" t="s">
        <v>10676</v>
      </c>
      <c r="B10915" t="str">
        <f t="shared" si="397"/>
        <v>0.00004%</v>
      </c>
      <c r="C10915" t="s">
        <v>10</v>
      </c>
      <c r="D10915" t="s">
        <v>10</v>
      </c>
      <c r="E10915" t="str">
        <f>"$ 305"</f>
        <v>$ 305</v>
      </c>
      <c r="F10915">
        <v>142</v>
      </c>
    </row>
    <row r="10916" spans="1:6">
      <c r="A10916" t="s">
        <v>8961</v>
      </c>
      <c r="B10916" t="str">
        <f t="shared" si="397"/>
        <v>0.00004%</v>
      </c>
      <c r="C10916" t="s">
        <v>10</v>
      </c>
      <c r="D10916" t="s">
        <v>10</v>
      </c>
      <c r="E10916" t="str">
        <f>"$ 307"</f>
        <v>$ 307</v>
      </c>
      <c r="F10916">
        <v>135</v>
      </c>
    </row>
    <row r="10917" spans="1:6">
      <c r="A10917" t="s">
        <v>10677</v>
      </c>
      <c r="B10917" t="str">
        <f t="shared" si="397"/>
        <v>0.00004%</v>
      </c>
      <c r="C10917" t="s">
        <v>10</v>
      </c>
      <c r="D10917" t="s">
        <v>10</v>
      </c>
      <c r="E10917" t="str">
        <f>"$ 279"</f>
        <v>$ 279</v>
      </c>
      <c r="F10917">
        <v>129</v>
      </c>
    </row>
    <row r="10918" spans="1:6">
      <c r="A10918" t="s">
        <v>9304</v>
      </c>
      <c r="B10918" t="str">
        <f t="shared" si="397"/>
        <v>0.00004%</v>
      </c>
      <c r="C10918" t="s">
        <v>10</v>
      </c>
      <c r="D10918" t="s">
        <v>10</v>
      </c>
      <c r="E10918" t="str">
        <f>"$ 281"</f>
        <v>$ 281</v>
      </c>
      <c r="F10918">
        <v>156</v>
      </c>
    </row>
    <row r="10919" spans="1:6">
      <c r="A10919" t="s">
        <v>10678</v>
      </c>
      <c r="B10919" t="str">
        <f t="shared" si="397"/>
        <v>0.00004%</v>
      </c>
      <c r="C10919" t="s">
        <v>10</v>
      </c>
      <c r="D10919" t="s">
        <v>10</v>
      </c>
      <c r="E10919" t="str">
        <f>"$ 280"</f>
        <v>$ 280</v>
      </c>
      <c r="F10919" s="1">
        <v>8985</v>
      </c>
    </row>
    <row r="10920" spans="1:6">
      <c r="A10920" t="s">
        <v>10679</v>
      </c>
      <c r="B10920" t="str">
        <f t="shared" si="397"/>
        <v>0.00004%</v>
      </c>
      <c r="C10920" t="s">
        <v>10</v>
      </c>
      <c r="D10920" t="s">
        <v>10</v>
      </c>
      <c r="E10920" t="str">
        <f>"$ 284"</f>
        <v>$ 284</v>
      </c>
      <c r="F10920">
        <v>267</v>
      </c>
    </row>
    <row r="10921" spans="1:6">
      <c r="A10921" t="s">
        <v>9477</v>
      </c>
      <c r="B10921" t="str">
        <f t="shared" si="397"/>
        <v>0.00004%</v>
      </c>
      <c r="C10921" t="s">
        <v>10</v>
      </c>
      <c r="D10921" t="s">
        <v>10</v>
      </c>
      <c r="E10921" t="str">
        <f>"$ 286"</f>
        <v>$ 286</v>
      </c>
      <c r="F10921">
        <v>305</v>
      </c>
    </row>
    <row r="10922" spans="1:6">
      <c r="A10922" t="s">
        <v>10680</v>
      </c>
      <c r="B10922" t="str">
        <f t="shared" si="397"/>
        <v>0.00004%</v>
      </c>
      <c r="C10922" t="s">
        <v>10</v>
      </c>
      <c r="D10922" t="s">
        <v>10</v>
      </c>
      <c r="E10922" t="str">
        <f>"$ 326"</f>
        <v>$ 326</v>
      </c>
      <c r="F10922">
        <v>171</v>
      </c>
    </row>
    <row r="10923" spans="1:6">
      <c r="A10923" t="s">
        <v>10681</v>
      </c>
      <c r="B10923" t="str">
        <f t="shared" si="397"/>
        <v>0.00004%</v>
      </c>
      <c r="C10923" t="s">
        <v>10</v>
      </c>
      <c r="D10923" t="s">
        <v>10</v>
      </c>
      <c r="E10923" t="str">
        <f>"$ 331"</f>
        <v>$ 331</v>
      </c>
      <c r="F10923">
        <v>385</v>
      </c>
    </row>
    <row r="10924" spans="1:6">
      <c r="A10924" t="s">
        <v>10682</v>
      </c>
      <c r="B10924" t="str">
        <f t="shared" si="397"/>
        <v>0.00004%</v>
      </c>
      <c r="C10924" t="s">
        <v>10</v>
      </c>
      <c r="D10924" t="s">
        <v>10</v>
      </c>
      <c r="E10924" t="str">
        <f>"$ 326"</f>
        <v>$ 326</v>
      </c>
      <c r="F10924">
        <v>515</v>
      </c>
    </row>
    <row r="10925" spans="1:6">
      <c r="A10925" t="s">
        <v>10680</v>
      </c>
      <c r="B10925" t="str">
        <f t="shared" si="397"/>
        <v>0.00004%</v>
      </c>
      <c r="C10925" t="s">
        <v>10</v>
      </c>
      <c r="D10925" t="s">
        <v>10</v>
      </c>
      <c r="E10925" t="str">
        <f>"$ 329"</f>
        <v>$ 329</v>
      </c>
      <c r="F10925">
        <v>173</v>
      </c>
    </row>
    <row r="10926" spans="1:6">
      <c r="A10926" t="s">
        <v>10683</v>
      </c>
      <c r="B10926" t="str">
        <f t="shared" si="397"/>
        <v>0.00004%</v>
      </c>
      <c r="C10926" t="s">
        <v>10</v>
      </c>
      <c r="D10926" t="s">
        <v>10</v>
      </c>
      <c r="E10926" t="str">
        <f>"$ 338"</f>
        <v>$ 338</v>
      </c>
      <c r="F10926">
        <v>650</v>
      </c>
    </row>
    <row r="10927" spans="1:6">
      <c r="A10927" t="s">
        <v>10684</v>
      </c>
      <c r="B10927" t="str">
        <f t="shared" si="397"/>
        <v>0.00004%</v>
      </c>
      <c r="C10927" t="s">
        <v>10</v>
      </c>
      <c r="D10927" t="s">
        <v>10</v>
      </c>
      <c r="E10927" t="str">
        <f>"$ 341"</f>
        <v>$ 341</v>
      </c>
      <c r="F10927">
        <v>15</v>
      </c>
    </row>
    <row r="10928" spans="1:6">
      <c r="A10928" t="s">
        <v>10685</v>
      </c>
      <c r="B10928" t="str">
        <f t="shared" si="397"/>
        <v>0.00004%</v>
      </c>
      <c r="C10928" t="s">
        <v>10</v>
      </c>
      <c r="D10928" t="s">
        <v>10</v>
      </c>
      <c r="E10928" t="str">
        <f>"$ 287"</f>
        <v>$ 287</v>
      </c>
      <c r="F10928">
        <v>565</v>
      </c>
    </row>
    <row r="10929" spans="1:6">
      <c r="A10929" t="s">
        <v>10686</v>
      </c>
      <c r="B10929" t="str">
        <f t="shared" si="397"/>
        <v>0.00004%</v>
      </c>
      <c r="C10929" t="s">
        <v>10</v>
      </c>
      <c r="D10929" t="s">
        <v>10</v>
      </c>
      <c r="E10929" t="str">
        <f>"$ 345"</f>
        <v>$ 345</v>
      </c>
      <c r="F10929">
        <v>26</v>
      </c>
    </row>
    <row r="10930" spans="1:6">
      <c r="A10930" t="s">
        <v>10687</v>
      </c>
      <c r="B10930" t="str">
        <f t="shared" si="397"/>
        <v>0.00004%</v>
      </c>
      <c r="C10930" t="s">
        <v>10</v>
      </c>
      <c r="D10930" t="s">
        <v>10</v>
      </c>
      <c r="E10930" t="str">
        <f>"$ 340"</f>
        <v>$ 340</v>
      </c>
      <c r="F10930">
        <v>29</v>
      </c>
    </row>
    <row r="10931" spans="1:6">
      <c r="A10931" t="s">
        <v>10688</v>
      </c>
      <c r="B10931" t="str">
        <f t="shared" si="397"/>
        <v>0.00004%</v>
      </c>
      <c r="C10931" t="s">
        <v>10</v>
      </c>
      <c r="D10931" t="s">
        <v>10</v>
      </c>
      <c r="E10931" t="str">
        <f>"$ 278"</f>
        <v>$ 278</v>
      </c>
      <c r="F10931">
        <v>12</v>
      </c>
    </row>
    <row r="10932" spans="1:6">
      <c r="A10932" t="s">
        <v>10689</v>
      </c>
      <c r="B10932" t="str">
        <f t="shared" si="397"/>
        <v>0.00004%</v>
      </c>
      <c r="C10932" t="s">
        <v>10</v>
      </c>
      <c r="D10932" t="s">
        <v>10</v>
      </c>
      <c r="E10932" t="str">
        <f>"$ 343"</f>
        <v>$ 343</v>
      </c>
      <c r="F10932">
        <v>330</v>
      </c>
    </row>
    <row r="10933" spans="1:6">
      <c r="A10933" t="s">
        <v>10690</v>
      </c>
      <c r="B10933" t="str">
        <f t="shared" si="397"/>
        <v>0.00004%</v>
      </c>
      <c r="C10933" t="s">
        <v>10</v>
      </c>
      <c r="D10933" t="s">
        <v>10</v>
      </c>
      <c r="E10933" t="str">
        <f>"$ 298"</f>
        <v>$ 298</v>
      </c>
      <c r="F10933">
        <v>54</v>
      </c>
    </row>
    <row r="10934" spans="1:6">
      <c r="A10934" t="s">
        <v>10691</v>
      </c>
      <c r="B10934" t="str">
        <f t="shared" si="397"/>
        <v>0.00004%</v>
      </c>
      <c r="C10934" t="s">
        <v>10</v>
      </c>
      <c r="D10934" t="s">
        <v>10</v>
      </c>
      <c r="E10934" t="str">
        <f>"$ 325"</f>
        <v>$ 325</v>
      </c>
      <c r="F10934">
        <v>969</v>
      </c>
    </row>
    <row r="10935" spans="1:6">
      <c r="A10935" t="s">
        <v>9151</v>
      </c>
      <c r="B10935" t="str">
        <f t="shared" si="397"/>
        <v>0.00004%</v>
      </c>
      <c r="C10935" t="s">
        <v>10</v>
      </c>
      <c r="D10935" t="s">
        <v>10</v>
      </c>
      <c r="E10935" t="str">
        <f>"$ 329"</f>
        <v>$ 329</v>
      </c>
      <c r="F10935">
        <v>161</v>
      </c>
    </row>
    <row r="10936" spans="1:6">
      <c r="A10936" t="s">
        <v>4933</v>
      </c>
      <c r="B10936" t="str">
        <f t="shared" si="397"/>
        <v>0.00004%</v>
      </c>
      <c r="C10936" t="s">
        <v>10</v>
      </c>
      <c r="D10936" t="s">
        <v>10</v>
      </c>
      <c r="E10936" t="str">
        <f>"$ 316"</f>
        <v>$ 316</v>
      </c>
      <c r="F10936">
        <v>142</v>
      </c>
    </row>
    <row r="10937" spans="1:6">
      <c r="A10937" t="s">
        <v>10692</v>
      </c>
      <c r="B10937" t="str">
        <f t="shared" si="397"/>
        <v>0.00004%</v>
      </c>
      <c r="C10937" t="s">
        <v>10</v>
      </c>
      <c r="D10937" t="s">
        <v>10</v>
      </c>
      <c r="E10937" t="str">
        <f>"$ 284"</f>
        <v>$ 284</v>
      </c>
      <c r="F10937">
        <v>110</v>
      </c>
    </row>
    <row r="10938" spans="1:6">
      <c r="A10938" t="s">
        <v>10693</v>
      </c>
      <c r="B10938" t="str">
        <f t="shared" si="397"/>
        <v>0.00004%</v>
      </c>
      <c r="C10938" t="s">
        <v>10</v>
      </c>
      <c r="D10938" t="s">
        <v>10</v>
      </c>
      <c r="E10938" t="str">
        <f>"$ 298"</f>
        <v>$ 298</v>
      </c>
      <c r="F10938">
        <v>77</v>
      </c>
    </row>
    <row r="10939" spans="1:6">
      <c r="A10939" t="s">
        <v>10694</v>
      </c>
      <c r="B10939" t="str">
        <f t="shared" si="397"/>
        <v>0.00004%</v>
      </c>
      <c r="C10939" t="s">
        <v>10</v>
      </c>
      <c r="D10939" t="s">
        <v>10</v>
      </c>
      <c r="E10939" t="str">
        <f>"$ 303"</f>
        <v>$ 303</v>
      </c>
      <c r="F10939">
        <v>174</v>
      </c>
    </row>
    <row r="10940" spans="1:6">
      <c r="A10940" t="s">
        <v>10695</v>
      </c>
      <c r="B10940" t="str">
        <f t="shared" si="397"/>
        <v>0.00004%</v>
      </c>
      <c r="C10940" t="s">
        <v>10</v>
      </c>
      <c r="D10940" t="s">
        <v>10</v>
      </c>
      <c r="E10940" t="str">
        <f>"$ 276"</f>
        <v>$ 276</v>
      </c>
      <c r="F10940">
        <v>293</v>
      </c>
    </row>
    <row r="10941" spans="1:6">
      <c r="A10941" t="s">
        <v>10696</v>
      </c>
      <c r="B10941" t="str">
        <f t="shared" si="397"/>
        <v>0.00004%</v>
      </c>
      <c r="C10941" t="s">
        <v>10</v>
      </c>
      <c r="D10941" t="s">
        <v>10</v>
      </c>
      <c r="E10941" t="str">
        <f>"$ 271"</f>
        <v>$ 271</v>
      </c>
      <c r="F10941">
        <v>185</v>
      </c>
    </row>
    <row r="10942" spans="1:6">
      <c r="A10942" t="s">
        <v>9926</v>
      </c>
      <c r="B10942" t="str">
        <f t="shared" si="397"/>
        <v>0.00004%</v>
      </c>
      <c r="C10942" t="s">
        <v>10</v>
      </c>
      <c r="D10942" t="s">
        <v>10</v>
      </c>
      <c r="E10942" t="str">
        <f>"$ 317"</f>
        <v>$ 317</v>
      </c>
      <c r="F10942">
        <v>69</v>
      </c>
    </row>
    <row r="10943" spans="1:6">
      <c r="A10943" t="s">
        <v>10697</v>
      </c>
      <c r="B10943" t="str">
        <f t="shared" si="397"/>
        <v>0.00004%</v>
      </c>
      <c r="C10943" t="s">
        <v>10</v>
      </c>
      <c r="D10943" t="s">
        <v>10</v>
      </c>
      <c r="E10943" t="str">
        <f>"$ 315"</f>
        <v>$ 315</v>
      </c>
      <c r="F10943">
        <v>48</v>
      </c>
    </row>
    <row r="10944" spans="1:6">
      <c r="A10944" t="s">
        <v>10698</v>
      </c>
      <c r="B10944" t="str">
        <f t="shared" si="397"/>
        <v>0.00004%</v>
      </c>
      <c r="C10944" t="s">
        <v>10</v>
      </c>
      <c r="D10944" t="s">
        <v>10</v>
      </c>
      <c r="E10944" t="str">
        <f>"$ 318"</f>
        <v>$ 318</v>
      </c>
      <c r="F10944">
        <v>153</v>
      </c>
    </row>
    <row r="10945" spans="1:6">
      <c r="A10945" t="s">
        <v>10699</v>
      </c>
      <c r="B10945" t="str">
        <f t="shared" si="397"/>
        <v>0.00004%</v>
      </c>
      <c r="C10945" t="s">
        <v>10</v>
      </c>
      <c r="D10945" t="s">
        <v>10</v>
      </c>
      <c r="E10945" t="str">
        <f>"$ 340"</f>
        <v>$ 340</v>
      </c>
      <c r="F10945">
        <v>62</v>
      </c>
    </row>
    <row r="10946" spans="1:6">
      <c r="A10946" t="s">
        <v>9152</v>
      </c>
      <c r="B10946" t="str">
        <f t="shared" si="397"/>
        <v>0.00004%</v>
      </c>
      <c r="C10946" t="s">
        <v>10</v>
      </c>
      <c r="D10946" t="s">
        <v>10</v>
      </c>
      <c r="E10946" t="str">
        <f>"$ 279"</f>
        <v>$ 279</v>
      </c>
      <c r="F10946">
        <v>66</v>
      </c>
    </row>
    <row r="10947" spans="1:6">
      <c r="A10947" t="s">
        <v>10700</v>
      </c>
      <c r="B10947" t="str">
        <f t="shared" si="397"/>
        <v>0.00004%</v>
      </c>
      <c r="C10947" t="s">
        <v>10</v>
      </c>
      <c r="D10947" t="s">
        <v>10</v>
      </c>
      <c r="E10947" t="str">
        <f>"$ 317"</f>
        <v>$ 317</v>
      </c>
      <c r="F10947">
        <v>162</v>
      </c>
    </row>
    <row r="10948" spans="1:6">
      <c r="A10948" t="s">
        <v>9931</v>
      </c>
      <c r="B10948" t="str">
        <f t="shared" si="397"/>
        <v>0.00004%</v>
      </c>
      <c r="C10948" t="s">
        <v>10</v>
      </c>
      <c r="D10948" t="s">
        <v>10</v>
      </c>
      <c r="E10948" t="str">
        <f>"$ 328"</f>
        <v>$ 328</v>
      </c>
      <c r="F10948">
        <v>86</v>
      </c>
    </row>
    <row r="10949" spans="1:6">
      <c r="A10949" t="s">
        <v>10701</v>
      </c>
      <c r="B10949" t="str">
        <f t="shared" si="397"/>
        <v>0.00004%</v>
      </c>
      <c r="C10949" t="s">
        <v>10</v>
      </c>
      <c r="D10949" t="s">
        <v>10</v>
      </c>
      <c r="E10949" t="str">
        <f>"$ 332"</f>
        <v>$ 332</v>
      </c>
      <c r="F10949">
        <v>63</v>
      </c>
    </row>
    <row r="10950" spans="1:6">
      <c r="A10950" t="s">
        <v>10702</v>
      </c>
      <c r="B10950" t="str">
        <f t="shared" si="397"/>
        <v>0.00004%</v>
      </c>
      <c r="C10950" t="s">
        <v>10</v>
      </c>
      <c r="D10950" t="s">
        <v>10</v>
      </c>
      <c r="E10950" t="str">
        <f>"$ 316"</f>
        <v>$ 316</v>
      </c>
      <c r="F10950">
        <v>100</v>
      </c>
    </row>
    <row r="10951" spans="1:6">
      <c r="A10951" t="s">
        <v>9700</v>
      </c>
      <c r="B10951" t="str">
        <f t="shared" si="397"/>
        <v>0.00004%</v>
      </c>
      <c r="C10951" t="s">
        <v>10</v>
      </c>
      <c r="D10951" t="s">
        <v>10</v>
      </c>
      <c r="E10951" t="str">
        <f>"$ 272"</f>
        <v>$ 272</v>
      </c>
      <c r="F10951">
        <v>100</v>
      </c>
    </row>
    <row r="10952" spans="1:6">
      <c r="A10952" t="s">
        <v>10444</v>
      </c>
      <c r="B10952" t="str">
        <f t="shared" si="397"/>
        <v>0.00004%</v>
      </c>
      <c r="C10952" t="s">
        <v>10</v>
      </c>
      <c r="D10952" t="s">
        <v>10</v>
      </c>
      <c r="E10952" t="str">
        <f>"$ 303"</f>
        <v>$ 303</v>
      </c>
      <c r="F10952">
        <v>360</v>
      </c>
    </row>
    <row r="10953" spans="1:6">
      <c r="A10953" t="s">
        <v>10703</v>
      </c>
      <c r="B10953" t="str">
        <f t="shared" si="397"/>
        <v>0.00004%</v>
      </c>
      <c r="C10953" t="s">
        <v>10</v>
      </c>
      <c r="D10953" t="s">
        <v>10</v>
      </c>
      <c r="E10953" t="str">
        <f>"$ 297"</f>
        <v>$ 297</v>
      </c>
      <c r="F10953">
        <v>114</v>
      </c>
    </row>
    <row r="10954" spans="1:6">
      <c r="A10954" t="s">
        <v>10704</v>
      </c>
      <c r="B10954" t="str">
        <f t="shared" si="397"/>
        <v>0.00004%</v>
      </c>
      <c r="C10954" t="s">
        <v>10</v>
      </c>
      <c r="D10954" t="s">
        <v>10</v>
      </c>
      <c r="E10954" t="str">
        <f>"$ 303"</f>
        <v>$ 303</v>
      </c>
      <c r="F10954">
        <v>19</v>
      </c>
    </row>
    <row r="10955" spans="1:6">
      <c r="A10955" t="s">
        <v>10705</v>
      </c>
      <c r="B10955" t="str">
        <f t="shared" si="397"/>
        <v>0.00004%</v>
      </c>
      <c r="C10955" t="s">
        <v>10</v>
      </c>
      <c r="D10955" t="s">
        <v>10</v>
      </c>
      <c r="E10955" t="str">
        <f>"$ 280"</f>
        <v>$ 280</v>
      </c>
      <c r="F10955">
        <v>71</v>
      </c>
    </row>
    <row r="10956" spans="1:6">
      <c r="A10956" t="s">
        <v>10706</v>
      </c>
      <c r="B10956" t="str">
        <f t="shared" si="397"/>
        <v>0.00004%</v>
      </c>
      <c r="C10956" t="s">
        <v>10</v>
      </c>
      <c r="D10956" t="s">
        <v>10</v>
      </c>
      <c r="E10956" t="str">
        <f>"$ 318"</f>
        <v>$ 318</v>
      </c>
      <c r="F10956">
        <v>114</v>
      </c>
    </row>
    <row r="10957" spans="1:6">
      <c r="A10957" t="s">
        <v>10707</v>
      </c>
      <c r="B10957" t="str">
        <f t="shared" si="397"/>
        <v>0.00004%</v>
      </c>
      <c r="C10957" t="s">
        <v>10</v>
      </c>
      <c r="D10957" t="s">
        <v>10</v>
      </c>
      <c r="E10957" t="str">
        <f>"$ 332"</f>
        <v>$ 332</v>
      </c>
      <c r="F10957" s="1">
        <v>3876</v>
      </c>
    </row>
    <row r="10958" spans="1:6">
      <c r="A10958" t="s">
        <v>10708</v>
      </c>
      <c r="B10958" t="str">
        <f t="shared" si="397"/>
        <v>0.00004%</v>
      </c>
      <c r="C10958" t="s">
        <v>10</v>
      </c>
      <c r="D10958" t="s">
        <v>10</v>
      </c>
      <c r="E10958" t="str">
        <f>"$ 313"</f>
        <v>$ 313</v>
      </c>
      <c r="F10958">
        <v>214</v>
      </c>
    </row>
    <row r="10959" spans="1:6">
      <c r="A10959" t="s">
        <v>10709</v>
      </c>
      <c r="B10959" t="str">
        <f t="shared" si="397"/>
        <v>0.00004%</v>
      </c>
      <c r="C10959" t="s">
        <v>10</v>
      </c>
      <c r="D10959" t="s">
        <v>10</v>
      </c>
      <c r="E10959" t="str">
        <f>"$ 323"</f>
        <v>$ 323</v>
      </c>
      <c r="F10959">
        <v>103</v>
      </c>
    </row>
    <row r="10960" spans="1:6">
      <c r="A10960" t="s">
        <v>10710</v>
      </c>
      <c r="B10960" t="str">
        <f t="shared" si="397"/>
        <v>0.00004%</v>
      </c>
      <c r="C10960" t="s">
        <v>10</v>
      </c>
      <c r="D10960" t="s">
        <v>10</v>
      </c>
      <c r="E10960" t="str">
        <f>"$ 344"</f>
        <v>$ 344</v>
      </c>
      <c r="F10960">
        <v>40</v>
      </c>
    </row>
    <row r="10961" spans="1:6">
      <c r="A10961" t="s">
        <v>8977</v>
      </c>
      <c r="B10961" t="str">
        <f t="shared" si="397"/>
        <v>0.00004%</v>
      </c>
      <c r="C10961" t="s">
        <v>10</v>
      </c>
      <c r="D10961" t="s">
        <v>10</v>
      </c>
      <c r="E10961" t="str">
        <f>"$ 342"</f>
        <v>$ 342</v>
      </c>
      <c r="F10961">
        <v>42</v>
      </c>
    </row>
    <row r="10962" spans="1:6">
      <c r="A10962" t="s">
        <v>10711</v>
      </c>
      <c r="B10962" t="str">
        <f t="shared" si="397"/>
        <v>0.00004%</v>
      </c>
      <c r="C10962" t="s">
        <v>10</v>
      </c>
      <c r="D10962" t="s">
        <v>10</v>
      </c>
      <c r="E10962" t="str">
        <f>"$ 272"</f>
        <v>$ 272</v>
      </c>
      <c r="F10962">
        <v>41</v>
      </c>
    </row>
    <row r="10963" spans="1:6">
      <c r="A10963" t="s">
        <v>10712</v>
      </c>
      <c r="B10963" t="str">
        <f t="shared" si="397"/>
        <v>0.00004%</v>
      </c>
      <c r="C10963" t="s">
        <v>10</v>
      </c>
      <c r="D10963" t="s">
        <v>10</v>
      </c>
      <c r="E10963" t="str">
        <f>"$ 277"</f>
        <v>$ 277</v>
      </c>
      <c r="F10963">
        <v>164</v>
      </c>
    </row>
    <row r="10964" spans="1:6">
      <c r="A10964" t="s">
        <v>10713</v>
      </c>
      <c r="B10964" t="str">
        <f t="shared" si="397"/>
        <v>0.00004%</v>
      </c>
      <c r="C10964" t="s">
        <v>10</v>
      </c>
      <c r="D10964" t="s">
        <v>10</v>
      </c>
      <c r="E10964" t="str">
        <f>"$ 343"</f>
        <v>$ 343</v>
      </c>
      <c r="F10964">
        <v>128</v>
      </c>
    </row>
    <row r="10965" spans="1:6">
      <c r="A10965" t="s">
        <v>10714</v>
      </c>
      <c r="B10965" t="str">
        <f t="shared" si="397"/>
        <v>0.00004%</v>
      </c>
      <c r="C10965" t="s">
        <v>10</v>
      </c>
      <c r="D10965" t="s">
        <v>10</v>
      </c>
      <c r="E10965" t="str">
        <f>"$ 311"</f>
        <v>$ 311</v>
      </c>
      <c r="F10965">
        <v>41</v>
      </c>
    </row>
    <row r="10966" spans="1:6">
      <c r="A10966" t="s">
        <v>10715</v>
      </c>
      <c r="B10966" t="str">
        <f t="shared" si="397"/>
        <v>0.00004%</v>
      </c>
      <c r="C10966" t="s">
        <v>10</v>
      </c>
      <c r="D10966" t="s">
        <v>10</v>
      </c>
      <c r="E10966" t="str">
        <f>"$ 321"</f>
        <v>$ 321</v>
      </c>
      <c r="F10966">
        <v>196</v>
      </c>
    </row>
    <row r="10967" spans="1:6">
      <c r="A10967" t="s">
        <v>10716</v>
      </c>
      <c r="B10967" t="str">
        <f t="shared" si="397"/>
        <v>0.00004%</v>
      </c>
      <c r="C10967" t="s">
        <v>10</v>
      </c>
      <c r="D10967" t="s">
        <v>10</v>
      </c>
      <c r="E10967" t="str">
        <f>"$ 320"</f>
        <v>$ 320</v>
      </c>
      <c r="F10967">
        <v>43</v>
      </c>
    </row>
    <row r="10968" spans="1:6">
      <c r="A10968" t="s">
        <v>10717</v>
      </c>
      <c r="B10968" t="str">
        <f t="shared" si="397"/>
        <v>0.00004%</v>
      </c>
      <c r="C10968" t="s">
        <v>10</v>
      </c>
      <c r="D10968" t="s">
        <v>10</v>
      </c>
      <c r="E10968" t="str">
        <f>"$ 278"</f>
        <v>$ 278</v>
      </c>
      <c r="F10968">
        <v>114</v>
      </c>
    </row>
    <row r="10969" spans="1:6">
      <c r="A10969" t="s">
        <v>10718</v>
      </c>
      <c r="B10969" t="str">
        <f t="shared" si="397"/>
        <v>0.00004%</v>
      </c>
      <c r="C10969" t="s">
        <v>10</v>
      </c>
      <c r="D10969" t="s">
        <v>10</v>
      </c>
      <c r="E10969" t="str">
        <f>"$ 285"</f>
        <v>$ 285</v>
      </c>
      <c r="F10969">
        <v>345</v>
      </c>
    </row>
    <row r="10970" spans="1:6">
      <c r="A10970" t="s">
        <v>10719</v>
      </c>
      <c r="B10970" t="str">
        <f t="shared" si="397"/>
        <v>0.00004%</v>
      </c>
      <c r="C10970" t="s">
        <v>10</v>
      </c>
      <c r="D10970" t="s">
        <v>10</v>
      </c>
      <c r="E10970" t="str">
        <f>"$ 296"</f>
        <v>$ 296</v>
      </c>
      <c r="F10970">
        <v>186</v>
      </c>
    </row>
    <row r="10971" spans="1:6">
      <c r="A10971" t="s">
        <v>10720</v>
      </c>
      <c r="B10971" t="str">
        <f t="shared" si="397"/>
        <v>0.00004%</v>
      </c>
      <c r="C10971" t="s">
        <v>10</v>
      </c>
      <c r="D10971" t="s">
        <v>10</v>
      </c>
      <c r="E10971" t="str">
        <f>"$ 274"</f>
        <v>$ 274</v>
      </c>
      <c r="F10971">
        <v>44</v>
      </c>
    </row>
    <row r="10972" spans="1:6">
      <c r="A10972" t="s">
        <v>10721</v>
      </c>
      <c r="B10972" t="str">
        <f t="shared" ref="B10972:B11035" si="398">"0.00003%"</f>
        <v>0.00003%</v>
      </c>
      <c r="C10972" t="s">
        <v>10</v>
      </c>
      <c r="D10972" t="s">
        <v>10</v>
      </c>
      <c r="E10972" t="str">
        <f>"$ 194"</f>
        <v>$ 194</v>
      </c>
      <c r="F10972">
        <v>98</v>
      </c>
    </row>
    <row r="10973" spans="1:6">
      <c r="A10973" t="s">
        <v>10722</v>
      </c>
      <c r="B10973" t="str">
        <f t="shared" si="398"/>
        <v>0.00003%</v>
      </c>
      <c r="C10973" t="s">
        <v>10</v>
      </c>
      <c r="D10973" t="s">
        <v>10</v>
      </c>
      <c r="E10973" t="str">
        <f>"$ 225"</f>
        <v>$ 225</v>
      </c>
      <c r="F10973">
        <v>129</v>
      </c>
    </row>
    <row r="10974" spans="1:6">
      <c r="A10974" t="s">
        <v>10723</v>
      </c>
      <c r="B10974" t="str">
        <f t="shared" si="398"/>
        <v>0.00003%</v>
      </c>
      <c r="C10974" t="s">
        <v>10</v>
      </c>
      <c r="D10974" t="s">
        <v>10</v>
      </c>
      <c r="E10974" t="str">
        <f>"$ 256"</f>
        <v>$ 256</v>
      </c>
      <c r="F10974">
        <v>46</v>
      </c>
    </row>
    <row r="10975" spans="1:6">
      <c r="A10975" t="s">
        <v>10724</v>
      </c>
      <c r="B10975" t="str">
        <f t="shared" si="398"/>
        <v>0.00003%</v>
      </c>
      <c r="C10975" t="s">
        <v>10</v>
      </c>
      <c r="D10975" t="s">
        <v>10</v>
      </c>
      <c r="E10975" t="str">
        <f>"$ 201"</f>
        <v>$ 201</v>
      </c>
      <c r="F10975">
        <v>131</v>
      </c>
    </row>
    <row r="10976" spans="1:6">
      <c r="A10976" t="s">
        <v>10725</v>
      </c>
      <c r="B10976" t="str">
        <f t="shared" si="398"/>
        <v>0.00003%</v>
      </c>
      <c r="C10976" t="s">
        <v>10</v>
      </c>
      <c r="D10976" t="s">
        <v>10</v>
      </c>
      <c r="E10976" t="str">
        <f>"$ 229"</f>
        <v>$ 229</v>
      </c>
      <c r="F10976">
        <v>653</v>
      </c>
    </row>
    <row r="10977" spans="1:6">
      <c r="A10977" t="s">
        <v>10726</v>
      </c>
      <c r="B10977" t="str">
        <f t="shared" si="398"/>
        <v>0.00003%</v>
      </c>
      <c r="C10977" t="s">
        <v>10</v>
      </c>
      <c r="D10977" t="s">
        <v>10</v>
      </c>
      <c r="E10977" t="str">
        <f>"$ 237"</f>
        <v>$ 237</v>
      </c>
      <c r="F10977" s="1">
        <v>1372</v>
      </c>
    </row>
    <row r="10978" spans="1:6">
      <c r="A10978" t="s">
        <v>10727</v>
      </c>
      <c r="B10978" t="str">
        <f t="shared" si="398"/>
        <v>0.00003%</v>
      </c>
      <c r="C10978" t="s">
        <v>10</v>
      </c>
      <c r="D10978" t="s">
        <v>10</v>
      </c>
      <c r="E10978" t="str">
        <f>"$ 258"</f>
        <v>$ 258</v>
      </c>
      <c r="F10978">
        <v>76</v>
      </c>
    </row>
    <row r="10979" spans="1:6">
      <c r="A10979" t="s">
        <v>10728</v>
      </c>
      <c r="B10979" t="str">
        <f t="shared" si="398"/>
        <v>0.00003%</v>
      </c>
      <c r="C10979" t="s">
        <v>10</v>
      </c>
      <c r="D10979" t="s">
        <v>10</v>
      </c>
      <c r="E10979" t="str">
        <f>"$ 263"</f>
        <v>$ 263</v>
      </c>
      <c r="F10979">
        <v>286</v>
      </c>
    </row>
    <row r="10980" spans="1:6">
      <c r="A10980" t="s">
        <v>10469</v>
      </c>
      <c r="B10980" t="str">
        <f t="shared" si="398"/>
        <v>0.00003%</v>
      </c>
      <c r="C10980" t="s">
        <v>10</v>
      </c>
      <c r="D10980" t="s">
        <v>10</v>
      </c>
      <c r="E10980" t="str">
        <f>"$ 208"</f>
        <v>$ 208</v>
      </c>
      <c r="F10980">
        <v>159</v>
      </c>
    </row>
    <row r="10981" spans="1:6">
      <c r="A10981" t="s">
        <v>8995</v>
      </c>
      <c r="B10981" t="str">
        <f t="shared" si="398"/>
        <v>0.00003%</v>
      </c>
      <c r="C10981" t="s">
        <v>10</v>
      </c>
      <c r="D10981" t="s">
        <v>10</v>
      </c>
      <c r="E10981" t="str">
        <f>"$ 206"</f>
        <v>$ 206</v>
      </c>
      <c r="F10981">
        <v>545</v>
      </c>
    </row>
    <row r="10982" spans="1:6">
      <c r="A10982" t="s">
        <v>10729</v>
      </c>
      <c r="B10982" t="str">
        <f t="shared" si="398"/>
        <v>0.00003%</v>
      </c>
      <c r="C10982" t="s">
        <v>10</v>
      </c>
      <c r="D10982" t="s">
        <v>10</v>
      </c>
      <c r="E10982" t="str">
        <f>"$ 193"</f>
        <v>$ 193</v>
      </c>
      <c r="F10982">
        <v>151</v>
      </c>
    </row>
    <row r="10983" spans="1:6">
      <c r="A10983" t="s">
        <v>10730</v>
      </c>
      <c r="B10983" t="str">
        <f t="shared" si="398"/>
        <v>0.00003%</v>
      </c>
      <c r="C10983" t="s">
        <v>10</v>
      </c>
      <c r="D10983" t="s">
        <v>10</v>
      </c>
      <c r="E10983" t="str">
        <f>"$ 263"</f>
        <v>$ 263</v>
      </c>
      <c r="F10983">
        <v>127</v>
      </c>
    </row>
    <row r="10984" spans="1:6">
      <c r="A10984" t="s">
        <v>10731</v>
      </c>
      <c r="B10984" t="str">
        <f t="shared" si="398"/>
        <v>0.00003%</v>
      </c>
      <c r="C10984" t="s">
        <v>10</v>
      </c>
      <c r="D10984" t="s">
        <v>10</v>
      </c>
      <c r="E10984" t="str">
        <f>"$ 250"</f>
        <v>$ 250</v>
      </c>
      <c r="F10984">
        <v>260</v>
      </c>
    </row>
    <row r="10985" spans="1:6">
      <c r="A10985" t="s">
        <v>10732</v>
      </c>
      <c r="B10985" t="str">
        <f t="shared" si="398"/>
        <v>0.00003%</v>
      </c>
      <c r="C10985" t="s">
        <v>10</v>
      </c>
      <c r="D10985" t="s">
        <v>10</v>
      </c>
      <c r="E10985" t="str">
        <f>"$ 256"</f>
        <v>$ 256</v>
      </c>
      <c r="F10985">
        <v>955</v>
      </c>
    </row>
    <row r="10986" spans="1:6">
      <c r="A10986" t="s">
        <v>10733</v>
      </c>
      <c r="B10986" t="str">
        <f t="shared" si="398"/>
        <v>0.00003%</v>
      </c>
      <c r="C10986" t="s">
        <v>10</v>
      </c>
      <c r="D10986" t="s">
        <v>10</v>
      </c>
      <c r="E10986" t="str">
        <f>"$ 268"</f>
        <v>$ 268</v>
      </c>
      <c r="F10986">
        <v>98</v>
      </c>
    </row>
    <row r="10987" spans="1:6">
      <c r="A10987" t="s">
        <v>10734</v>
      </c>
      <c r="B10987" t="str">
        <f t="shared" si="398"/>
        <v>0.00003%</v>
      </c>
      <c r="C10987" t="s">
        <v>10</v>
      </c>
      <c r="D10987" t="s">
        <v>10</v>
      </c>
      <c r="E10987" t="str">
        <f>"$ 269"</f>
        <v>$ 269</v>
      </c>
      <c r="F10987">
        <v>212</v>
      </c>
    </row>
    <row r="10988" spans="1:6">
      <c r="A10988" t="s">
        <v>10735</v>
      </c>
      <c r="B10988" t="str">
        <f t="shared" si="398"/>
        <v>0.00003%</v>
      </c>
      <c r="C10988" t="s">
        <v>10</v>
      </c>
      <c r="D10988" t="s">
        <v>10</v>
      </c>
      <c r="E10988" t="str">
        <f>"$ 269"</f>
        <v>$ 269</v>
      </c>
      <c r="F10988">
        <v>123</v>
      </c>
    </row>
    <row r="10989" spans="1:6">
      <c r="A10989" t="s">
        <v>9964</v>
      </c>
      <c r="B10989" t="str">
        <f t="shared" si="398"/>
        <v>0.00003%</v>
      </c>
      <c r="C10989" t="s">
        <v>10</v>
      </c>
      <c r="D10989" t="s">
        <v>10</v>
      </c>
      <c r="E10989" t="str">
        <f>"$ 238"</f>
        <v>$ 238</v>
      </c>
      <c r="F10989">
        <v>151</v>
      </c>
    </row>
    <row r="10990" spans="1:6">
      <c r="A10990" t="s">
        <v>10736</v>
      </c>
      <c r="B10990" t="str">
        <f t="shared" si="398"/>
        <v>0.00003%</v>
      </c>
      <c r="C10990" t="s">
        <v>10</v>
      </c>
      <c r="D10990" t="s">
        <v>10</v>
      </c>
      <c r="E10990" t="str">
        <f>"$ 232"</f>
        <v>$ 232</v>
      </c>
      <c r="F10990">
        <v>205</v>
      </c>
    </row>
    <row r="10991" spans="1:6">
      <c r="A10991" t="s">
        <v>10480</v>
      </c>
      <c r="B10991" t="str">
        <f t="shared" si="398"/>
        <v>0.00003%</v>
      </c>
      <c r="C10991" t="s">
        <v>10</v>
      </c>
      <c r="D10991" t="s">
        <v>10</v>
      </c>
      <c r="E10991" t="str">
        <f>"$ 225"</f>
        <v>$ 225</v>
      </c>
      <c r="F10991">
        <v>217</v>
      </c>
    </row>
    <row r="10992" spans="1:6">
      <c r="A10992" t="s">
        <v>10737</v>
      </c>
      <c r="B10992" t="str">
        <f t="shared" si="398"/>
        <v>0.00003%</v>
      </c>
      <c r="C10992" t="s">
        <v>10</v>
      </c>
      <c r="D10992" t="s">
        <v>10</v>
      </c>
      <c r="E10992" t="str">
        <f>"$ 235"</f>
        <v>$ 235</v>
      </c>
      <c r="F10992">
        <v>47</v>
      </c>
    </row>
    <row r="10993" spans="1:6">
      <c r="A10993" t="s">
        <v>10216</v>
      </c>
      <c r="B10993" t="str">
        <f t="shared" si="398"/>
        <v>0.00003%</v>
      </c>
      <c r="C10993" t="s">
        <v>10</v>
      </c>
      <c r="D10993" t="s">
        <v>10</v>
      </c>
      <c r="E10993" t="str">
        <f>"$ 222"</f>
        <v>$ 222</v>
      </c>
      <c r="F10993">
        <v>53</v>
      </c>
    </row>
    <row r="10994" spans="1:6">
      <c r="A10994" t="s">
        <v>10738</v>
      </c>
      <c r="B10994" t="str">
        <f t="shared" si="398"/>
        <v>0.00003%</v>
      </c>
      <c r="C10994" t="s">
        <v>10</v>
      </c>
      <c r="D10994" t="s">
        <v>10</v>
      </c>
      <c r="E10994" t="str">
        <f>"$ 238"</f>
        <v>$ 238</v>
      </c>
      <c r="F10994">
        <v>231</v>
      </c>
    </row>
    <row r="10995" spans="1:6">
      <c r="A10995" t="s">
        <v>10739</v>
      </c>
      <c r="B10995" t="str">
        <f t="shared" si="398"/>
        <v>0.00003%</v>
      </c>
      <c r="C10995" t="s">
        <v>10</v>
      </c>
      <c r="D10995" t="s">
        <v>10</v>
      </c>
      <c r="E10995" t="str">
        <f>"$ 240"</f>
        <v>$ 240</v>
      </c>
      <c r="F10995">
        <v>215</v>
      </c>
    </row>
    <row r="10996" spans="1:6">
      <c r="A10996" t="s">
        <v>10740</v>
      </c>
      <c r="B10996" t="str">
        <f t="shared" si="398"/>
        <v>0.00003%</v>
      </c>
      <c r="C10996" t="s">
        <v>10</v>
      </c>
      <c r="D10996" t="s">
        <v>10</v>
      </c>
      <c r="E10996" t="str">
        <f>"$ 245"</f>
        <v>$ 245</v>
      </c>
      <c r="F10996">
        <v>214</v>
      </c>
    </row>
    <row r="10997" spans="1:6">
      <c r="A10997" t="s">
        <v>10741</v>
      </c>
      <c r="B10997" t="str">
        <f t="shared" si="398"/>
        <v>0.00003%</v>
      </c>
      <c r="C10997" t="s">
        <v>10</v>
      </c>
      <c r="D10997" t="s">
        <v>10</v>
      </c>
      <c r="E10997" t="str">
        <f>"$ 245"</f>
        <v>$ 245</v>
      </c>
      <c r="F10997">
        <v>140</v>
      </c>
    </row>
    <row r="10998" spans="1:6">
      <c r="A10998" t="s">
        <v>10742</v>
      </c>
      <c r="B10998" t="str">
        <f t="shared" si="398"/>
        <v>0.00003%</v>
      </c>
      <c r="C10998" t="s">
        <v>10</v>
      </c>
      <c r="D10998" t="s">
        <v>10</v>
      </c>
      <c r="E10998" t="str">
        <f>"$ 199"</f>
        <v>$ 199</v>
      </c>
      <c r="F10998">
        <v>197</v>
      </c>
    </row>
    <row r="10999" spans="1:6">
      <c r="A10999" t="s">
        <v>10743</v>
      </c>
      <c r="B10999" t="str">
        <f t="shared" si="398"/>
        <v>0.00003%</v>
      </c>
      <c r="C10999" t="s">
        <v>10</v>
      </c>
      <c r="D10999" t="s">
        <v>10</v>
      </c>
      <c r="E10999" t="str">
        <f>"$ 253"</f>
        <v>$ 253</v>
      </c>
      <c r="F10999">
        <v>278</v>
      </c>
    </row>
    <row r="11000" spans="1:6">
      <c r="A11000" t="s">
        <v>9970</v>
      </c>
      <c r="B11000" t="str">
        <f t="shared" si="398"/>
        <v>0.00003%</v>
      </c>
      <c r="C11000" t="s">
        <v>10</v>
      </c>
      <c r="D11000" t="s">
        <v>10</v>
      </c>
      <c r="E11000" t="str">
        <f>"$ 268"</f>
        <v>$ 268</v>
      </c>
      <c r="F11000">
        <v>224</v>
      </c>
    </row>
    <row r="11001" spans="1:6">
      <c r="A11001" t="s">
        <v>10229</v>
      </c>
      <c r="B11001" t="str">
        <f t="shared" si="398"/>
        <v>0.00003%</v>
      </c>
      <c r="C11001" t="s">
        <v>10</v>
      </c>
      <c r="D11001" t="s">
        <v>10</v>
      </c>
      <c r="E11001" t="str">
        <f>"$ 210"</f>
        <v>$ 210</v>
      </c>
      <c r="F11001">
        <v>94</v>
      </c>
    </row>
    <row r="11002" spans="1:6">
      <c r="A11002" t="s">
        <v>9971</v>
      </c>
      <c r="B11002" t="str">
        <f t="shared" si="398"/>
        <v>0.00003%</v>
      </c>
      <c r="C11002" t="s">
        <v>10</v>
      </c>
      <c r="D11002" t="s">
        <v>10</v>
      </c>
      <c r="E11002" t="str">
        <f>"$ 242"</f>
        <v>$ 242</v>
      </c>
      <c r="F11002">
        <v>183</v>
      </c>
    </row>
    <row r="11003" spans="1:6">
      <c r="A11003" t="s">
        <v>10744</v>
      </c>
      <c r="B11003" t="str">
        <f t="shared" si="398"/>
        <v>0.00003%</v>
      </c>
      <c r="C11003" t="s">
        <v>10</v>
      </c>
      <c r="D11003" t="s">
        <v>10</v>
      </c>
      <c r="E11003" t="str">
        <f>"$ 219"</f>
        <v>$ 219</v>
      </c>
      <c r="F11003">
        <v>220</v>
      </c>
    </row>
    <row r="11004" spans="1:6">
      <c r="A11004" t="s">
        <v>10745</v>
      </c>
      <c r="B11004" t="str">
        <f t="shared" si="398"/>
        <v>0.00003%</v>
      </c>
      <c r="C11004" t="s">
        <v>10</v>
      </c>
      <c r="D11004" t="s">
        <v>10</v>
      </c>
      <c r="E11004" t="str">
        <f>"$ 231"</f>
        <v>$ 231</v>
      </c>
      <c r="F11004">
        <v>259</v>
      </c>
    </row>
    <row r="11005" spans="1:6">
      <c r="A11005" t="s">
        <v>10746</v>
      </c>
      <c r="B11005" t="str">
        <f t="shared" si="398"/>
        <v>0.00003%</v>
      </c>
      <c r="C11005" t="s">
        <v>10</v>
      </c>
      <c r="D11005" t="s">
        <v>10</v>
      </c>
      <c r="E11005" t="str">
        <f>"$ 237"</f>
        <v>$ 237</v>
      </c>
      <c r="F11005">
        <v>344</v>
      </c>
    </row>
    <row r="11006" spans="1:6">
      <c r="A11006" t="s">
        <v>10747</v>
      </c>
      <c r="B11006" t="str">
        <f t="shared" si="398"/>
        <v>0.00003%</v>
      </c>
      <c r="C11006" t="s">
        <v>10</v>
      </c>
      <c r="D11006" t="s">
        <v>10</v>
      </c>
      <c r="E11006" t="str">
        <f>"$ 242"</f>
        <v>$ 242</v>
      </c>
      <c r="F11006">
        <v>164</v>
      </c>
    </row>
    <row r="11007" spans="1:6">
      <c r="A11007" t="s">
        <v>10748</v>
      </c>
      <c r="B11007" t="str">
        <f t="shared" si="398"/>
        <v>0.00003%</v>
      </c>
      <c r="C11007" t="s">
        <v>10</v>
      </c>
      <c r="D11007" t="s">
        <v>10</v>
      </c>
      <c r="E11007" t="str">
        <f>"$ 222"</f>
        <v>$ 222</v>
      </c>
      <c r="F11007">
        <v>219</v>
      </c>
    </row>
    <row r="11008" spans="1:6">
      <c r="A11008" t="s">
        <v>9752</v>
      </c>
      <c r="B11008" t="str">
        <f t="shared" si="398"/>
        <v>0.00003%</v>
      </c>
      <c r="C11008" t="s">
        <v>10</v>
      </c>
      <c r="D11008" t="s">
        <v>10</v>
      </c>
      <c r="E11008" t="str">
        <f>"$ 250"</f>
        <v>$ 250</v>
      </c>
      <c r="F11008">
        <v>164</v>
      </c>
    </row>
    <row r="11009" spans="1:6">
      <c r="A11009" t="s">
        <v>10749</v>
      </c>
      <c r="B11009" t="str">
        <f t="shared" si="398"/>
        <v>0.00003%</v>
      </c>
      <c r="C11009" t="s">
        <v>10</v>
      </c>
      <c r="D11009" t="s">
        <v>10</v>
      </c>
      <c r="E11009" t="str">
        <f>"$ 243"</f>
        <v>$ 243</v>
      </c>
      <c r="F11009">
        <v>330</v>
      </c>
    </row>
    <row r="11010" spans="1:6">
      <c r="A11010" t="s">
        <v>10750</v>
      </c>
      <c r="B11010" t="str">
        <f t="shared" si="398"/>
        <v>0.00003%</v>
      </c>
      <c r="C11010" t="s">
        <v>10</v>
      </c>
      <c r="D11010" t="s">
        <v>10</v>
      </c>
      <c r="E11010" t="str">
        <f>"$ 220"</f>
        <v>$ 220</v>
      </c>
      <c r="F11010">
        <v>90</v>
      </c>
    </row>
    <row r="11011" spans="1:6">
      <c r="A11011" t="s">
        <v>10751</v>
      </c>
      <c r="B11011" t="str">
        <f t="shared" si="398"/>
        <v>0.00003%</v>
      </c>
      <c r="C11011" t="s">
        <v>10</v>
      </c>
      <c r="D11011" t="s">
        <v>10</v>
      </c>
      <c r="E11011" t="str">
        <f>"$ 194"</f>
        <v>$ 194</v>
      </c>
      <c r="F11011">
        <v>141</v>
      </c>
    </row>
    <row r="11012" spans="1:6">
      <c r="A11012" t="s">
        <v>10752</v>
      </c>
      <c r="B11012" t="str">
        <f t="shared" si="398"/>
        <v>0.00003%</v>
      </c>
      <c r="C11012" t="s">
        <v>10</v>
      </c>
      <c r="D11012" t="s">
        <v>10</v>
      </c>
      <c r="E11012" t="str">
        <f>"$ 262"</f>
        <v>$ 262</v>
      </c>
      <c r="F11012">
        <v>263</v>
      </c>
    </row>
    <row r="11013" spans="1:6">
      <c r="A11013" t="s">
        <v>10753</v>
      </c>
      <c r="B11013" t="str">
        <f t="shared" si="398"/>
        <v>0.00003%</v>
      </c>
      <c r="C11013" t="s">
        <v>10</v>
      </c>
      <c r="D11013" t="s">
        <v>10</v>
      </c>
      <c r="E11013" t="str">
        <f>"$ 227"</f>
        <v>$ 227</v>
      </c>
      <c r="F11013">
        <v>246</v>
      </c>
    </row>
    <row r="11014" spans="1:6">
      <c r="A11014" t="s">
        <v>10754</v>
      </c>
      <c r="B11014" t="str">
        <f t="shared" si="398"/>
        <v>0.00003%</v>
      </c>
      <c r="C11014" t="s">
        <v>10</v>
      </c>
      <c r="D11014" t="s">
        <v>10</v>
      </c>
      <c r="E11014" t="str">
        <f>"$ 258"</f>
        <v>$ 258</v>
      </c>
      <c r="F11014">
        <v>311</v>
      </c>
    </row>
    <row r="11015" spans="1:6">
      <c r="A11015" t="s">
        <v>10755</v>
      </c>
      <c r="B11015" t="str">
        <f t="shared" si="398"/>
        <v>0.00003%</v>
      </c>
      <c r="C11015" t="s">
        <v>10</v>
      </c>
      <c r="D11015" t="s">
        <v>10</v>
      </c>
      <c r="E11015" t="str">
        <f>"$ 256"</f>
        <v>$ 256</v>
      </c>
      <c r="F11015">
        <v>148</v>
      </c>
    </row>
    <row r="11016" spans="1:6">
      <c r="A11016" t="s">
        <v>10756</v>
      </c>
      <c r="B11016" t="str">
        <f t="shared" si="398"/>
        <v>0.00003%</v>
      </c>
      <c r="C11016" t="s">
        <v>10</v>
      </c>
      <c r="D11016" t="s">
        <v>10</v>
      </c>
      <c r="E11016" t="str">
        <f>"$ 230"</f>
        <v>$ 230</v>
      </c>
      <c r="F11016">
        <v>134</v>
      </c>
    </row>
    <row r="11017" spans="1:6">
      <c r="A11017" t="s">
        <v>10757</v>
      </c>
      <c r="B11017" t="str">
        <f t="shared" si="398"/>
        <v>0.00003%</v>
      </c>
      <c r="C11017" t="s">
        <v>10</v>
      </c>
      <c r="D11017" t="s">
        <v>10</v>
      </c>
      <c r="E11017" t="str">
        <f>"$ 195"</f>
        <v>$ 195</v>
      </c>
      <c r="F11017">
        <v>176</v>
      </c>
    </row>
    <row r="11018" spans="1:6">
      <c r="A11018" t="s">
        <v>10758</v>
      </c>
      <c r="B11018" t="str">
        <f t="shared" si="398"/>
        <v>0.00003%</v>
      </c>
      <c r="C11018" t="s">
        <v>10</v>
      </c>
      <c r="D11018" t="s">
        <v>10</v>
      </c>
      <c r="E11018" t="str">
        <f>"$ 260"</f>
        <v>$ 260</v>
      </c>
      <c r="F11018">
        <v>270</v>
      </c>
    </row>
    <row r="11019" spans="1:6">
      <c r="A11019" t="s">
        <v>10759</v>
      </c>
      <c r="B11019" t="str">
        <f t="shared" si="398"/>
        <v>0.00003%</v>
      </c>
      <c r="C11019" t="s">
        <v>10</v>
      </c>
      <c r="D11019" t="s">
        <v>10</v>
      </c>
      <c r="E11019" t="str">
        <f>"$ 264"</f>
        <v>$ 264</v>
      </c>
      <c r="F11019">
        <v>48</v>
      </c>
    </row>
    <row r="11020" spans="1:6">
      <c r="A11020" t="s">
        <v>10760</v>
      </c>
      <c r="B11020" t="str">
        <f t="shared" si="398"/>
        <v>0.00003%</v>
      </c>
      <c r="C11020" t="s">
        <v>10</v>
      </c>
      <c r="D11020" t="s">
        <v>10</v>
      </c>
      <c r="E11020" t="str">
        <f>"$ 265"</f>
        <v>$ 265</v>
      </c>
      <c r="F11020">
        <v>30</v>
      </c>
    </row>
    <row r="11021" spans="1:6">
      <c r="A11021" t="s">
        <v>10761</v>
      </c>
      <c r="B11021" t="str">
        <f t="shared" si="398"/>
        <v>0.00003%</v>
      </c>
      <c r="C11021" t="s">
        <v>10</v>
      </c>
      <c r="D11021" t="s">
        <v>10</v>
      </c>
      <c r="E11021" t="str">
        <f>"$ 246"</f>
        <v>$ 246</v>
      </c>
      <c r="F11021">
        <v>15</v>
      </c>
    </row>
    <row r="11022" spans="1:6">
      <c r="A11022" t="s">
        <v>10762</v>
      </c>
      <c r="B11022" t="str">
        <f t="shared" si="398"/>
        <v>0.00003%</v>
      </c>
      <c r="C11022" t="s">
        <v>10</v>
      </c>
      <c r="D11022" t="s">
        <v>10</v>
      </c>
      <c r="E11022" t="str">
        <f>"$ 247"</f>
        <v>$ 247</v>
      </c>
      <c r="F11022">
        <v>68</v>
      </c>
    </row>
    <row r="11023" spans="1:6">
      <c r="A11023" t="s">
        <v>10763</v>
      </c>
      <c r="B11023" t="str">
        <f t="shared" si="398"/>
        <v>0.00003%</v>
      </c>
      <c r="C11023" t="s">
        <v>10</v>
      </c>
      <c r="D11023" t="s">
        <v>10</v>
      </c>
      <c r="E11023" t="str">
        <f>"$ 207"</f>
        <v>$ 207</v>
      </c>
      <c r="F11023">
        <v>17</v>
      </c>
    </row>
    <row r="11024" spans="1:6">
      <c r="A11024" t="s">
        <v>10764</v>
      </c>
      <c r="B11024" t="str">
        <f t="shared" si="398"/>
        <v>0.00003%</v>
      </c>
      <c r="C11024" t="s">
        <v>10</v>
      </c>
      <c r="D11024" t="s">
        <v>10</v>
      </c>
      <c r="E11024" t="str">
        <f>"$ 203"</f>
        <v>$ 203</v>
      </c>
      <c r="F11024">
        <v>40</v>
      </c>
    </row>
    <row r="11025" spans="1:6">
      <c r="A11025" t="s">
        <v>10254</v>
      </c>
      <c r="B11025" t="str">
        <f t="shared" si="398"/>
        <v>0.00003%</v>
      </c>
      <c r="C11025" t="s">
        <v>10</v>
      </c>
      <c r="D11025" t="s">
        <v>10</v>
      </c>
      <c r="E11025" t="str">
        <f>"$ 206"</f>
        <v>$ 206</v>
      </c>
      <c r="F11025">
        <v>150</v>
      </c>
    </row>
    <row r="11026" spans="1:6">
      <c r="A11026" t="s">
        <v>8205</v>
      </c>
      <c r="B11026" t="str">
        <f t="shared" si="398"/>
        <v>0.00003%</v>
      </c>
      <c r="C11026" t="s">
        <v>10</v>
      </c>
      <c r="D11026" t="s">
        <v>10</v>
      </c>
      <c r="E11026" t="str">
        <f>"$ 224"</f>
        <v>$ 224</v>
      </c>
      <c r="F11026">
        <v>154</v>
      </c>
    </row>
    <row r="11027" spans="1:6">
      <c r="A11027" t="s">
        <v>10765</v>
      </c>
      <c r="B11027" t="str">
        <f t="shared" si="398"/>
        <v>0.00003%</v>
      </c>
      <c r="C11027" t="s">
        <v>10</v>
      </c>
      <c r="D11027" t="s">
        <v>10</v>
      </c>
      <c r="E11027" t="str">
        <f>"$ 212"</f>
        <v>$ 212</v>
      </c>
      <c r="F11027">
        <v>59</v>
      </c>
    </row>
    <row r="11028" spans="1:6">
      <c r="A11028" t="s">
        <v>10766</v>
      </c>
      <c r="B11028" t="str">
        <f t="shared" si="398"/>
        <v>0.00003%</v>
      </c>
      <c r="C11028" t="s">
        <v>10</v>
      </c>
      <c r="D11028" t="s">
        <v>10</v>
      </c>
      <c r="E11028" t="str">
        <f>"$ 251"</f>
        <v>$ 251</v>
      </c>
      <c r="F11028">
        <v>164</v>
      </c>
    </row>
    <row r="11029" spans="1:6">
      <c r="A11029" t="s">
        <v>10767</v>
      </c>
      <c r="B11029" t="str">
        <f t="shared" si="398"/>
        <v>0.00003%</v>
      </c>
      <c r="C11029" t="s">
        <v>10</v>
      </c>
      <c r="D11029" t="s">
        <v>10</v>
      </c>
      <c r="E11029" t="str">
        <f>"$ 208"</f>
        <v>$ 208</v>
      </c>
      <c r="F11029" s="1">
        <v>1541</v>
      </c>
    </row>
    <row r="11030" spans="1:6">
      <c r="A11030" t="s">
        <v>10768</v>
      </c>
      <c r="B11030" t="str">
        <f t="shared" si="398"/>
        <v>0.00003%</v>
      </c>
      <c r="C11030" t="s">
        <v>10</v>
      </c>
      <c r="D11030" t="s">
        <v>10</v>
      </c>
      <c r="E11030" t="str">
        <f>"$ 202"</f>
        <v>$ 202</v>
      </c>
      <c r="F11030">
        <v>72</v>
      </c>
    </row>
    <row r="11031" spans="1:6">
      <c r="A11031" t="s">
        <v>10769</v>
      </c>
      <c r="B11031" t="str">
        <f t="shared" si="398"/>
        <v>0.00003%</v>
      </c>
      <c r="C11031" t="s">
        <v>10</v>
      </c>
      <c r="D11031" t="s">
        <v>10</v>
      </c>
      <c r="E11031" t="str">
        <f>"$ 264"</f>
        <v>$ 264</v>
      </c>
      <c r="F11031">
        <v>88</v>
      </c>
    </row>
    <row r="11032" spans="1:6">
      <c r="A11032" t="s">
        <v>10770</v>
      </c>
      <c r="B11032" t="str">
        <f t="shared" si="398"/>
        <v>0.00003%</v>
      </c>
      <c r="C11032" t="s">
        <v>10</v>
      </c>
      <c r="D11032" t="s">
        <v>10</v>
      </c>
      <c r="E11032" t="str">
        <f>"$ 215"</f>
        <v>$ 215</v>
      </c>
      <c r="F11032">
        <v>149</v>
      </c>
    </row>
    <row r="11033" spans="1:6">
      <c r="A11033" t="s">
        <v>10771</v>
      </c>
      <c r="B11033" t="str">
        <f t="shared" si="398"/>
        <v>0.00003%</v>
      </c>
      <c r="C11033" t="s">
        <v>10</v>
      </c>
      <c r="D11033" t="s">
        <v>10</v>
      </c>
      <c r="E11033" t="str">
        <f>"$ 246"</f>
        <v>$ 246</v>
      </c>
      <c r="F11033">
        <v>4</v>
      </c>
    </row>
    <row r="11034" spans="1:6">
      <c r="A11034" t="s">
        <v>10772</v>
      </c>
      <c r="B11034" t="str">
        <f t="shared" si="398"/>
        <v>0.00003%</v>
      </c>
      <c r="C11034" t="s">
        <v>10</v>
      </c>
      <c r="D11034" t="s">
        <v>10</v>
      </c>
      <c r="E11034" t="str">
        <f>"$ 236"</f>
        <v>$ 236</v>
      </c>
      <c r="F11034">
        <v>72</v>
      </c>
    </row>
    <row r="11035" spans="1:6">
      <c r="A11035" t="s">
        <v>10773</v>
      </c>
      <c r="B11035" t="str">
        <f t="shared" si="398"/>
        <v>0.00003%</v>
      </c>
      <c r="C11035" t="s">
        <v>10</v>
      </c>
      <c r="D11035" t="s">
        <v>10</v>
      </c>
      <c r="E11035" t="str">
        <f>"$ 234"</f>
        <v>$ 234</v>
      </c>
      <c r="F11035">
        <v>144</v>
      </c>
    </row>
    <row r="11036" spans="1:6">
      <c r="A11036" t="s">
        <v>10774</v>
      </c>
      <c r="B11036" t="str">
        <f t="shared" ref="B11036:B11099" si="399">"0.00003%"</f>
        <v>0.00003%</v>
      </c>
      <c r="C11036" t="s">
        <v>10</v>
      </c>
      <c r="D11036" t="s">
        <v>10</v>
      </c>
      <c r="E11036" t="str">
        <f>"$ 214"</f>
        <v>$ 214</v>
      </c>
      <c r="F11036">
        <v>112</v>
      </c>
    </row>
    <row r="11037" spans="1:6">
      <c r="A11037" t="s">
        <v>10775</v>
      </c>
      <c r="B11037" t="str">
        <f t="shared" si="399"/>
        <v>0.00003%</v>
      </c>
      <c r="C11037" t="s">
        <v>10</v>
      </c>
      <c r="D11037" t="s">
        <v>10</v>
      </c>
      <c r="E11037" t="str">
        <f>"$ 215"</f>
        <v>$ 215</v>
      </c>
      <c r="F11037">
        <v>327</v>
      </c>
    </row>
    <row r="11038" spans="1:6">
      <c r="A11038" t="s">
        <v>10776</v>
      </c>
      <c r="B11038" t="str">
        <f t="shared" si="399"/>
        <v>0.00003%</v>
      </c>
      <c r="C11038" t="s">
        <v>10</v>
      </c>
      <c r="D11038" t="s">
        <v>10</v>
      </c>
      <c r="E11038" t="str">
        <f>"$ 222"</f>
        <v>$ 222</v>
      </c>
      <c r="F11038">
        <v>190</v>
      </c>
    </row>
    <row r="11039" spans="1:6">
      <c r="A11039" t="s">
        <v>10777</v>
      </c>
      <c r="B11039" t="str">
        <f t="shared" si="399"/>
        <v>0.00003%</v>
      </c>
      <c r="C11039" t="s">
        <v>10</v>
      </c>
      <c r="D11039" t="s">
        <v>10</v>
      </c>
      <c r="E11039" t="str">
        <f>"$ 227"</f>
        <v>$ 227</v>
      </c>
      <c r="F11039">
        <v>482</v>
      </c>
    </row>
    <row r="11040" spans="1:6">
      <c r="A11040" t="s">
        <v>10778</v>
      </c>
      <c r="B11040" t="str">
        <f t="shared" si="399"/>
        <v>0.00003%</v>
      </c>
      <c r="C11040" t="s">
        <v>10</v>
      </c>
      <c r="D11040" t="s">
        <v>10</v>
      </c>
      <c r="E11040" t="str">
        <f>"$ 221"</f>
        <v>$ 221</v>
      </c>
      <c r="F11040">
        <v>95</v>
      </c>
    </row>
    <row r="11041" spans="1:6">
      <c r="A11041" t="s">
        <v>10779</v>
      </c>
      <c r="B11041" t="str">
        <f t="shared" si="399"/>
        <v>0.00003%</v>
      </c>
      <c r="C11041" t="s">
        <v>10</v>
      </c>
      <c r="D11041" t="s">
        <v>10</v>
      </c>
      <c r="E11041" t="str">
        <f>"$ 252"</f>
        <v>$ 252</v>
      </c>
      <c r="F11041">
        <v>37</v>
      </c>
    </row>
    <row r="11042" spans="1:6">
      <c r="A11042" t="s">
        <v>10515</v>
      </c>
      <c r="B11042" t="str">
        <f t="shared" si="399"/>
        <v>0.00003%</v>
      </c>
      <c r="C11042" t="s">
        <v>10</v>
      </c>
      <c r="D11042" t="s">
        <v>10</v>
      </c>
      <c r="E11042" t="str">
        <f>"$ 239"</f>
        <v>$ 239</v>
      </c>
      <c r="F11042">
        <v>119</v>
      </c>
    </row>
    <row r="11043" spans="1:6">
      <c r="A11043" t="s">
        <v>10780</v>
      </c>
      <c r="B11043" t="str">
        <f t="shared" si="399"/>
        <v>0.00003%</v>
      </c>
      <c r="C11043" t="s">
        <v>10</v>
      </c>
      <c r="D11043" t="s">
        <v>10</v>
      </c>
      <c r="E11043" t="str">
        <f>"$ 246"</f>
        <v>$ 246</v>
      </c>
      <c r="F11043">
        <v>154</v>
      </c>
    </row>
    <row r="11044" spans="1:6">
      <c r="A11044" t="s">
        <v>10781</v>
      </c>
      <c r="B11044" t="str">
        <f t="shared" si="399"/>
        <v>0.00003%</v>
      </c>
      <c r="C11044" t="s">
        <v>10</v>
      </c>
      <c r="D11044" t="s">
        <v>10</v>
      </c>
      <c r="E11044" t="str">
        <f>"$ 243"</f>
        <v>$ 243</v>
      </c>
      <c r="F11044">
        <v>184</v>
      </c>
    </row>
    <row r="11045" spans="1:6">
      <c r="A11045" t="s">
        <v>10782</v>
      </c>
      <c r="B11045" t="str">
        <f t="shared" si="399"/>
        <v>0.00003%</v>
      </c>
      <c r="C11045" t="s">
        <v>10</v>
      </c>
      <c r="D11045" t="s">
        <v>10</v>
      </c>
      <c r="E11045" t="str">
        <f>"$ 241"</f>
        <v>$ 241</v>
      </c>
      <c r="F11045">
        <v>94</v>
      </c>
    </row>
    <row r="11046" spans="1:6">
      <c r="A11046" t="s">
        <v>10783</v>
      </c>
      <c r="B11046" t="str">
        <f t="shared" si="399"/>
        <v>0.00003%</v>
      </c>
      <c r="C11046" t="s">
        <v>10</v>
      </c>
      <c r="D11046" t="s">
        <v>10</v>
      </c>
      <c r="E11046" t="str">
        <f>"$ 247"</f>
        <v>$ 247</v>
      </c>
      <c r="F11046">
        <v>78</v>
      </c>
    </row>
    <row r="11047" spans="1:6">
      <c r="A11047" t="s">
        <v>10784</v>
      </c>
      <c r="B11047" t="str">
        <f t="shared" si="399"/>
        <v>0.00003%</v>
      </c>
      <c r="C11047" t="s">
        <v>10</v>
      </c>
      <c r="D11047" t="s">
        <v>10</v>
      </c>
      <c r="E11047" t="str">
        <f>"$ 202"</f>
        <v>$ 202</v>
      </c>
      <c r="F11047">
        <v>137</v>
      </c>
    </row>
    <row r="11048" spans="1:6">
      <c r="A11048" t="s">
        <v>10785</v>
      </c>
      <c r="B11048" t="str">
        <f t="shared" si="399"/>
        <v>0.00003%</v>
      </c>
      <c r="C11048" t="s">
        <v>10</v>
      </c>
      <c r="D11048" t="s">
        <v>10</v>
      </c>
      <c r="E11048" t="str">
        <f>"$ 208"</f>
        <v>$ 208</v>
      </c>
      <c r="F11048">
        <v>315</v>
      </c>
    </row>
    <row r="11049" spans="1:6">
      <c r="A11049" t="s">
        <v>10776</v>
      </c>
      <c r="B11049" t="str">
        <f t="shared" si="399"/>
        <v>0.00003%</v>
      </c>
      <c r="C11049" t="s">
        <v>10</v>
      </c>
      <c r="D11049" t="s">
        <v>10</v>
      </c>
      <c r="E11049" t="str">
        <f>"$ 207"</f>
        <v>$ 207</v>
      </c>
      <c r="F11049">
        <v>178</v>
      </c>
    </row>
    <row r="11050" spans="1:6">
      <c r="A11050" t="s">
        <v>10786</v>
      </c>
      <c r="B11050" t="str">
        <f t="shared" si="399"/>
        <v>0.00003%</v>
      </c>
      <c r="C11050" t="s">
        <v>10</v>
      </c>
      <c r="D11050" t="s">
        <v>10</v>
      </c>
      <c r="E11050" t="str">
        <f>"$ 210"</f>
        <v>$ 210</v>
      </c>
      <c r="F11050">
        <v>140</v>
      </c>
    </row>
    <row r="11051" spans="1:6">
      <c r="A11051" t="s">
        <v>10787</v>
      </c>
      <c r="B11051" t="str">
        <f t="shared" si="399"/>
        <v>0.00003%</v>
      </c>
      <c r="C11051" t="s">
        <v>10</v>
      </c>
      <c r="D11051" t="s">
        <v>10</v>
      </c>
      <c r="E11051" t="str">
        <f>"$ 209"</f>
        <v>$ 209</v>
      </c>
      <c r="F11051">
        <v>55</v>
      </c>
    </row>
    <row r="11052" spans="1:6">
      <c r="A11052" t="s">
        <v>10788</v>
      </c>
      <c r="B11052" t="str">
        <f t="shared" si="399"/>
        <v>0.00003%</v>
      </c>
      <c r="C11052" t="s">
        <v>10</v>
      </c>
      <c r="D11052" t="s">
        <v>10</v>
      </c>
      <c r="E11052" t="str">
        <f>"$ 223"</f>
        <v>$ 223</v>
      </c>
      <c r="F11052">
        <v>315</v>
      </c>
    </row>
    <row r="11053" spans="1:6">
      <c r="A11053" t="s">
        <v>10789</v>
      </c>
      <c r="B11053" t="str">
        <f t="shared" si="399"/>
        <v>0.00003%</v>
      </c>
      <c r="C11053" t="s">
        <v>10</v>
      </c>
      <c r="D11053" t="s">
        <v>10</v>
      </c>
      <c r="E11053" t="str">
        <f>"$ 227"</f>
        <v>$ 227</v>
      </c>
      <c r="F11053">
        <v>141</v>
      </c>
    </row>
    <row r="11054" spans="1:6">
      <c r="A11054" t="s">
        <v>9030</v>
      </c>
      <c r="B11054" t="str">
        <f t="shared" si="399"/>
        <v>0.00003%</v>
      </c>
      <c r="C11054" t="s">
        <v>10</v>
      </c>
      <c r="D11054" t="s">
        <v>10</v>
      </c>
      <c r="E11054" t="str">
        <f>"$ 258"</f>
        <v>$ 258</v>
      </c>
      <c r="F11054">
        <v>248</v>
      </c>
    </row>
    <row r="11055" spans="1:6">
      <c r="A11055" t="s">
        <v>10790</v>
      </c>
      <c r="B11055" t="str">
        <f t="shared" si="399"/>
        <v>0.00003%</v>
      </c>
      <c r="C11055" t="s">
        <v>10</v>
      </c>
      <c r="D11055" t="s">
        <v>10</v>
      </c>
      <c r="E11055" t="str">
        <f>"$ 265"</f>
        <v>$ 265</v>
      </c>
      <c r="F11055">
        <v>37</v>
      </c>
    </row>
    <row r="11056" spans="1:6">
      <c r="A11056" t="s">
        <v>10789</v>
      </c>
      <c r="B11056" t="str">
        <f t="shared" si="399"/>
        <v>0.00003%</v>
      </c>
      <c r="C11056" t="s">
        <v>10</v>
      </c>
      <c r="D11056" t="s">
        <v>10</v>
      </c>
      <c r="E11056" t="str">
        <f>"$ 268"</f>
        <v>$ 268</v>
      </c>
      <c r="F11056">
        <v>166</v>
      </c>
    </row>
    <row r="11057" spans="1:6">
      <c r="A11057" t="s">
        <v>10791</v>
      </c>
      <c r="B11057" t="str">
        <f t="shared" si="399"/>
        <v>0.00003%</v>
      </c>
      <c r="C11057" t="s">
        <v>10</v>
      </c>
      <c r="D11057" t="s">
        <v>10</v>
      </c>
      <c r="E11057" t="str">
        <f>"$ 199"</f>
        <v>$ 199</v>
      </c>
      <c r="F11057">
        <v>121</v>
      </c>
    </row>
    <row r="11058" spans="1:6">
      <c r="A11058" t="s">
        <v>10792</v>
      </c>
      <c r="B11058" t="str">
        <f t="shared" si="399"/>
        <v>0.00003%</v>
      </c>
      <c r="C11058" t="s">
        <v>10</v>
      </c>
      <c r="D11058" t="s">
        <v>10</v>
      </c>
      <c r="E11058" t="str">
        <f>"$ 200"</f>
        <v>$ 200</v>
      </c>
      <c r="F11058">
        <v>61</v>
      </c>
    </row>
    <row r="11059" spans="1:6">
      <c r="A11059" t="s">
        <v>10793</v>
      </c>
      <c r="B11059" t="str">
        <f t="shared" si="399"/>
        <v>0.00003%</v>
      </c>
      <c r="C11059" t="s">
        <v>10</v>
      </c>
      <c r="D11059" t="s">
        <v>10</v>
      </c>
      <c r="E11059" t="str">
        <f>"$ 206"</f>
        <v>$ 206</v>
      </c>
      <c r="F11059">
        <v>102</v>
      </c>
    </row>
    <row r="11060" spans="1:6">
      <c r="A11060" t="s">
        <v>10794</v>
      </c>
      <c r="B11060" t="str">
        <f t="shared" si="399"/>
        <v>0.00003%</v>
      </c>
      <c r="C11060" t="s">
        <v>10</v>
      </c>
      <c r="D11060" t="s">
        <v>10</v>
      </c>
      <c r="E11060" t="str">
        <f>"$ 208"</f>
        <v>$ 208</v>
      </c>
      <c r="F11060">
        <v>84</v>
      </c>
    </row>
    <row r="11061" spans="1:6">
      <c r="A11061" t="s">
        <v>10795</v>
      </c>
      <c r="B11061" t="str">
        <f t="shared" si="399"/>
        <v>0.00003%</v>
      </c>
      <c r="C11061" t="s">
        <v>10</v>
      </c>
      <c r="D11061" t="s">
        <v>10</v>
      </c>
      <c r="E11061" t="str">
        <f>"$ 195"</f>
        <v>$ 195</v>
      </c>
      <c r="F11061">
        <v>65</v>
      </c>
    </row>
    <row r="11062" spans="1:6">
      <c r="A11062" t="s">
        <v>10796</v>
      </c>
      <c r="B11062" t="str">
        <f t="shared" si="399"/>
        <v>0.00003%</v>
      </c>
      <c r="C11062" t="s">
        <v>10</v>
      </c>
      <c r="D11062" t="s">
        <v>10</v>
      </c>
      <c r="E11062" t="str">
        <f>"$ 214"</f>
        <v>$ 214</v>
      </c>
      <c r="F11062">
        <v>177</v>
      </c>
    </row>
    <row r="11063" spans="1:6">
      <c r="A11063" t="s">
        <v>10797</v>
      </c>
      <c r="B11063" t="str">
        <f t="shared" si="399"/>
        <v>0.00003%</v>
      </c>
      <c r="C11063" t="s">
        <v>10</v>
      </c>
      <c r="D11063" t="s">
        <v>10</v>
      </c>
      <c r="E11063" t="str">
        <f>"$ 221"</f>
        <v>$ 221</v>
      </c>
      <c r="F11063">
        <v>263</v>
      </c>
    </row>
    <row r="11064" spans="1:6">
      <c r="A11064" t="s">
        <v>10798</v>
      </c>
      <c r="B11064" t="str">
        <f t="shared" si="399"/>
        <v>0.00003%</v>
      </c>
      <c r="C11064" t="s">
        <v>10</v>
      </c>
      <c r="D11064" t="s">
        <v>10</v>
      </c>
      <c r="E11064" t="str">
        <f>"$ 261"</f>
        <v>$ 261</v>
      </c>
      <c r="F11064">
        <v>154</v>
      </c>
    </row>
    <row r="11065" spans="1:6">
      <c r="A11065" t="s">
        <v>10799</v>
      </c>
      <c r="B11065" t="str">
        <f t="shared" si="399"/>
        <v>0.00003%</v>
      </c>
      <c r="C11065" t="s">
        <v>10</v>
      </c>
      <c r="D11065" t="s">
        <v>10</v>
      </c>
      <c r="E11065" t="str">
        <f>"$ 249"</f>
        <v>$ 249</v>
      </c>
      <c r="F11065">
        <v>145</v>
      </c>
    </row>
    <row r="11066" spans="1:6">
      <c r="A11066" t="s">
        <v>8111</v>
      </c>
      <c r="B11066" t="str">
        <f t="shared" si="399"/>
        <v>0.00003%</v>
      </c>
      <c r="C11066" t="s">
        <v>10</v>
      </c>
      <c r="D11066" t="s">
        <v>10</v>
      </c>
      <c r="E11066" t="str">
        <f>"$ 264"</f>
        <v>$ 264</v>
      </c>
      <c r="F11066">
        <v>121</v>
      </c>
    </row>
    <row r="11067" spans="1:6">
      <c r="A11067" t="s">
        <v>10800</v>
      </c>
      <c r="B11067" t="str">
        <f t="shared" si="399"/>
        <v>0.00003%</v>
      </c>
      <c r="C11067" t="s">
        <v>10</v>
      </c>
      <c r="D11067" t="s">
        <v>10</v>
      </c>
      <c r="E11067" t="str">
        <f>"$ 241"</f>
        <v>$ 241</v>
      </c>
      <c r="F11067">
        <v>193</v>
      </c>
    </row>
    <row r="11068" spans="1:6">
      <c r="A11068" t="s">
        <v>10801</v>
      </c>
      <c r="B11068" t="str">
        <f t="shared" si="399"/>
        <v>0.00003%</v>
      </c>
      <c r="C11068" t="s">
        <v>10</v>
      </c>
      <c r="D11068" t="s">
        <v>10</v>
      </c>
      <c r="E11068" t="str">
        <f>"$ 234"</f>
        <v>$ 234</v>
      </c>
      <c r="F11068">
        <v>90</v>
      </c>
    </row>
    <row r="11069" spans="1:6">
      <c r="A11069" t="s">
        <v>10802</v>
      </c>
      <c r="B11069" t="str">
        <f t="shared" si="399"/>
        <v>0.00003%</v>
      </c>
      <c r="C11069" t="s">
        <v>10</v>
      </c>
      <c r="D11069" t="s">
        <v>10</v>
      </c>
      <c r="E11069" t="str">
        <f>"$ 244"</f>
        <v>$ 244</v>
      </c>
      <c r="F11069">
        <v>26</v>
      </c>
    </row>
    <row r="11070" spans="1:6">
      <c r="A11070" t="s">
        <v>10803</v>
      </c>
      <c r="B11070" t="str">
        <f t="shared" si="399"/>
        <v>0.00003%</v>
      </c>
      <c r="C11070" t="s">
        <v>10</v>
      </c>
      <c r="D11070" t="s">
        <v>10</v>
      </c>
      <c r="E11070" t="str">
        <f>"$ 197"</f>
        <v>$ 197</v>
      </c>
      <c r="F11070">
        <v>253</v>
      </c>
    </row>
    <row r="11071" spans="1:6">
      <c r="A11071" t="s">
        <v>10804</v>
      </c>
      <c r="B11071" t="str">
        <f t="shared" si="399"/>
        <v>0.00003%</v>
      </c>
      <c r="C11071" t="s">
        <v>10</v>
      </c>
      <c r="D11071" t="s">
        <v>10</v>
      </c>
      <c r="E11071" t="str">
        <f>"$ 197"</f>
        <v>$ 197</v>
      </c>
      <c r="F11071">
        <v>250</v>
      </c>
    </row>
    <row r="11072" spans="1:6">
      <c r="A11072" t="s">
        <v>10805</v>
      </c>
      <c r="B11072" t="str">
        <f t="shared" si="399"/>
        <v>0.00003%</v>
      </c>
      <c r="C11072" t="s">
        <v>10</v>
      </c>
      <c r="D11072" t="s">
        <v>10</v>
      </c>
      <c r="E11072" t="str">
        <f>"$ 235"</f>
        <v>$ 235</v>
      </c>
      <c r="F11072">
        <v>183</v>
      </c>
    </row>
    <row r="11073" spans="1:6">
      <c r="A11073" t="s">
        <v>9807</v>
      </c>
      <c r="B11073" t="str">
        <f t="shared" si="399"/>
        <v>0.00003%</v>
      </c>
      <c r="C11073" t="s">
        <v>10</v>
      </c>
      <c r="D11073" t="s">
        <v>10</v>
      </c>
      <c r="E11073" t="str">
        <f>"$ 236"</f>
        <v>$ 236</v>
      </c>
      <c r="F11073">
        <v>60</v>
      </c>
    </row>
    <row r="11074" spans="1:6">
      <c r="A11074" t="s">
        <v>10806</v>
      </c>
      <c r="B11074" t="str">
        <f t="shared" si="399"/>
        <v>0.00003%</v>
      </c>
      <c r="C11074" t="s">
        <v>10</v>
      </c>
      <c r="D11074" t="s">
        <v>10</v>
      </c>
      <c r="E11074" t="str">
        <f>"$ 193"</f>
        <v>$ 193</v>
      </c>
      <c r="F11074">
        <v>200</v>
      </c>
    </row>
    <row r="11075" spans="1:6">
      <c r="A11075" t="s">
        <v>10807</v>
      </c>
      <c r="B11075" t="str">
        <f t="shared" si="399"/>
        <v>0.00003%</v>
      </c>
      <c r="C11075" t="s">
        <v>10</v>
      </c>
      <c r="D11075" t="s">
        <v>10</v>
      </c>
      <c r="E11075" t="str">
        <f>"$ 196"</f>
        <v>$ 196</v>
      </c>
      <c r="F11075">
        <v>227</v>
      </c>
    </row>
    <row r="11076" spans="1:6">
      <c r="A11076" t="s">
        <v>10808</v>
      </c>
      <c r="B11076" t="str">
        <f t="shared" si="399"/>
        <v>0.00003%</v>
      </c>
      <c r="C11076" t="s">
        <v>10</v>
      </c>
      <c r="D11076" t="s">
        <v>10</v>
      </c>
      <c r="E11076" t="str">
        <f>"$ 196"</f>
        <v>$ 196</v>
      </c>
      <c r="F11076">
        <v>69</v>
      </c>
    </row>
    <row r="11077" spans="1:6">
      <c r="A11077" t="s">
        <v>10809</v>
      </c>
      <c r="B11077" t="str">
        <f t="shared" si="399"/>
        <v>0.00003%</v>
      </c>
      <c r="C11077" t="s">
        <v>10</v>
      </c>
      <c r="D11077" t="s">
        <v>10</v>
      </c>
      <c r="E11077" t="str">
        <f>"$ 215"</f>
        <v>$ 215</v>
      </c>
      <c r="F11077">
        <v>215</v>
      </c>
    </row>
    <row r="11078" spans="1:6">
      <c r="A11078" t="s">
        <v>10810</v>
      </c>
      <c r="B11078" t="str">
        <f t="shared" si="399"/>
        <v>0.00003%</v>
      </c>
      <c r="C11078" t="s">
        <v>10</v>
      </c>
      <c r="D11078" t="s">
        <v>10</v>
      </c>
      <c r="E11078" t="str">
        <f>"$ 221"</f>
        <v>$ 221</v>
      </c>
      <c r="F11078">
        <v>529</v>
      </c>
    </row>
    <row r="11079" spans="1:6">
      <c r="A11079" t="s">
        <v>10811</v>
      </c>
      <c r="B11079" t="str">
        <f t="shared" si="399"/>
        <v>0.00003%</v>
      </c>
      <c r="C11079" t="s">
        <v>10</v>
      </c>
      <c r="D11079" t="s">
        <v>10</v>
      </c>
      <c r="E11079" t="str">
        <f>"$ 227"</f>
        <v>$ 227</v>
      </c>
      <c r="F11079">
        <v>178</v>
      </c>
    </row>
    <row r="11080" spans="1:6">
      <c r="A11080" t="s">
        <v>10812</v>
      </c>
      <c r="B11080" t="str">
        <f t="shared" si="399"/>
        <v>0.00003%</v>
      </c>
      <c r="C11080" t="s">
        <v>10</v>
      </c>
      <c r="D11080" t="s">
        <v>10</v>
      </c>
      <c r="E11080" t="str">
        <f>"$ 226"</f>
        <v>$ 226</v>
      </c>
      <c r="F11080">
        <v>117</v>
      </c>
    </row>
    <row r="11081" spans="1:6">
      <c r="A11081" t="s">
        <v>10813</v>
      </c>
      <c r="B11081" t="str">
        <f t="shared" si="399"/>
        <v>0.00003%</v>
      </c>
      <c r="C11081" t="s">
        <v>10</v>
      </c>
      <c r="D11081" t="s">
        <v>10</v>
      </c>
      <c r="E11081" t="str">
        <f>"$ 222"</f>
        <v>$ 222</v>
      </c>
      <c r="F11081">
        <v>62</v>
      </c>
    </row>
    <row r="11082" spans="1:6">
      <c r="A11082" t="s">
        <v>10814</v>
      </c>
      <c r="B11082" t="str">
        <f t="shared" si="399"/>
        <v>0.00003%</v>
      </c>
      <c r="C11082" t="s">
        <v>10</v>
      </c>
      <c r="D11082" t="s">
        <v>10</v>
      </c>
      <c r="E11082" t="str">
        <f>"$ 265"</f>
        <v>$ 265</v>
      </c>
      <c r="F11082">
        <v>52</v>
      </c>
    </row>
    <row r="11083" spans="1:6">
      <c r="A11083" t="s">
        <v>10807</v>
      </c>
      <c r="B11083" t="str">
        <f t="shared" si="399"/>
        <v>0.00003%</v>
      </c>
      <c r="C11083" t="s">
        <v>10</v>
      </c>
      <c r="D11083" t="s">
        <v>10</v>
      </c>
      <c r="E11083" t="str">
        <f>"$ 261"</f>
        <v>$ 261</v>
      </c>
      <c r="F11083">
        <v>303</v>
      </c>
    </row>
    <row r="11084" spans="1:6">
      <c r="A11084" t="s">
        <v>10815</v>
      </c>
      <c r="B11084" t="str">
        <f t="shared" si="399"/>
        <v>0.00003%</v>
      </c>
      <c r="C11084" t="s">
        <v>10</v>
      </c>
      <c r="D11084" t="s">
        <v>10</v>
      </c>
      <c r="E11084" t="str">
        <f>"$ 256"</f>
        <v>$ 256</v>
      </c>
      <c r="F11084">
        <v>92</v>
      </c>
    </row>
    <row r="11085" spans="1:6">
      <c r="A11085" t="s">
        <v>10816</v>
      </c>
      <c r="B11085" t="str">
        <f t="shared" si="399"/>
        <v>0.00003%</v>
      </c>
      <c r="C11085" t="s">
        <v>10</v>
      </c>
      <c r="D11085" t="s">
        <v>10</v>
      </c>
      <c r="E11085" t="str">
        <f>"$ 268"</f>
        <v>$ 268</v>
      </c>
      <c r="F11085">
        <v>262</v>
      </c>
    </row>
    <row r="11086" spans="1:6">
      <c r="A11086" t="s">
        <v>10817</v>
      </c>
      <c r="B11086" t="str">
        <f t="shared" si="399"/>
        <v>0.00003%</v>
      </c>
      <c r="C11086" t="s">
        <v>10</v>
      </c>
      <c r="D11086" t="s">
        <v>10</v>
      </c>
      <c r="E11086" t="str">
        <f>"$ 201"</f>
        <v>$ 201</v>
      </c>
      <c r="F11086">
        <v>163</v>
      </c>
    </row>
    <row r="11087" spans="1:6">
      <c r="A11087" t="s">
        <v>10552</v>
      </c>
      <c r="B11087" t="str">
        <f t="shared" si="399"/>
        <v>0.00003%</v>
      </c>
      <c r="C11087" t="s">
        <v>10</v>
      </c>
      <c r="D11087" t="s">
        <v>10</v>
      </c>
      <c r="E11087" t="str">
        <f>"$ 202"</f>
        <v>$ 202</v>
      </c>
      <c r="F11087">
        <v>109</v>
      </c>
    </row>
    <row r="11088" spans="1:6">
      <c r="A11088" t="s">
        <v>9557</v>
      </c>
      <c r="B11088" t="str">
        <f t="shared" si="399"/>
        <v>0.00003%</v>
      </c>
      <c r="C11088" t="s">
        <v>10</v>
      </c>
      <c r="D11088" t="s">
        <v>10</v>
      </c>
      <c r="E11088" t="str">
        <f>"$ 208"</f>
        <v>$ 208</v>
      </c>
      <c r="F11088">
        <v>89</v>
      </c>
    </row>
    <row r="11089" spans="1:6">
      <c r="A11089" t="s">
        <v>10818</v>
      </c>
      <c r="B11089" t="str">
        <f t="shared" si="399"/>
        <v>0.00003%</v>
      </c>
      <c r="C11089" t="s">
        <v>10</v>
      </c>
      <c r="D11089" t="s">
        <v>10</v>
      </c>
      <c r="E11089" t="str">
        <f>"$ 210"</f>
        <v>$ 210</v>
      </c>
      <c r="F11089">
        <v>155</v>
      </c>
    </row>
    <row r="11090" spans="1:6">
      <c r="A11090" t="s">
        <v>10819</v>
      </c>
      <c r="B11090" t="str">
        <f t="shared" si="399"/>
        <v>0.00003%</v>
      </c>
      <c r="C11090" t="s">
        <v>10</v>
      </c>
      <c r="D11090" t="s">
        <v>10</v>
      </c>
      <c r="E11090" t="str">
        <f>"$ 211"</f>
        <v>$ 211</v>
      </c>
      <c r="F11090">
        <v>103</v>
      </c>
    </row>
    <row r="11091" spans="1:6">
      <c r="A11091" t="s">
        <v>10820</v>
      </c>
      <c r="B11091" t="str">
        <f t="shared" si="399"/>
        <v>0.00003%</v>
      </c>
      <c r="C11091" t="s">
        <v>10</v>
      </c>
      <c r="D11091" t="s">
        <v>10</v>
      </c>
      <c r="E11091" t="str">
        <f>"$ 261"</f>
        <v>$ 261</v>
      </c>
      <c r="F11091">
        <v>164</v>
      </c>
    </row>
    <row r="11092" spans="1:6">
      <c r="A11092" t="s">
        <v>10821</v>
      </c>
      <c r="B11092" t="str">
        <f t="shared" si="399"/>
        <v>0.00003%</v>
      </c>
      <c r="C11092" t="s">
        <v>10</v>
      </c>
      <c r="D11092" t="s">
        <v>10</v>
      </c>
      <c r="E11092" t="str">
        <f>"$ 260"</f>
        <v>$ 260</v>
      </c>
      <c r="F11092">
        <v>110</v>
      </c>
    </row>
    <row r="11093" spans="1:6">
      <c r="A11093" t="s">
        <v>10315</v>
      </c>
      <c r="B11093" t="str">
        <f t="shared" si="399"/>
        <v>0.00003%</v>
      </c>
      <c r="C11093" t="s">
        <v>10</v>
      </c>
      <c r="D11093" t="s">
        <v>10</v>
      </c>
      <c r="E11093" t="str">
        <f>"$ 212"</f>
        <v>$ 212</v>
      </c>
      <c r="F11093">
        <v>170</v>
      </c>
    </row>
    <row r="11094" spans="1:6">
      <c r="A11094" t="s">
        <v>9216</v>
      </c>
      <c r="B11094" t="str">
        <f t="shared" si="399"/>
        <v>0.00003%</v>
      </c>
      <c r="C11094" t="s">
        <v>10</v>
      </c>
      <c r="D11094" t="s">
        <v>10</v>
      </c>
      <c r="E11094" t="str">
        <f>"$ 227"</f>
        <v>$ 227</v>
      </c>
      <c r="F11094">
        <v>332</v>
      </c>
    </row>
    <row r="11095" spans="1:6">
      <c r="A11095" t="s">
        <v>10822</v>
      </c>
      <c r="B11095" t="str">
        <f t="shared" si="399"/>
        <v>0.00003%</v>
      </c>
      <c r="C11095" t="s">
        <v>10</v>
      </c>
      <c r="D11095" t="s">
        <v>10</v>
      </c>
      <c r="E11095" t="str">
        <f>"$ 244"</f>
        <v>$ 244</v>
      </c>
      <c r="F11095">
        <v>285</v>
      </c>
    </row>
    <row r="11096" spans="1:6">
      <c r="A11096" t="s">
        <v>10823</v>
      </c>
      <c r="B11096" t="str">
        <f t="shared" si="399"/>
        <v>0.00003%</v>
      </c>
      <c r="C11096" t="s">
        <v>10</v>
      </c>
      <c r="D11096" t="s">
        <v>10</v>
      </c>
      <c r="E11096" t="str">
        <f>"$ 210"</f>
        <v>$ 210</v>
      </c>
      <c r="F11096">
        <v>266</v>
      </c>
    </row>
    <row r="11097" spans="1:6">
      <c r="A11097" t="s">
        <v>10824</v>
      </c>
      <c r="B11097" t="str">
        <f t="shared" si="399"/>
        <v>0.00003%</v>
      </c>
      <c r="C11097" t="s">
        <v>10</v>
      </c>
      <c r="D11097" t="s">
        <v>10</v>
      </c>
      <c r="E11097" t="str">
        <f>"$ 242"</f>
        <v>$ 242</v>
      </c>
      <c r="F11097">
        <v>102</v>
      </c>
    </row>
    <row r="11098" spans="1:6">
      <c r="A11098" t="s">
        <v>10825</v>
      </c>
      <c r="B11098" t="str">
        <f t="shared" si="399"/>
        <v>0.00003%</v>
      </c>
      <c r="C11098" t="s">
        <v>10</v>
      </c>
      <c r="D11098" t="s">
        <v>10</v>
      </c>
      <c r="E11098" t="str">
        <f>"$ 228"</f>
        <v>$ 228</v>
      </c>
      <c r="F11098">
        <v>131</v>
      </c>
    </row>
    <row r="11099" spans="1:6">
      <c r="A11099" t="s">
        <v>10826</v>
      </c>
      <c r="B11099" t="str">
        <f t="shared" si="399"/>
        <v>0.00003%</v>
      </c>
      <c r="C11099" t="s">
        <v>10</v>
      </c>
      <c r="D11099" t="s">
        <v>10</v>
      </c>
      <c r="E11099" t="str">
        <f>"$ 227"</f>
        <v>$ 227</v>
      </c>
      <c r="F11099">
        <v>173</v>
      </c>
    </row>
    <row r="11100" spans="1:6">
      <c r="A11100" t="s">
        <v>10827</v>
      </c>
      <c r="B11100" t="str">
        <f t="shared" ref="B11100:B11163" si="400">"0.00003%"</f>
        <v>0.00003%</v>
      </c>
      <c r="C11100" t="s">
        <v>10</v>
      </c>
      <c r="D11100" t="s">
        <v>10</v>
      </c>
      <c r="E11100" t="str">
        <f>"$ 212"</f>
        <v>$ 212</v>
      </c>
      <c r="F11100">
        <v>81</v>
      </c>
    </row>
    <row r="11101" spans="1:6">
      <c r="A11101" t="s">
        <v>10828</v>
      </c>
      <c r="B11101" t="str">
        <f t="shared" si="400"/>
        <v>0.00003%</v>
      </c>
      <c r="C11101" t="s">
        <v>10</v>
      </c>
      <c r="D11101" t="s">
        <v>10</v>
      </c>
      <c r="E11101" t="str">
        <f>"$ 222"</f>
        <v>$ 222</v>
      </c>
      <c r="F11101">
        <v>257</v>
      </c>
    </row>
    <row r="11102" spans="1:6">
      <c r="A11102" t="s">
        <v>10829</v>
      </c>
      <c r="B11102" t="str">
        <f t="shared" si="400"/>
        <v>0.00003%</v>
      </c>
      <c r="C11102" t="s">
        <v>10</v>
      </c>
      <c r="D11102" t="s">
        <v>10</v>
      </c>
      <c r="E11102" t="str">
        <f>"$ 267"</f>
        <v>$ 267</v>
      </c>
      <c r="F11102">
        <v>39</v>
      </c>
    </row>
    <row r="11103" spans="1:6">
      <c r="A11103" t="s">
        <v>10830</v>
      </c>
      <c r="B11103" t="str">
        <f t="shared" si="400"/>
        <v>0.00003%</v>
      </c>
      <c r="C11103" t="s">
        <v>10</v>
      </c>
      <c r="D11103" t="s">
        <v>10</v>
      </c>
      <c r="E11103" t="str">
        <f>"$ 264"</f>
        <v>$ 264</v>
      </c>
      <c r="F11103">
        <v>16</v>
      </c>
    </row>
    <row r="11104" spans="1:6">
      <c r="A11104" t="s">
        <v>10831</v>
      </c>
      <c r="B11104" t="str">
        <f t="shared" si="400"/>
        <v>0.00003%</v>
      </c>
      <c r="C11104" t="s">
        <v>10</v>
      </c>
      <c r="D11104" t="s">
        <v>10</v>
      </c>
      <c r="E11104" t="str">
        <f>"$ 255"</f>
        <v>$ 255</v>
      </c>
      <c r="F11104">
        <v>37</v>
      </c>
    </row>
    <row r="11105" spans="1:6">
      <c r="A11105" t="s">
        <v>10832</v>
      </c>
      <c r="B11105" t="str">
        <f t="shared" si="400"/>
        <v>0.00003%</v>
      </c>
      <c r="C11105" t="s">
        <v>10</v>
      </c>
      <c r="D11105" t="s">
        <v>10</v>
      </c>
      <c r="E11105" t="str">
        <f>"$ 258"</f>
        <v>$ 258</v>
      </c>
      <c r="F11105">
        <v>299</v>
      </c>
    </row>
    <row r="11106" spans="1:6">
      <c r="A11106" t="s">
        <v>10566</v>
      </c>
      <c r="B11106" t="str">
        <f t="shared" si="400"/>
        <v>0.00003%</v>
      </c>
      <c r="C11106" t="s">
        <v>10</v>
      </c>
      <c r="D11106" t="s">
        <v>10</v>
      </c>
      <c r="E11106" t="str">
        <f>"$ 223"</f>
        <v>$ 223</v>
      </c>
      <c r="F11106">
        <v>127</v>
      </c>
    </row>
    <row r="11107" spans="1:6">
      <c r="A11107" t="s">
        <v>10833</v>
      </c>
      <c r="B11107" t="str">
        <f t="shared" si="400"/>
        <v>0.00003%</v>
      </c>
      <c r="C11107" t="s">
        <v>10</v>
      </c>
      <c r="D11107" t="s">
        <v>10</v>
      </c>
      <c r="E11107" t="str">
        <f>"$ 215"</f>
        <v>$ 215</v>
      </c>
      <c r="F11107">
        <v>87</v>
      </c>
    </row>
    <row r="11108" spans="1:6">
      <c r="A11108" t="s">
        <v>10834</v>
      </c>
      <c r="B11108" t="str">
        <f t="shared" si="400"/>
        <v>0.00003%</v>
      </c>
      <c r="C11108" t="s">
        <v>10</v>
      </c>
      <c r="D11108" t="s">
        <v>10</v>
      </c>
      <c r="E11108" t="str">
        <f>"$ 240"</f>
        <v>$ 240</v>
      </c>
      <c r="F11108">
        <v>238</v>
      </c>
    </row>
    <row r="11109" spans="1:6">
      <c r="A11109" t="s">
        <v>10835</v>
      </c>
      <c r="B11109" t="str">
        <f t="shared" si="400"/>
        <v>0.00003%</v>
      </c>
      <c r="C11109" t="s">
        <v>10</v>
      </c>
      <c r="D11109" t="s">
        <v>10</v>
      </c>
      <c r="E11109" t="str">
        <f>"$ 237"</f>
        <v>$ 237</v>
      </c>
      <c r="F11109">
        <v>177</v>
      </c>
    </row>
    <row r="11110" spans="1:6">
      <c r="A11110" t="s">
        <v>10836</v>
      </c>
      <c r="B11110" t="str">
        <f t="shared" si="400"/>
        <v>0.00003%</v>
      </c>
      <c r="C11110" t="s">
        <v>10</v>
      </c>
      <c r="D11110" t="s">
        <v>10</v>
      </c>
      <c r="E11110" t="str">
        <f>"$ 202"</f>
        <v>$ 202</v>
      </c>
      <c r="F11110">
        <v>164</v>
      </c>
    </row>
    <row r="11111" spans="1:6">
      <c r="A11111" t="s">
        <v>10837</v>
      </c>
      <c r="B11111" t="str">
        <f t="shared" si="400"/>
        <v>0.00003%</v>
      </c>
      <c r="C11111" t="s">
        <v>10</v>
      </c>
      <c r="D11111" t="s">
        <v>10</v>
      </c>
      <c r="E11111" t="str">
        <f>"$ 260"</f>
        <v>$ 260</v>
      </c>
      <c r="F11111">
        <v>119</v>
      </c>
    </row>
    <row r="11112" spans="1:6">
      <c r="A11112" t="s">
        <v>9050</v>
      </c>
      <c r="B11112" t="str">
        <f t="shared" si="400"/>
        <v>0.00003%</v>
      </c>
      <c r="C11112" t="s">
        <v>10</v>
      </c>
      <c r="D11112" t="s">
        <v>10</v>
      </c>
      <c r="E11112" t="str">
        <f>"$ 255"</f>
        <v>$ 255</v>
      </c>
      <c r="F11112">
        <v>87</v>
      </c>
    </row>
    <row r="11113" spans="1:6">
      <c r="A11113" t="s">
        <v>10322</v>
      </c>
      <c r="B11113" t="str">
        <f t="shared" si="400"/>
        <v>0.00003%</v>
      </c>
      <c r="C11113" t="s">
        <v>10</v>
      </c>
      <c r="D11113" t="s">
        <v>10</v>
      </c>
      <c r="E11113" t="str">
        <f>"$ 260"</f>
        <v>$ 260</v>
      </c>
      <c r="F11113">
        <v>486</v>
      </c>
    </row>
    <row r="11114" spans="1:6">
      <c r="A11114" t="s">
        <v>10838</v>
      </c>
      <c r="B11114" t="str">
        <f t="shared" si="400"/>
        <v>0.00003%</v>
      </c>
      <c r="C11114" t="s">
        <v>10</v>
      </c>
      <c r="D11114" t="s">
        <v>10</v>
      </c>
      <c r="E11114" t="str">
        <f>"$ 266"</f>
        <v>$ 266</v>
      </c>
      <c r="F11114">
        <v>107</v>
      </c>
    </row>
    <row r="11115" spans="1:6">
      <c r="A11115" t="s">
        <v>10839</v>
      </c>
      <c r="B11115" t="str">
        <f t="shared" si="400"/>
        <v>0.00003%</v>
      </c>
      <c r="C11115" t="s">
        <v>10</v>
      </c>
      <c r="D11115" t="s">
        <v>10</v>
      </c>
      <c r="E11115" t="str">
        <f>"$ 198"</f>
        <v>$ 198</v>
      </c>
      <c r="F11115">
        <v>142</v>
      </c>
    </row>
    <row r="11116" spans="1:6">
      <c r="A11116" t="s">
        <v>10840</v>
      </c>
      <c r="B11116" t="str">
        <f t="shared" si="400"/>
        <v>0.00003%</v>
      </c>
      <c r="C11116" t="s">
        <v>10</v>
      </c>
      <c r="D11116" t="s">
        <v>10</v>
      </c>
      <c r="E11116" t="str">
        <f>"$ 224"</f>
        <v>$ 224</v>
      </c>
      <c r="F11116">
        <v>235</v>
      </c>
    </row>
    <row r="11117" spans="1:6">
      <c r="A11117" t="s">
        <v>10841</v>
      </c>
      <c r="B11117" t="str">
        <f t="shared" si="400"/>
        <v>0.00003%</v>
      </c>
      <c r="C11117" t="s">
        <v>10</v>
      </c>
      <c r="D11117" t="s">
        <v>10</v>
      </c>
      <c r="E11117" t="str">
        <f>"$ 230"</f>
        <v>$ 230</v>
      </c>
      <c r="F11117">
        <v>195</v>
      </c>
    </row>
    <row r="11118" spans="1:6">
      <c r="A11118" t="s">
        <v>10842</v>
      </c>
      <c r="B11118" t="str">
        <f t="shared" si="400"/>
        <v>0.00003%</v>
      </c>
      <c r="C11118" t="s">
        <v>10</v>
      </c>
      <c r="D11118" t="s">
        <v>10</v>
      </c>
      <c r="E11118" t="str">
        <f>"$ 231"</f>
        <v>$ 231</v>
      </c>
      <c r="F11118">
        <v>65</v>
      </c>
    </row>
    <row r="11119" spans="1:6">
      <c r="A11119" t="s">
        <v>10843</v>
      </c>
      <c r="B11119" t="str">
        <f t="shared" si="400"/>
        <v>0.00003%</v>
      </c>
      <c r="C11119" t="s">
        <v>10</v>
      </c>
      <c r="D11119" t="s">
        <v>10</v>
      </c>
      <c r="E11119" t="str">
        <f>"$ 228"</f>
        <v>$ 228</v>
      </c>
      <c r="F11119">
        <v>89</v>
      </c>
    </row>
    <row r="11120" spans="1:6">
      <c r="A11120" t="s">
        <v>10844</v>
      </c>
      <c r="B11120" t="str">
        <f t="shared" si="400"/>
        <v>0.00003%</v>
      </c>
      <c r="C11120" t="s">
        <v>10</v>
      </c>
      <c r="D11120" t="s">
        <v>10</v>
      </c>
      <c r="E11120" t="str">
        <f>"$ 232"</f>
        <v>$ 232</v>
      </c>
      <c r="F11120">
        <v>136</v>
      </c>
    </row>
    <row r="11121" spans="1:6">
      <c r="A11121" t="s">
        <v>10845</v>
      </c>
      <c r="B11121" t="str">
        <f t="shared" si="400"/>
        <v>0.00003%</v>
      </c>
      <c r="C11121" t="s">
        <v>10</v>
      </c>
      <c r="D11121" t="s">
        <v>10</v>
      </c>
      <c r="E11121" t="str">
        <f>"$ 194"</f>
        <v>$ 194</v>
      </c>
      <c r="F11121">
        <v>122</v>
      </c>
    </row>
    <row r="11122" spans="1:6">
      <c r="A11122" t="s">
        <v>10846</v>
      </c>
      <c r="B11122" t="str">
        <f t="shared" si="400"/>
        <v>0.00003%</v>
      </c>
      <c r="C11122" t="s">
        <v>10</v>
      </c>
      <c r="D11122" t="s">
        <v>10</v>
      </c>
      <c r="E11122" t="str">
        <f>"$ 216"</f>
        <v>$ 216</v>
      </c>
      <c r="F11122">
        <v>238</v>
      </c>
    </row>
    <row r="11123" spans="1:6">
      <c r="A11123" t="s">
        <v>10847</v>
      </c>
      <c r="B11123" t="str">
        <f t="shared" si="400"/>
        <v>0.00003%</v>
      </c>
      <c r="C11123" t="s">
        <v>10</v>
      </c>
      <c r="D11123" t="s">
        <v>10</v>
      </c>
      <c r="E11123" t="str">
        <f>"$ 210"</f>
        <v>$ 210</v>
      </c>
      <c r="F11123">
        <v>58</v>
      </c>
    </row>
    <row r="11124" spans="1:6">
      <c r="A11124" t="s">
        <v>10848</v>
      </c>
      <c r="B11124" t="str">
        <f t="shared" si="400"/>
        <v>0.00003%</v>
      </c>
      <c r="C11124" t="s">
        <v>10</v>
      </c>
      <c r="D11124" t="s">
        <v>10</v>
      </c>
      <c r="E11124" t="str">
        <f>"$ 238"</f>
        <v>$ 238</v>
      </c>
      <c r="F11124">
        <v>513</v>
      </c>
    </row>
    <row r="11125" spans="1:6">
      <c r="A11125" t="s">
        <v>10849</v>
      </c>
      <c r="B11125" t="str">
        <f t="shared" si="400"/>
        <v>0.00003%</v>
      </c>
      <c r="C11125" t="s">
        <v>10</v>
      </c>
      <c r="D11125" t="s">
        <v>10</v>
      </c>
      <c r="E11125" t="str">
        <f>"$ 242"</f>
        <v>$ 242</v>
      </c>
      <c r="F11125">
        <v>293</v>
      </c>
    </row>
    <row r="11126" spans="1:6">
      <c r="A11126" t="s">
        <v>10850</v>
      </c>
      <c r="B11126" t="str">
        <f t="shared" si="400"/>
        <v>0.00003%</v>
      </c>
      <c r="C11126" t="s">
        <v>10</v>
      </c>
      <c r="D11126" t="s">
        <v>10</v>
      </c>
      <c r="E11126" t="str">
        <f>"$ 208"</f>
        <v>$ 208</v>
      </c>
      <c r="F11126">
        <v>134</v>
      </c>
    </row>
    <row r="11127" spans="1:6">
      <c r="A11127" t="s">
        <v>10851</v>
      </c>
      <c r="B11127" t="str">
        <f t="shared" si="400"/>
        <v>0.00003%</v>
      </c>
      <c r="C11127" t="s">
        <v>10</v>
      </c>
      <c r="D11127" t="s">
        <v>10</v>
      </c>
      <c r="E11127" t="str">
        <f>"$ 224"</f>
        <v>$ 224</v>
      </c>
      <c r="F11127">
        <v>171</v>
      </c>
    </row>
    <row r="11128" spans="1:6">
      <c r="A11128" t="s">
        <v>10852</v>
      </c>
      <c r="B11128" t="str">
        <f t="shared" si="400"/>
        <v>0.00003%</v>
      </c>
      <c r="C11128" t="s">
        <v>10</v>
      </c>
      <c r="D11128" t="s">
        <v>10</v>
      </c>
      <c r="E11128" t="str">
        <f>"$ 257"</f>
        <v>$ 257</v>
      </c>
      <c r="F11128">
        <v>472</v>
      </c>
    </row>
    <row r="11129" spans="1:6">
      <c r="A11129" t="s">
        <v>10853</v>
      </c>
      <c r="B11129" t="str">
        <f t="shared" si="400"/>
        <v>0.00003%</v>
      </c>
      <c r="C11129" t="s">
        <v>10</v>
      </c>
      <c r="D11129" t="s">
        <v>10</v>
      </c>
      <c r="E11129" t="str">
        <f>"$ 252"</f>
        <v>$ 252</v>
      </c>
      <c r="F11129">
        <v>298</v>
      </c>
    </row>
    <row r="11130" spans="1:6">
      <c r="A11130" t="s">
        <v>10854</v>
      </c>
      <c r="B11130" t="str">
        <f t="shared" si="400"/>
        <v>0.00003%</v>
      </c>
      <c r="C11130" t="s">
        <v>10</v>
      </c>
      <c r="D11130" t="s">
        <v>10</v>
      </c>
      <c r="E11130" t="str">
        <f>"$ 251"</f>
        <v>$ 251</v>
      </c>
      <c r="F11130">
        <v>118</v>
      </c>
    </row>
    <row r="11131" spans="1:6">
      <c r="A11131" t="s">
        <v>10855</v>
      </c>
      <c r="B11131" t="str">
        <f t="shared" si="400"/>
        <v>0.00003%</v>
      </c>
      <c r="C11131" t="s">
        <v>10</v>
      </c>
      <c r="D11131" t="s">
        <v>10</v>
      </c>
      <c r="E11131" t="str">
        <f>"$ 231"</f>
        <v>$ 231</v>
      </c>
      <c r="F11131">
        <v>297</v>
      </c>
    </row>
    <row r="11132" spans="1:6">
      <c r="A11132" t="s">
        <v>10854</v>
      </c>
      <c r="B11132" t="str">
        <f t="shared" si="400"/>
        <v>0.00003%</v>
      </c>
      <c r="C11132" t="s">
        <v>10</v>
      </c>
      <c r="D11132" t="s">
        <v>10</v>
      </c>
      <c r="E11132" t="str">
        <f>"$ 226"</f>
        <v>$ 226</v>
      </c>
      <c r="F11132">
        <v>106</v>
      </c>
    </row>
    <row r="11133" spans="1:6">
      <c r="A11133" t="s">
        <v>10856</v>
      </c>
      <c r="B11133" t="str">
        <f t="shared" si="400"/>
        <v>0.00003%</v>
      </c>
      <c r="C11133" t="s">
        <v>10</v>
      </c>
      <c r="D11133" t="s">
        <v>10</v>
      </c>
      <c r="E11133" t="str">
        <f>"$ 193"</f>
        <v>$ 193</v>
      </c>
      <c r="F11133">
        <v>347</v>
      </c>
    </row>
    <row r="11134" spans="1:6">
      <c r="A11134" t="s">
        <v>10857</v>
      </c>
      <c r="B11134" t="str">
        <f t="shared" si="400"/>
        <v>0.00003%</v>
      </c>
      <c r="C11134" t="s">
        <v>10</v>
      </c>
      <c r="D11134" t="s">
        <v>10</v>
      </c>
      <c r="E11134" t="str">
        <f>"$ 240"</f>
        <v>$ 240</v>
      </c>
      <c r="F11134">
        <v>237</v>
      </c>
    </row>
    <row r="11135" spans="1:6">
      <c r="A11135" t="s">
        <v>10858</v>
      </c>
      <c r="B11135" t="str">
        <f t="shared" si="400"/>
        <v>0.00003%</v>
      </c>
      <c r="C11135" t="s">
        <v>10</v>
      </c>
      <c r="D11135" t="s">
        <v>10</v>
      </c>
      <c r="E11135" t="str">
        <f>"$ 236"</f>
        <v>$ 236</v>
      </c>
      <c r="F11135">
        <v>221</v>
      </c>
    </row>
    <row r="11136" spans="1:6">
      <c r="A11136" t="s">
        <v>10859</v>
      </c>
      <c r="B11136" t="str">
        <f t="shared" si="400"/>
        <v>0.00003%</v>
      </c>
      <c r="C11136" t="s">
        <v>10</v>
      </c>
      <c r="D11136" t="s">
        <v>10</v>
      </c>
      <c r="E11136" t="str">
        <f>"$ 197"</f>
        <v>$ 197</v>
      </c>
      <c r="F11136">
        <v>492</v>
      </c>
    </row>
    <row r="11137" spans="1:6">
      <c r="A11137" t="s">
        <v>10860</v>
      </c>
      <c r="B11137" t="str">
        <f t="shared" si="400"/>
        <v>0.00003%</v>
      </c>
      <c r="C11137" t="s">
        <v>10</v>
      </c>
      <c r="D11137" t="s">
        <v>10</v>
      </c>
      <c r="E11137" t="str">
        <f>"$ 202"</f>
        <v>$ 202</v>
      </c>
      <c r="F11137">
        <v>216</v>
      </c>
    </row>
    <row r="11138" spans="1:6">
      <c r="A11138" t="s">
        <v>10065</v>
      </c>
      <c r="B11138" t="str">
        <f t="shared" si="400"/>
        <v>0.00003%</v>
      </c>
      <c r="C11138" t="s">
        <v>10</v>
      </c>
      <c r="D11138" t="s">
        <v>10</v>
      </c>
      <c r="E11138" t="str">
        <f>"$ 198"</f>
        <v>$ 198</v>
      </c>
      <c r="F11138">
        <v>228</v>
      </c>
    </row>
    <row r="11139" spans="1:6">
      <c r="A11139" t="s">
        <v>10861</v>
      </c>
      <c r="B11139" t="str">
        <f t="shared" si="400"/>
        <v>0.00003%</v>
      </c>
      <c r="C11139" t="s">
        <v>10</v>
      </c>
      <c r="D11139" t="s">
        <v>10</v>
      </c>
      <c r="E11139" t="str">
        <f>"$ 212"</f>
        <v>$ 212</v>
      </c>
      <c r="F11139">
        <v>105</v>
      </c>
    </row>
    <row r="11140" spans="1:6">
      <c r="A11140" t="s">
        <v>10862</v>
      </c>
      <c r="B11140" t="str">
        <f t="shared" si="400"/>
        <v>0.00003%</v>
      </c>
      <c r="C11140" t="s">
        <v>10</v>
      </c>
      <c r="D11140" t="s">
        <v>10</v>
      </c>
      <c r="E11140" t="str">
        <f>"$ 267"</f>
        <v>$ 267</v>
      </c>
      <c r="F11140">
        <v>218</v>
      </c>
    </row>
    <row r="11141" spans="1:6">
      <c r="A11141" t="s">
        <v>10863</v>
      </c>
      <c r="B11141" t="str">
        <f t="shared" si="400"/>
        <v>0.00003%</v>
      </c>
      <c r="C11141" t="s">
        <v>10</v>
      </c>
      <c r="D11141" t="s">
        <v>10</v>
      </c>
      <c r="E11141" t="str">
        <f>"$ 238"</f>
        <v>$ 238</v>
      </c>
      <c r="F11141">
        <v>39</v>
      </c>
    </row>
    <row r="11142" spans="1:6">
      <c r="A11142" t="s">
        <v>10864</v>
      </c>
      <c r="B11142" t="str">
        <f t="shared" si="400"/>
        <v>0.00003%</v>
      </c>
      <c r="C11142" t="s">
        <v>10</v>
      </c>
      <c r="D11142" t="s">
        <v>10</v>
      </c>
      <c r="E11142" t="str">
        <f>"$ 219"</f>
        <v>$ 219</v>
      </c>
      <c r="F11142">
        <v>327</v>
      </c>
    </row>
    <row r="11143" spans="1:6">
      <c r="A11143" t="s">
        <v>10339</v>
      </c>
      <c r="B11143" t="str">
        <f t="shared" si="400"/>
        <v>0.00003%</v>
      </c>
      <c r="C11143" t="s">
        <v>10</v>
      </c>
      <c r="D11143" t="s">
        <v>10</v>
      </c>
      <c r="E11143" t="str">
        <f>"$ 241"</f>
        <v>$ 241</v>
      </c>
      <c r="F11143">
        <v>239</v>
      </c>
    </row>
    <row r="11144" spans="1:6">
      <c r="A11144" t="s">
        <v>10865</v>
      </c>
      <c r="B11144" t="str">
        <f t="shared" si="400"/>
        <v>0.00003%</v>
      </c>
      <c r="C11144" t="s">
        <v>10</v>
      </c>
      <c r="D11144" t="s">
        <v>10</v>
      </c>
      <c r="E11144" t="str">
        <f>"$ 215"</f>
        <v>$ 215</v>
      </c>
      <c r="F11144">
        <v>334</v>
      </c>
    </row>
    <row r="11145" spans="1:6">
      <c r="A11145" t="s">
        <v>10596</v>
      </c>
      <c r="B11145" t="str">
        <f t="shared" si="400"/>
        <v>0.00003%</v>
      </c>
      <c r="C11145" t="s">
        <v>10</v>
      </c>
      <c r="D11145" t="s">
        <v>10</v>
      </c>
      <c r="E11145" t="str">
        <f>"$ 196"</f>
        <v>$ 196</v>
      </c>
      <c r="F11145">
        <v>96</v>
      </c>
    </row>
    <row r="11146" spans="1:6">
      <c r="A11146" t="s">
        <v>10866</v>
      </c>
      <c r="B11146" t="str">
        <f t="shared" si="400"/>
        <v>0.00003%</v>
      </c>
      <c r="C11146" t="s">
        <v>10</v>
      </c>
      <c r="D11146" t="s">
        <v>10</v>
      </c>
      <c r="E11146" t="str">
        <f>"$ 258"</f>
        <v>$ 258</v>
      </c>
      <c r="F11146">
        <v>155</v>
      </c>
    </row>
    <row r="11147" spans="1:6">
      <c r="A11147" t="s">
        <v>10867</v>
      </c>
      <c r="B11147" t="str">
        <f t="shared" si="400"/>
        <v>0.00003%</v>
      </c>
      <c r="C11147" t="s">
        <v>10</v>
      </c>
      <c r="D11147" t="s">
        <v>10</v>
      </c>
      <c r="E11147" t="str">
        <f>"$ 202"</f>
        <v>$ 202</v>
      </c>
      <c r="F11147">
        <v>108</v>
      </c>
    </row>
    <row r="11148" spans="1:6">
      <c r="A11148" t="s">
        <v>10868</v>
      </c>
      <c r="B11148" t="str">
        <f t="shared" si="400"/>
        <v>0.00003%</v>
      </c>
      <c r="C11148" t="s">
        <v>10</v>
      </c>
      <c r="D11148" t="s">
        <v>10</v>
      </c>
      <c r="E11148" t="str">
        <f>"$ 206"</f>
        <v>$ 206</v>
      </c>
      <c r="F11148">
        <v>360</v>
      </c>
    </row>
    <row r="11149" spans="1:6">
      <c r="A11149" t="s">
        <v>10869</v>
      </c>
      <c r="B11149" t="str">
        <f t="shared" si="400"/>
        <v>0.00003%</v>
      </c>
      <c r="C11149" t="s">
        <v>10</v>
      </c>
      <c r="D11149" t="s">
        <v>10</v>
      </c>
      <c r="E11149" t="str">
        <f>"$ 203"</f>
        <v>$ 203</v>
      </c>
      <c r="F11149">
        <v>96</v>
      </c>
    </row>
    <row r="11150" spans="1:6">
      <c r="A11150" t="s">
        <v>10870</v>
      </c>
      <c r="B11150" t="str">
        <f t="shared" si="400"/>
        <v>0.00003%</v>
      </c>
      <c r="C11150" t="s">
        <v>10</v>
      </c>
      <c r="D11150" t="s">
        <v>10</v>
      </c>
      <c r="E11150" t="str">
        <f>"$ 215"</f>
        <v>$ 215</v>
      </c>
      <c r="F11150">
        <v>100</v>
      </c>
    </row>
    <row r="11151" spans="1:6">
      <c r="A11151" t="s">
        <v>10871</v>
      </c>
      <c r="B11151" t="str">
        <f t="shared" si="400"/>
        <v>0.00003%</v>
      </c>
      <c r="C11151" t="s">
        <v>10</v>
      </c>
      <c r="D11151" t="s">
        <v>10</v>
      </c>
      <c r="E11151" t="str">
        <f>"$ 240"</f>
        <v>$ 240</v>
      </c>
      <c r="F11151">
        <v>248</v>
      </c>
    </row>
    <row r="11152" spans="1:6">
      <c r="A11152" t="s">
        <v>10872</v>
      </c>
      <c r="B11152" t="str">
        <f t="shared" si="400"/>
        <v>0.00003%</v>
      </c>
      <c r="C11152" t="s">
        <v>10</v>
      </c>
      <c r="D11152" t="s">
        <v>10</v>
      </c>
      <c r="E11152" t="str">
        <f>"$ 226"</f>
        <v>$ 226</v>
      </c>
      <c r="F11152">
        <v>133</v>
      </c>
    </row>
    <row r="11153" spans="1:6">
      <c r="A11153" t="s">
        <v>10345</v>
      </c>
      <c r="B11153" t="str">
        <f t="shared" si="400"/>
        <v>0.00003%</v>
      </c>
      <c r="C11153" t="s">
        <v>10</v>
      </c>
      <c r="D11153" t="s">
        <v>10</v>
      </c>
      <c r="E11153" t="str">
        <f>"$ 232"</f>
        <v>$ 232</v>
      </c>
      <c r="F11153">
        <v>280</v>
      </c>
    </row>
    <row r="11154" spans="1:6">
      <c r="A11154" t="s">
        <v>10873</v>
      </c>
      <c r="B11154" t="str">
        <f t="shared" si="400"/>
        <v>0.00003%</v>
      </c>
      <c r="C11154" t="s">
        <v>10</v>
      </c>
      <c r="D11154" t="s">
        <v>10</v>
      </c>
      <c r="E11154" t="str">
        <f>"$ 235"</f>
        <v>$ 235</v>
      </c>
      <c r="F11154">
        <v>64</v>
      </c>
    </row>
    <row r="11155" spans="1:6">
      <c r="A11155" t="s">
        <v>8239</v>
      </c>
      <c r="B11155" t="str">
        <f t="shared" si="400"/>
        <v>0.00003%</v>
      </c>
      <c r="C11155" t="s">
        <v>10</v>
      </c>
      <c r="D11155" t="s">
        <v>10</v>
      </c>
      <c r="E11155" t="str">
        <f>"$ 245"</f>
        <v>$ 245</v>
      </c>
      <c r="F11155">
        <v>27</v>
      </c>
    </row>
    <row r="11156" spans="1:6">
      <c r="A11156" t="s">
        <v>10870</v>
      </c>
      <c r="B11156" t="str">
        <f t="shared" si="400"/>
        <v>0.00003%</v>
      </c>
      <c r="C11156" t="s">
        <v>10</v>
      </c>
      <c r="D11156" t="s">
        <v>10</v>
      </c>
      <c r="E11156" t="str">
        <f>"$ 249"</f>
        <v>$ 249</v>
      </c>
      <c r="F11156">
        <v>116</v>
      </c>
    </row>
    <row r="11157" spans="1:6">
      <c r="A11157" t="s">
        <v>10874</v>
      </c>
      <c r="B11157" t="str">
        <f t="shared" si="400"/>
        <v>0.00003%</v>
      </c>
      <c r="C11157" t="s">
        <v>10</v>
      </c>
      <c r="D11157" t="s">
        <v>10</v>
      </c>
      <c r="E11157" t="str">
        <f>"$ 202"</f>
        <v>$ 202</v>
      </c>
      <c r="F11157">
        <v>162</v>
      </c>
    </row>
    <row r="11158" spans="1:6">
      <c r="A11158" t="s">
        <v>10875</v>
      </c>
      <c r="B11158" t="str">
        <f t="shared" si="400"/>
        <v>0.00003%</v>
      </c>
      <c r="C11158" t="s">
        <v>10</v>
      </c>
      <c r="D11158" t="s">
        <v>10</v>
      </c>
      <c r="E11158" t="str">
        <f>"$ 193"</f>
        <v>$ 193</v>
      </c>
      <c r="F11158">
        <v>132</v>
      </c>
    </row>
    <row r="11159" spans="1:6">
      <c r="A11159" t="s">
        <v>10876</v>
      </c>
      <c r="B11159" t="str">
        <f t="shared" si="400"/>
        <v>0.00003%</v>
      </c>
      <c r="C11159" t="s">
        <v>10</v>
      </c>
      <c r="D11159" t="s">
        <v>10</v>
      </c>
      <c r="E11159" t="str">
        <f>"$ 250"</f>
        <v>$ 250</v>
      </c>
      <c r="F11159">
        <v>22</v>
      </c>
    </row>
    <row r="11160" spans="1:6">
      <c r="A11160" t="s">
        <v>10877</v>
      </c>
      <c r="B11160" t="str">
        <f t="shared" si="400"/>
        <v>0.00003%</v>
      </c>
      <c r="C11160" t="s">
        <v>10</v>
      </c>
      <c r="D11160" t="s">
        <v>10</v>
      </c>
      <c r="E11160" t="str">
        <f>"$ 254"</f>
        <v>$ 254</v>
      </c>
      <c r="F11160">
        <v>4</v>
      </c>
    </row>
    <row r="11161" spans="1:6">
      <c r="A11161" t="s">
        <v>10878</v>
      </c>
      <c r="B11161" t="str">
        <f t="shared" si="400"/>
        <v>0.00003%</v>
      </c>
      <c r="C11161" t="s">
        <v>10</v>
      </c>
      <c r="D11161" t="s">
        <v>10</v>
      </c>
      <c r="E11161" t="str">
        <f>"$ 194"</f>
        <v>$ 194</v>
      </c>
      <c r="F11161">
        <v>66</v>
      </c>
    </row>
    <row r="11162" spans="1:6">
      <c r="A11162" t="s">
        <v>10879</v>
      </c>
      <c r="B11162" t="str">
        <f t="shared" si="400"/>
        <v>0.00003%</v>
      </c>
      <c r="C11162" t="s">
        <v>10</v>
      </c>
      <c r="D11162" t="s">
        <v>10</v>
      </c>
      <c r="E11162" t="str">
        <f>"$ 238"</f>
        <v>$ 238</v>
      </c>
      <c r="F11162">
        <v>36</v>
      </c>
    </row>
    <row r="11163" spans="1:6">
      <c r="A11163" t="s">
        <v>10880</v>
      </c>
      <c r="B11163" t="str">
        <f t="shared" si="400"/>
        <v>0.00003%</v>
      </c>
      <c r="C11163" t="s">
        <v>10</v>
      </c>
      <c r="D11163" t="s">
        <v>10</v>
      </c>
      <c r="E11163" t="str">
        <f>"$ 232"</f>
        <v>$ 232</v>
      </c>
      <c r="F11163">
        <v>192</v>
      </c>
    </row>
    <row r="11164" spans="1:6">
      <c r="A11164" t="s">
        <v>10881</v>
      </c>
      <c r="B11164" t="str">
        <f t="shared" ref="B11164:B11227" si="401">"0.00003%"</f>
        <v>0.00003%</v>
      </c>
      <c r="C11164" t="s">
        <v>10</v>
      </c>
      <c r="D11164" t="s">
        <v>10</v>
      </c>
      <c r="E11164" t="str">
        <f>"$ 205"</f>
        <v>$ 205</v>
      </c>
      <c r="F11164">
        <v>51</v>
      </c>
    </row>
    <row r="11165" spans="1:6">
      <c r="A11165" t="s">
        <v>10882</v>
      </c>
      <c r="B11165" t="str">
        <f t="shared" si="401"/>
        <v>0.00003%</v>
      </c>
      <c r="C11165" t="s">
        <v>10</v>
      </c>
      <c r="D11165" t="s">
        <v>10</v>
      </c>
      <c r="E11165" t="str">
        <f>"$ 206"</f>
        <v>$ 206</v>
      </c>
      <c r="F11165">
        <v>117</v>
      </c>
    </row>
    <row r="11166" spans="1:6">
      <c r="A11166" t="s">
        <v>9858</v>
      </c>
      <c r="B11166" t="str">
        <f t="shared" si="401"/>
        <v>0.00003%</v>
      </c>
      <c r="C11166" t="s">
        <v>10</v>
      </c>
      <c r="D11166" t="s">
        <v>10</v>
      </c>
      <c r="E11166" t="str">
        <f>"$ 208"</f>
        <v>$ 208</v>
      </c>
      <c r="F11166">
        <v>67</v>
      </c>
    </row>
    <row r="11167" spans="1:6">
      <c r="A11167" t="s">
        <v>10883</v>
      </c>
      <c r="B11167" t="str">
        <f t="shared" si="401"/>
        <v>0.00003%</v>
      </c>
      <c r="C11167" t="s">
        <v>10</v>
      </c>
      <c r="D11167" t="s">
        <v>10</v>
      </c>
      <c r="E11167" t="str">
        <f>"$ 205"</f>
        <v>$ 205</v>
      </c>
      <c r="F11167">
        <v>165</v>
      </c>
    </row>
    <row r="11168" spans="1:6">
      <c r="A11168" t="s">
        <v>10884</v>
      </c>
      <c r="B11168" t="str">
        <f t="shared" si="401"/>
        <v>0.00003%</v>
      </c>
      <c r="C11168" t="s">
        <v>10</v>
      </c>
      <c r="D11168" t="s">
        <v>10</v>
      </c>
      <c r="E11168" t="str">
        <f>"$ 203"</f>
        <v>$ 203</v>
      </c>
      <c r="F11168">
        <v>23</v>
      </c>
    </row>
    <row r="11169" spans="1:6">
      <c r="A11169" t="s">
        <v>10885</v>
      </c>
      <c r="B11169" t="str">
        <f t="shared" si="401"/>
        <v>0.00003%</v>
      </c>
      <c r="C11169" t="s">
        <v>10</v>
      </c>
      <c r="D11169" t="s">
        <v>10</v>
      </c>
      <c r="E11169" t="str">
        <f>"$ 230"</f>
        <v>$ 230</v>
      </c>
      <c r="F11169">
        <v>103</v>
      </c>
    </row>
    <row r="11170" spans="1:6">
      <c r="A11170" t="s">
        <v>10886</v>
      </c>
      <c r="B11170" t="str">
        <f t="shared" si="401"/>
        <v>0.00003%</v>
      </c>
      <c r="C11170" t="s">
        <v>10</v>
      </c>
      <c r="D11170" t="s">
        <v>10</v>
      </c>
      <c r="E11170" t="str">
        <f>"$ 224"</f>
        <v>$ 224</v>
      </c>
      <c r="F11170">
        <v>36</v>
      </c>
    </row>
    <row r="11171" spans="1:6">
      <c r="A11171" t="s">
        <v>10887</v>
      </c>
      <c r="B11171" t="str">
        <f t="shared" si="401"/>
        <v>0.00003%</v>
      </c>
      <c r="C11171" t="s">
        <v>10</v>
      </c>
      <c r="D11171" t="s">
        <v>10</v>
      </c>
      <c r="E11171" t="str">
        <f>"$ 226"</f>
        <v>$ 226</v>
      </c>
      <c r="F11171">
        <v>44</v>
      </c>
    </row>
    <row r="11172" spans="1:6">
      <c r="A11172" t="s">
        <v>10888</v>
      </c>
      <c r="B11172" t="str">
        <f t="shared" si="401"/>
        <v>0.00003%</v>
      </c>
      <c r="C11172" t="s">
        <v>10</v>
      </c>
      <c r="D11172" t="s">
        <v>10</v>
      </c>
      <c r="E11172" t="str">
        <f>"$ 236"</f>
        <v>$ 236</v>
      </c>
      <c r="F11172">
        <v>47</v>
      </c>
    </row>
    <row r="11173" spans="1:6">
      <c r="A11173" t="s">
        <v>10889</v>
      </c>
      <c r="B11173" t="str">
        <f t="shared" si="401"/>
        <v>0.00003%</v>
      </c>
      <c r="C11173" t="s">
        <v>10</v>
      </c>
      <c r="D11173" t="s">
        <v>10</v>
      </c>
      <c r="E11173" t="str">
        <f>"$ 195"</f>
        <v>$ 195</v>
      </c>
      <c r="F11173">
        <v>50</v>
      </c>
    </row>
    <row r="11174" spans="1:6">
      <c r="A11174" t="s">
        <v>10357</v>
      </c>
      <c r="B11174" t="str">
        <f t="shared" si="401"/>
        <v>0.00003%</v>
      </c>
      <c r="C11174" t="s">
        <v>10</v>
      </c>
      <c r="D11174" t="s">
        <v>10</v>
      </c>
      <c r="E11174" t="str">
        <f>"$ 194"</f>
        <v>$ 194</v>
      </c>
      <c r="F11174">
        <v>202</v>
      </c>
    </row>
    <row r="11175" spans="1:6">
      <c r="A11175" t="s">
        <v>10890</v>
      </c>
      <c r="B11175" t="str">
        <f t="shared" si="401"/>
        <v>0.00003%</v>
      </c>
      <c r="C11175" t="s">
        <v>10</v>
      </c>
      <c r="D11175" t="s">
        <v>10</v>
      </c>
      <c r="E11175" t="str">
        <f>"$ 212"</f>
        <v>$ 212</v>
      </c>
      <c r="F11175">
        <v>226</v>
      </c>
    </row>
    <row r="11176" spans="1:6">
      <c r="A11176" t="s">
        <v>10891</v>
      </c>
      <c r="B11176" t="str">
        <f t="shared" si="401"/>
        <v>0.00003%</v>
      </c>
      <c r="C11176" t="s">
        <v>10</v>
      </c>
      <c r="D11176" t="s">
        <v>10</v>
      </c>
      <c r="E11176" t="str">
        <f>"$ 219"</f>
        <v>$ 219</v>
      </c>
      <c r="F11176">
        <v>25</v>
      </c>
    </row>
    <row r="11177" spans="1:6">
      <c r="A11177" t="s">
        <v>10892</v>
      </c>
      <c r="B11177" t="str">
        <f t="shared" si="401"/>
        <v>0.00003%</v>
      </c>
      <c r="C11177" t="s">
        <v>10</v>
      </c>
      <c r="D11177" t="s">
        <v>10</v>
      </c>
      <c r="E11177" t="str">
        <f>"$ 223"</f>
        <v>$ 223</v>
      </c>
      <c r="F11177">
        <v>75</v>
      </c>
    </row>
    <row r="11178" spans="1:6">
      <c r="A11178" t="s">
        <v>10893</v>
      </c>
      <c r="B11178" t="str">
        <f t="shared" si="401"/>
        <v>0.00003%</v>
      </c>
      <c r="C11178" t="s">
        <v>10</v>
      </c>
      <c r="D11178" t="s">
        <v>10</v>
      </c>
      <c r="E11178" t="str">
        <f>"$ 254"</f>
        <v>$ 254</v>
      </c>
      <c r="F11178">
        <v>111</v>
      </c>
    </row>
    <row r="11179" spans="1:6">
      <c r="A11179" t="s">
        <v>10894</v>
      </c>
      <c r="B11179" t="str">
        <f t="shared" si="401"/>
        <v>0.00003%</v>
      </c>
      <c r="C11179" t="s">
        <v>10</v>
      </c>
      <c r="D11179" t="s">
        <v>10</v>
      </c>
      <c r="E11179" t="str">
        <f>"$ 250"</f>
        <v>$ 250</v>
      </c>
      <c r="F11179">
        <v>53</v>
      </c>
    </row>
    <row r="11180" spans="1:6">
      <c r="A11180" t="s">
        <v>10895</v>
      </c>
      <c r="B11180" t="str">
        <f t="shared" si="401"/>
        <v>0.00003%</v>
      </c>
      <c r="C11180" t="s">
        <v>10</v>
      </c>
      <c r="D11180" t="s">
        <v>10</v>
      </c>
      <c r="E11180" t="str">
        <f>"$ 255"</f>
        <v>$ 255</v>
      </c>
      <c r="F11180">
        <v>5</v>
      </c>
    </row>
    <row r="11181" spans="1:6">
      <c r="A11181" t="s">
        <v>10896</v>
      </c>
      <c r="B11181" t="str">
        <f t="shared" si="401"/>
        <v>0.00003%</v>
      </c>
      <c r="C11181" t="s">
        <v>10</v>
      </c>
      <c r="D11181" t="s">
        <v>10</v>
      </c>
      <c r="E11181" t="str">
        <f>"$ 263"</f>
        <v>$ 263</v>
      </c>
      <c r="F11181">
        <v>31</v>
      </c>
    </row>
    <row r="11182" spans="1:6">
      <c r="A11182" t="s">
        <v>10897</v>
      </c>
      <c r="B11182" t="str">
        <f t="shared" si="401"/>
        <v>0.00003%</v>
      </c>
      <c r="C11182" t="s">
        <v>10</v>
      </c>
      <c r="D11182" t="s">
        <v>10</v>
      </c>
      <c r="E11182" t="str">
        <f>"$ 265"</f>
        <v>$ 265</v>
      </c>
      <c r="F11182">
        <v>81</v>
      </c>
    </row>
    <row r="11183" spans="1:6">
      <c r="A11183" t="s">
        <v>10898</v>
      </c>
      <c r="B11183" t="str">
        <f t="shared" si="401"/>
        <v>0.00003%</v>
      </c>
      <c r="C11183" t="s">
        <v>10</v>
      </c>
      <c r="D11183" t="s">
        <v>10</v>
      </c>
      <c r="E11183" t="str">
        <f>"$ 237"</f>
        <v>$ 237</v>
      </c>
      <c r="F11183">
        <v>167</v>
      </c>
    </row>
    <row r="11184" spans="1:6">
      <c r="A11184" t="s">
        <v>10899</v>
      </c>
      <c r="B11184" t="str">
        <f t="shared" si="401"/>
        <v>0.00003%</v>
      </c>
      <c r="C11184" t="s">
        <v>10</v>
      </c>
      <c r="D11184" t="s">
        <v>10</v>
      </c>
      <c r="E11184" t="str">
        <f>"$ 199"</f>
        <v>$ 199</v>
      </c>
      <c r="F11184">
        <v>9</v>
      </c>
    </row>
    <row r="11185" spans="1:6">
      <c r="A11185" t="s">
        <v>10900</v>
      </c>
      <c r="B11185" t="str">
        <f t="shared" si="401"/>
        <v>0.00003%</v>
      </c>
      <c r="C11185" t="s">
        <v>10</v>
      </c>
      <c r="D11185" t="s">
        <v>10</v>
      </c>
      <c r="E11185" t="str">
        <f>"$ 214"</f>
        <v>$ 214</v>
      </c>
      <c r="F11185">
        <v>63</v>
      </c>
    </row>
    <row r="11186" spans="1:6">
      <c r="A11186" t="s">
        <v>10901</v>
      </c>
      <c r="B11186" t="str">
        <f t="shared" si="401"/>
        <v>0.00003%</v>
      </c>
      <c r="C11186" t="s">
        <v>10</v>
      </c>
      <c r="D11186" t="s">
        <v>10</v>
      </c>
      <c r="E11186" t="str">
        <f>"$ 216"</f>
        <v>$ 216</v>
      </c>
      <c r="F11186">
        <v>117</v>
      </c>
    </row>
    <row r="11187" spans="1:6">
      <c r="A11187" t="s">
        <v>10902</v>
      </c>
      <c r="B11187" t="str">
        <f t="shared" si="401"/>
        <v>0.00003%</v>
      </c>
      <c r="C11187" t="s">
        <v>10</v>
      </c>
      <c r="D11187" t="s">
        <v>10</v>
      </c>
      <c r="E11187" t="str">
        <f>"$ 223"</f>
        <v>$ 223</v>
      </c>
      <c r="F11187">
        <v>142</v>
      </c>
    </row>
    <row r="11188" spans="1:6">
      <c r="A11188" t="s">
        <v>10622</v>
      </c>
      <c r="B11188" t="str">
        <f t="shared" si="401"/>
        <v>0.00003%</v>
      </c>
      <c r="C11188" t="s">
        <v>10</v>
      </c>
      <c r="D11188" t="s">
        <v>10</v>
      </c>
      <c r="E11188" t="str">
        <f>"$ 225"</f>
        <v>$ 225</v>
      </c>
      <c r="F11188">
        <v>65</v>
      </c>
    </row>
    <row r="11189" spans="1:6">
      <c r="A11189" t="s">
        <v>10113</v>
      </c>
      <c r="B11189" t="str">
        <f t="shared" si="401"/>
        <v>0.00003%</v>
      </c>
      <c r="C11189" t="s">
        <v>10</v>
      </c>
      <c r="D11189" t="s">
        <v>10</v>
      </c>
      <c r="E11189" t="str">
        <f>"$ 232"</f>
        <v>$ 232</v>
      </c>
      <c r="F11189">
        <v>102</v>
      </c>
    </row>
    <row r="11190" spans="1:6">
      <c r="A11190" t="s">
        <v>10903</v>
      </c>
      <c r="B11190" t="str">
        <f t="shared" si="401"/>
        <v>0.00003%</v>
      </c>
      <c r="C11190" t="s">
        <v>10</v>
      </c>
      <c r="D11190" t="s">
        <v>10</v>
      </c>
      <c r="E11190" t="str">
        <f>"$ 257"</f>
        <v>$ 257</v>
      </c>
      <c r="F11190">
        <v>45</v>
      </c>
    </row>
    <row r="11191" spans="1:6">
      <c r="A11191" t="s">
        <v>10105</v>
      </c>
      <c r="B11191" t="str">
        <f t="shared" si="401"/>
        <v>0.00003%</v>
      </c>
      <c r="C11191" t="s">
        <v>10</v>
      </c>
      <c r="D11191" t="s">
        <v>10</v>
      </c>
      <c r="E11191" t="str">
        <f>"$ 256"</f>
        <v>$ 256</v>
      </c>
      <c r="F11191">
        <v>269</v>
      </c>
    </row>
    <row r="11192" spans="1:6">
      <c r="A11192" t="s">
        <v>10904</v>
      </c>
      <c r="B11192" t="str">
        <f t="shared" si="401"/>
        <v>0.00003%</v>
      </c>
      <c r="C11192" t="s">
        <v>10</v>
      </c>
      <c r="D11192" t="s">
        <v>10</v>
      </c>
      <c r="E11192" t="str">
        <f>"$ 253"</f>
        <v>$ 253</v>
      </c>
      <c r="F11192">
        <v>44</v>
      </c>
    </row>
    <row r="11193" spans="1:6">
      <c r="A11193" t="s">
        <v>10102</v>
      </c>
      <c r="B11193" t="str">
        <f t="shared" si="401"/>
        <v>0.00003%</v>
      </c>
      <c r="C11193" t="s">
        <v>10</v>
      </c>
      <c r="D11193" t="s">
        <v>10</v>
      </c>
      <c r="E11193" t="str">
        <f>"$ 266"</f>
        <v>$ 266</v>
      </c>
      <c r="F11193">
        <v>101</v>
      </c>
    </row>
    <row r="11194" spans="1:6">
      <c r="A11194" t="s">
        <v>10905</v>
      </c>
      <c r="B11194" t="str">
        <f t="shared" si="401"/>
        <v>0.00003%</v>
      </c>
      <c r="C11194" t="s">
        <v>10</v>
      </c>
      <c r="D11194" t="s">
        <v>10</v>
      </c>
      <c r="E11194" t="str">
        <f>"$ 267"</f>
        <v>$ 267</v>
      </c>
      <c r="F11194">
        <v>131</v>
      </c>
    </row>
    <row r="11195" spans="1:6">
      <c r="A11195" t="s">
        <v>10906</v>
      </c>
      <c r="B11195" t="str">
        <f t="shared" si="401"/>
        <v>0.00003%</v>
      </c>
      <c r="C11195" t="s">
        <v>10</v>
      </c>
      <c r="D11195" t="s">
        <v>10</v>
      </c>
      <c r="E11195" t="str">
        <f>"$ 268"</f>
        <v>$ 268</v>
      </c>
      <c r="F11195">
        <v>46</v>
      </c>
    </row>
    <row r="11196" spans="1:6">
      <c r="A11196" t="s">
        <v>10365</v>
      </c>
      <c r="B11196" t="str">
        <f t="shared" si="401"/>
        <v>0.00003%</v>
      </c>
      <c r="C11196" t="s">
        <v>10</v>
      </c>
      <c r="D11196" t="s">
        <v>10</v>
      </c>
      <c r="E11196" t="str">
        <f>"$ 248"</f>
        <v>$ 248</v>
      </c>
      <c r="F11196">
        <v>106</v>
      </c>
    </row>
    <row r="11197" spans="1:6">
      <c r="A11197" t="s">
        <v>10907</v>
      </c>
      <c r="B11197" t="str">
        <f t="shared" si="401"/>
        <v>0.00003%</v>
      </c>
      <c r="C11197" t="s">
        <v>10</v>
      </c>
      <c r="D11197" t="s">
        <v>10</v>
      </c>
      <c r="E11197" t="str">
        <f>"$ 250"</f>
        <v>$ 250</v>
      </c>
      <c r="F11197">
        <v>174</v>
      </c>
    </row>
    <row r="11198" spans="1:6">
      <c r="A11198" t="s">
        <v>10908</v>
      </c>
      <c r="B11198" t="str">
        <f t="shared" si="401"/>
        <v>0.00003%</v>
      </c>
      <c r="C11198" t="s">
        <v>10</v>
      </c>
      <c r="D11198" t="s">
        <v>10</v>
      </c>
      <c r="E11198" t="str">
        <f>"$ 210"</f>
        <v>$ 210</v>
      </c>
      <c r="F11198">
        <v>190</v>
      </c>
    </row>
    <row r="11199" spans="1:6">
      <c r="A11199" t="s">
        <v>10909</v>
      </c>
      <c r="B11199" t="str">
        <f t="shared" si="401"/>
        <v>0.00003%</v>
      </c>
      <c r="C11199" t="s">
        <v>10</v>
      </c>
      <c r="D11199" t="s">
        <v>10</v>
      </c>
      <c r="E11199" t="str">
        <f>"$ 207"</f>
        <v>$ 207</v>
      </c>
      <c r="F11199">
        <v>67</v>
      </c>
    </row>
    <row r="11200" spans="1:6">
      <c r="A11200" t="s">
        <v>10910</v>
      </c>
      <c r="B11200" t="str">
        <f t="shared" si="401"/>
        <v>0.00003%</v>
      </c>
      <c r="C11200" t="s">
        <v>10</v>
      </c>
      <c r="D11200" t="s">
        <v>10</v>
      </c>
      <c r="E11200" t="str">
        <f>"$ 235"</f>
        <v>$ 235</v>
      </c>
      <c r="F11200">
        <v>36</v>
      </c>
    </row>
    <row r="11201" spans="1:6">
      <c r="A11201" t="s">
        <v>10911</v>
      </c>
      <c r="B11201" t="str">
        <f t="shared" si="401"/>
        <v>0.00003%</v>
      </c>
      <c r="C11201" t="s">
        <v>10</v>
      </c>
      <c r="D11201" t="s">
        <v>10</v>
      </c>
      <c r="E11201" t="str">
        <f>"$ 256"</f>
        <v>$ 256</v>
      </c>
      <c r="F11201">
        <v>215</v>
      </c>
    </row>
    <row r="11202" spans="1:6">
      <c r="A11202" t="s">
        <v>10912</v>
      </c>
      <c r="B11202" t="str">
        <f t="shared" si="401"/>
        <v>0.00003%</v>
      </c>
      <c r="C11202" t="s">
        <v>10</v>
      </c>
      <c r="D11202" t="s">
        <v>10</v>
      </c>
      <c r="E11202" t="str">
        <f>"$ 234"</f>
        <v>$ 234</v>
      </c>
      <c r="F11202">
        <v>433</v>
      </c>
    </row>
    <row r="11203" spans="1:6">
      <c r="A11203" t="s">
        <v>10913</v>
      </c>
      <c r="B11203" t="str">
        <f t="shared" si="401"/>
        <v>0.00003%</v>
      </c>
      <c r="C11203" t="s">
        <v>10</v>
      </c>
      <c r="D11203" t="s">
        <v>10</v>
      </c>
      <c r="E11203" t="str">
        <f>"$ 219"</f>
        <v>$ 219</v>
      </c>
      <c r="F11203">
        <v>154</v>
      </c>
    </row>
    <row r="11204" spans="1:6">
      <c r="A11204" t="s">
        <v>9448</v>
      </c>
      <c r="B11204" t="str">
        <f t="shared" si="401"/>
        <v>0.00003%</v>
      </c>
      <c r="C11204" t="s">
        <v>10</v>
      </c>
      <c r="D11204" t="s">
        <v>10</v>
      </c>
      <c r="E11204" t="str">
        <f>"$ 236"</f>
        <v>$ 236</v>
      </c>
      <c r="F11204">
        <v>210</v>
      </c>
    </row>
    <row r="11205" spans="1:6">
      <c r="A11205" t="s">
        <v>10914</v>
      </c>
      <c r="B11205" t="str">
        <f t="shared" si="401"/>
        <v>0.00003%</v>
      </c>
      <c r="C11205" t="s">
        <v>10</v>
      </c>
      <c r="D11205" t="s">
        <v>10</v>
      </c>
      <c r="E11205" t="str">
        <f>"$ 217"</f>
        <v>$ 217</v>
      </c>
      <c r="F11205">
        <v>253</v>
      </c>
    </row>
    <row r="11206" spans="1:6">
      <c r="A11206" t="s">
        <v>10915</v>
      </c>
      <c r="B11206" t="str">
        <f t="shared" si="401"/>
        <v>0.00003%</v>
      </c>
      <c r="C11206" t="s">
        <v>10</v>
      </c>
      <c r="D11206" t="s">
        <v>10</v>
      </c>
      <c r="E11206" t="str">
        <f>"$ 259"</f>
        <v>$ 259</v>
      </c>
      <c r="F11206">
        <v>77</v>
      </c>
    </row>
    <row r="11207" spans="1:6">
      <c r="A11207" t="s">
        <v>10637</v>
      </c>
      <c r="B11207" t="str">
        <f t="shared" si="401"/>
        <v>0.00003%</v>
      </c>
      <c r="C11207" t="s">
        <v>10</v>
      </c>
      <c r="D11207" t="s">
        <v>10</v>
      </c>
      <c r="E11207" t="str">
        <f>"$ 262"</f>
        <v>$ 262</v>
      </c>
      <c r="F11207">
        <v>66</v>
      </c>
    </row>
    <row r="11208" spans="1:6">
      <c r="A11208" t="s">
        <v>10916</v>
      </c>
      <c r="B11208" t="str">
        <f t="shared" si="401"/>
        <v>0.00003%</v>
      </c>
      <c r="C11208" t="s">
        <v>10</v>
      </c>
      <c r="D11208" t="s">
        <v>10</v>
      </c>
      <c r="E11208" t="str">
        <f>"$ 269"</f>
        <v>$ 269</v>
      </c>
      <c r="F11208">
        <v>234</v>
      </c>
    </row>
    <row r="11209" spans="1:6">
      <c r="A11209" t="s">
        <v>10917</v>
      </c>
      <c r="B11209" t="str">
        <f t="shared" si="401"/>
        <v>0.00003%</v>
      </c>
      <c r="C11209" t="s">
        <v>10</v>
      </c>
      <c r="D11209" t="s">
        <v>10</v>
      </c>
      <c r="E11209" t="str">
        <f>"$ 241"</f>
        <v>$ 241</v>
      </c>
      <c r="F11209">
        <v>487</v>
      </c>
    </row>
    <row r="11210" spans="1:6">
      <c r="A11210" t="s">
        <v>10918</v>
      </c>
      <c r="B11210" t="str">
        <f t="shared" si="401"/>
        <v>0.00003%</v>
      </c>
      <c r="C11210" t="s">
        <v>10</v>
      </c>
      <c r="D11210" t="s">
        <v>10</v>
      </c>
      <c r="E11210" t="str">
        <f>"$ 218"</f>
        <v>$ 218</v>
      </c>
      <c r="F11210">
        <v>18</v>
      </c>
    </row>
    <row r="11211" spans="1:6">
      <c r="A11211" t="s">
        <v>10919</v>
      </c>
      <c r="B11211" t="str">
        <f t="shared" si="401"/>
        <v>0.00003%</v>
      </c>
      <c r="C11211" t="s">
        <v>10</v>
      </c>
      <c r="D11211" t="s">
        <v>10</v>
      </c>
      <c r="E11211" t="str">
        <f>"$ 212"</f>
        <v>$ 212</v>
      </c>
      <c r="F11211">
        <v>65</v>
      </c>
    </row>
    <row r="11212" spans="1:6">
      <c r="A11212" t="s">
        <v>10920</v>
      </c>
      <c r="B11212" t="str">
        <f t="shared" si="401"/>
        <v>0.00003%</v>
      </c>
      <c r="C11212" t="s">
        <v>10</v>
      </c>
      <c r="D11212" t="s">
        <v>10</v>
      </c>
      <c r="E11212" t="str">
        <f>"$ 251"</f>
        <v>$ 251</v>
      </c>
      <c r="F11212">
        <v>83</v>
      </c>
    </row>
    <row r="11213" spans="1:6">
      <c r="A11213" t="s">
        <v>10921</v>
      </c>
      <c r="B11213" t="str">
        <f t="shared" si="401"/>
        <v>0.00003%</v>
      </c>
      <c r="C11213" t="s">
        <v>10</v>
      </c>
      <c r="D11213" t="s">
        <v>10</v>
      </c>
      <c r="E11213" t="str">
        <f>"$ 270"</f>
        <v>$ 270</v>
      </c>
      <c r="F11213">
        <v>97</v>
      </c>
    </row>
    <row r="11214" spans="1:6">
      <c r="A11214" t="s">
        <v>10922</v>
      </c>
      <c r="B11214" t="str">
        <f t="shared" si="401"/>
        <v>0.00003%</v>
      </c>
      <c r="C11214" t="s">
        <v>10</v>
      </c>
      <c r="D11214" t="s">
        <v>10</v>
      </c>
      <c r="E11214" t="str">
        <f>"$ 198"</f>
        <v>$ 198</v>
      </c>
      <c r="F11214">
        <v>26</v>
      </c>
    </row>
    <row r="11215" spans="1:6">
      <c r="A11215" t="s">
        <v>7743</v>
      </c>
      <c r="B11215" t="str">
        <f t="shared" si="401"/>
        <v>0.00003%</v>
      </c>
      <c r="C11215" t="s">
        <v>10</v>
      </c>
      <c r="D11215" t="s">
        <v>10</v>
      </c>
      <c r="E11215" t="str">
        <f>"$ 230"</f>
        <v>$ 230</v>
      </c>
      <c r="F11215">
        <v>233</v>
      </c>
    </row>
    <row r="11216" spans="1:6">
      <c r="A11216" t="s">
        <v>10923</v>
      </c>
      <c r="B11216" t="str">
        <f t="shared" si="401"/>
        <v>0.00003%</v>
      </c>
      <c r="C11216" t="s">
        <v>10</v>
      </c>
      <c r="D11216" t="s">
        <v>10</v>
      </c>
      <c r="E11216" t="str">
        <f>"$ 241"</f>
        <v>$ 241</v>
      </c>
      <c r="F11216">
        <v>166</v>
      </c>
    </row>
    <row r="11217" spans="1:6">
      <c r="A11217" t="s">
        <v>10924</v>
      </c>
      <c r="B11217" t="str">
        <f t="shared" si="401"/>
        <v>0.00003%</v>
      </c>
      <c r="C11217" t="s">
        <v>10</v>
      </c>
      <c r="D11217" t="s">
        <v>10</v>
      </c>
      <c r="E11217" t="str">
        <f>"$ 240"</f>
        <v>$ 240</v>
      </c>
      <c r="F11217">
        <v>40</v>
      </c>
    </row>
    <row r="11218" spans="1:6">
      <c r="A11218" t="s">
        <v>10643</v>
      </c>
      <c r="B11218" t="str">
        <f t="shared" si="401"/>
        <v>0.00003%</v>
      </c>
      <c r="C11218" t="s">
        <v>10</v>
      </c>
      <c r="D11218" t="s">
        <v>10</v>
      </c>
      <c r="E11218" t="str">
        <f>"$ 238"</f>
        <v>$ 238</v>
      </c>
      <c r="F11218">
        <v>459</v>
      </c>
    </row>
    <row r="11219" spans="1:6">
      <c r="A11219" t="s">
        <v>10384</v>
      </c>
      <c r="B11219" t="str">
        <f t="shared" si="401"/>
        <v>0.00003%</v>
      </c>
      <c r="C11219" t="s">
        <v>10</v>
      </c>
      <c r="D11219" t="s">
        <v>10</v>
      </c>
      <c r="E11219" t="str">
        <f>"$ 195"</f>
        <v>$ 195</v>
      </c>
      <c r="F11219">
        <v>57</v>
      </c>
    </row>
    <row r="11220" spans="1:6">
      <c r="A11220" t="s">
        <v>10925</v>
      </c>
      <c r="B11220" t="str">
        <f t="shared" si="401"/>
        <v>0.00003%</v>
      </c>
      <c r="C11220" t="s">
        <v>10</v>
      </c>
      <c r="D11220" t="s">
        <v>10</v>
      </c>
      <c r="E11220" t="str">
        <f>"$ 216"</f>
        <v>$ 216</v>
      </c>
      <c r="F11220">
        <v>44</v>
      </c>
    </row>
    <row r="11221" spans="1:6">
      <c r="A11221" t="s">
        <v>10926</v>
      </c>
      <c r="B11221" t="str">
        <f t="shared" si="401"/>
        <v>0.00003%</v>
      </c>
      <c r="C11221" t="s">
        <v>10</v>
      </c>
      <c r="D11221" t="s">
        <v>10</v>
      </c>
      <c r="E11221" t="str">
        <f>"$ 214"</f>
        <v>$ 214</v>
      </c>
      <c r="F11221">
        <v>99</v>
      </c>
    </row>
    <row r="11222" spans="1:6">
      <c r="A11222" t="s">
        <v>10927</v>
      </c>
      <c r="B11222" t="str">
        <f t="shared" si="401"/>
        <v>0.00003%</v>
      </c>
      <c r="C11222" t="s">
        <v>10</v>
      </c>
      <c r="D11222" t="s">
        <v>10</v>
      </c>
      <c r="E11222" t="str">
        <f>"$ 209"</f>
        <v>$ 209</v>
      </c>
      <c r="F11222">
        <v>78</v>
      </c>
    </row>
    <row r="11223" spans="1:6">
      <c r="A11223" t="s">
        <v>10928</v>
      </c>
      <c r="B11223" t="str">
        <f t="shared" si="401"/>
        <v>0.00003%</v>
      </c>
      <c r="C11223" t="s">
        <v>10</v>
      </c>
      <c r="D11223" t="s">
        <v>10</v>
      </c>
      <c r="E11223" t="str">
        <f>"$ 269"</f>
        <v>$ 269</v>
      </c>
      <c r="F11223">
        <v>29</v>
      </c>
    </row>
    <row r="11224" spans="1:6">
      <c r="A11224" t="s">
        <v>10929</v>
      </c>
      <c r="B11224" t="str">
        <f t="shared" si="401"/>
        <v>0.00003%</v>
      </c>
      <c r="C11224" t="s">
        <v>10</v>
      </c>
      <c r="D11224" t="s">
        <v>10</v>
      </c>
      <c r="E11224" t="str">
        <f>"$ 253"</f>
        <v>$ 253</v>
      </c>
      <c r="F11224">
        <v>52</v>
      </c>
    </row>
    <row r="11225" spans="1:6">
      <c r="A11225" t="s">
        <v>10930</v>
      </c>
      <c r="B11225" t="str">
        <f t="shared" si="401"/>
        <v>0.00003%</v>
      </c>
      <c r="C11225" t="s">
        <v>10</v>
      </c>
      <c r="D11225" t="s">
        <v>10</v>
      </c>
      <c r="E11225" t="str">
        <f>"$ 240"</f>
        <v>$ 240</v>
      </c>
      <c r="F11225">
        <v>179</v>
      </c>
    </row>
    <row r="11226" spans="1:6">
      <c r="A11226" t="s">
        <v>10931</v>
      </c>
      <c r="B11226" t="str">
        <f t="shared" si="401"/>
        <v>0.00003%</v>
      </c>
      <c r="C11226" t="s">
        <v>10</v>
      </c>
      <c r="D11226" t="s">
        <v>10</v>
      </c>
      <c r="E11226" t="str">
        <f>"$ 236"</f>
        <v>$ 236</v>
      </c>
      <c r="F11226">
        <v>140</v>
      </c>
    </row>
    <row r="11227" spans="1:6">
      <c r="A11227" t="s">
        <v>10932</v>
      </c>
      <c r="B11227" t="str">
        <f t="shared" si="401"/>
        <v>0.00003%</v>
      </c>
      <c r="C11227" t="s">
        <v>10</v>
      </c>
      <c r="D11227" t="s">
        <v>10</v>
      </c>
      <c r="E11227" t="str">
        <f>"$ 200"</f>
        <v>$ 200</v>
      </c>
      <c r="F11227">
        <v>329</v>
      </c>
    </row>
    <row r="11228" spans="1:6">
      <c r="A11228" t="s">
        <v>10933</v>
      </c>
      <c r="B11228" t="str">
        <f t="shared" ref="B11228:B11291" si="402">"0.00003%"</f>
        <v>0.00003%</v>
      </c>
      <c r="C11228" t="s">
        <v>10</v>
      </c>
      <c r="D11228" t="s">
        <v>10</v>
      </c>
      <c r="E11228" t="str">
        <f>"$ 217"</f>
        <v>$ 217</v>
      </c>
      <c r="F11228" s="1">
        <v>26393</v>
      </c>
    </row>
    <row r="11229" spans="1:6">
      <c r="A11229" t="s">
        <v>10934</v>
      </c>
      <c r="B11229" t="str">
        <f t="shared" si="402"/>
        <v>0.00003%</v>
      </c>
      <c r="C11229" t="s">
        <v>10</v>
      </c>
      <c r="D11229" t="s">
        <v>10</v>
      </c>
      <c r="E11229" t="str">
        <f>"$ 213"</f>
        <v>$ 213</v>
      </c>
      <c r="F11229">
        <v>11</v>
      </c>
    </row>
    <row r="11230" spans="1:6">
      <c r="A11230" t="s">
        <v>10935</v>
      </c>
      <c r="B11230" t="str">
        <f t="shared" si="402"/>
        <v>0.00003%</v>
      </c>
      <c r="C11230" t="s">
        <v>10</v>
      </c>
      <c r="D11230" t="s">
        <v>10</v>
      </c>
      <c r="E11230" t="str">
        <f>"$ 244"</f>
        <v>$ 244</v>
      </c>
      <c r="F11230">
        <v>74</v>
      </c>
    </row>
    <row r="11231" spans="1:6">
      <c r="A11231" t="s">
        <v>10936</v>
      </c>
      <c r="B11231" t="str">
        <f t="shared" si="402"/>
        <v>0.00003%</v>
      </c>
      <c r="C11231" t="s">
        <v>10</v>
      </c>
      <c r="D11231" t="s">
        <v>10</v>
      </c>
      <c r="E11231" t="str">
        <f>"$ 260"</f>
        <v>$ 260</v>
      </c>
      <c r="F11231">
        <v>462</v>
      </c>
    </row>
    <row r="11232" spans="1:6">
      <c r="A11232" t="s">
        <v>10937</v>
      </c>
      <c r="B11232" t="str">
        <f t="shared" si="402"/>
        <v>0.00003%</v>
      </c>
      <c r="C11232" t="s">
        <v>10</v>
      </c>
      <c r="D11232" t="s">
        <v>10</v>
      </c>
      <c r="E11232" t="str">
        <f>"$ 259"</f>
        <v>$ 259</v>
      </c>
      <c r="F11232">
        <v>10</v>
      </c>
    </row>
    <row r="11233" spans="1:6">
      <c r="A11233" t="s">
        <v>10938</v>
      </c>
      <c r="B11233" t="str">
        <f t="shared" si="402"/>
        <v>0.00003%</v>
      </c>
      <c r="C11233" t="s">
        <v>10</v>
      </c>
      <c r="D11233" t="s">
        <v>10</v>
      </c>
      <c r="E11233" t="str">
        <f>"$ 245"</f>
        <v>$ 245</v>
      </c>
      <c r="F11233">
        <v>82</v>
      </c>
    </row>
    <row r="11234" spans="1:6">
      <c r="A11234" t="s">
        <v>10939</v>
      </c>
      <c r="B11234" t="str">
        <f t="shared" si="402"/>
        <v>0.00003%</v>
      </c>
      <c r="C11234" t="s">
        <v>10</v>
      </c>
      <c r="D11234" t="s">
        <v>10</v>
      </c>
      <c r="E11234" t="str">
        <f>"$ 238"</f>
        <v>$ 238</v>
      </c>
      <c r="F11234">
        <v>60</v>
      </c>
    </row>
    <row r="11235" spans="1:6">
      <c r="A11235" t="s">
        <v>10940</v>
      </c>
      <c r="B11235" t="str">
        <f t="shared" si="402"/>
        <v>0.00003%</v>
      </c>
      <c r="C11235" t="s">
        <v>10</v>
      </c>
      <c r="D11235" t="s">
        <v>10</v>
      </c>
      <c r="E11235" t="str">
        <f>"$ 219"</f>
        <v>$ 219</v>
      </c>
      <c r="F11235">
        <v>226</v>
      </c>
    </row>
    <row r="11236" spans="1:6">
      <c r="A11236" t="s">
        <v>10941</v>
      </c>
      <c r="B11236" t="str">
        <f t="shared" si="402"/>
        <v>0.00003%</v>
      </c>
      <c r="C11236" t="s">
        <v>10</v>
      </c>
      <c r="D11236" t="s">
        <v>10</v>
      </c>
      <c r="E11236" t="str">
        <f>"$ 255"</f>
        <v>$ 255</v>
      </c>
      <c r="F11236" s="1">
        <v>2906</v>
      </c>
    </row>
    <row r="11237" spans="1:6">
      <c r="A11237" t="s">
        <v>10942</v>
      </c>
      <c r="B11237" t="str">
        <f t="shared" si="402"/>
        <v>0.00003%</v>
      </c>
      <c r="C11237" t="s">
        <v>10</v>
      </c>
      <c r="D11237" t="s">
        <v>10</v>
      </c>
      <c r="E11237" t="str">
        <f>"$ 262"</f>
        <v>$ 262</v>
      </c>
      <c r="F11237">
        <v>80</v>
      </c>
    </row>
    <row r="11238" spans="1:6">
      <c r="A11238" t="s">
        <v>10943</v>
      </c>
      <c r="B11238" t="str">
        <f t="shared" si="402"/>
        <v>0.00003%</v>
      </c>
      <c r="C11238" t="s">
        <v>10</v>
      </c>
      <c r="D11238" t="s">
        <v>10</v>
      </c>
      <c r="E11238" t="str">
        <f>"$ 224"</f>
        <v>$ 224</v>
      </c>
      <c r="F11238" s="1">
        <v>6270</v>
      </c>
    </row>
    <row r="11239" spans="1:6">
      <c r="A11239" t="s">
        <v>10944</v>
      </c>
      <c r="B11239" t="str">
        <f t="shared" si="402"/>
        <v>0.00003%</v>
      </c>
      <c r="C11239" t="s">
        <v>10</v>
      </c>
      <c r="D11239" t="s">
        <v>10</v>
      </c>
      <c r="E11239" t="str">
        <f>"$ 242"</f>
        <v>$ 242</v>
      </c>
      <c r="F11239">
        <v>62</v>
      </c>
    </row>
    <row r="11240" spans="1:6">
      <c r="A11240" t="s">
        <v>10945</v>
      </c>
      <c r="B11240" t="str">
        <f t="shared" si="402"/>
        <v>0.00003%</v>
      </c>
      <c r="C11240" t="s">
        <v>10</v>
      </c>
      <c r="D11240" t="s">
        <v>10</v>
      </c>
      <c r="E11240" t="str">
        <f>"$ 242"</f>
        <v>$ 242</v>
      </c>
      <c r="F11240">
        <v>612</v>
      </c>
    </row>
    <row r="11241" spans="1:6">
      <c r="A11241" t="s">
        <v>8405</v>
      </c>
      <c r="B11241" t="str">
        <f t="shared" si="402"/>
        <v>0.00003%</v>
      </c>
      <c r="C11241" t="s">
        <v>10</v>
      </c>
      <c r="D11241" t="s">
        <v>10</v>
      </c>
      <c r="E11241" t="str">
        <f>"$ 211"</f>
        <v>$ 211</v>
      </c>
      <c r="F11241">
        <v>392</v>
      </c>
    </row>
    <row r="11242" spans="1:6">
      <c r="A11242" t="s">
        <v>10946</v>
      </c>
      <c r="B11242" t="str">
        <f t="shared" si="402"/>
        <v>0.00003%</v>
      </c>
      <c r="C11242" t="s">
        <v>10</v>
      </c>
      <c r="D11242" t="s">
        <v>10</v>
      </c>
      <c r="E11242" t="str">
        <f>"$ 245"</f>
        <v>$ 245</v>
      </c>
      <c r="F11242">
        <v>302</v>
      </c>
    </row>
    <row r="11243" spans="1:6">
      <c r="A11243" t="s">
        <v>10947</v>
      </c>
      <c r="B11243" t="str">
        <f t="shared" si="402"/>
        <v>0.00003%</v>
      </c>
      <c r="C11243" t="s">
        <v>10</v>
      </c>
      <c r="D11243" t="s">
        <v>10</v>
      </c>
      <c r="E11243" t="str">
        <f>"$ 239"</f>
        <v>$ 239</v>
      </c>
      <c r="F11243">
        <v>224</v>
      </c>
    </row>
    <row r="11244" spans="1:6">
      <c r="A11244" t="s">
        <v>10400</v>
      </c>
      <c r="B11244" t="str">
        <f t="shared" si="402"/>
        <v>0.00003%</v>
      </c>
      <c r="C11244" t="s">
        <v>10</v>
      </c>
      <c r="D11244" t="s">
        <v>10</v>
      </c>
      <c r="E11244" t="str">
        <f>"$ 259"</f>
        <v>$ 259</v>
      </c>
      <c r="F11244">
        <v>147</v>
      </c>
    </row>
    <row r="11245" spans="1:6">
      <c r="A11245" t="s">
        <v>10948</v>
      </c>
      <c r="B11245" t="str">
        <f t="shared" si="402"/>
        <v>0.00003%</v>
      </c>
      <c r="C11245" t="s">
        <v>10</v>
      </c>
      <c r="D11245" t="s">
        <v>10</v>
      </c>
      <c r="E11245" t="str">
        <f>"$ 206"</f>
        <v>$ 206</v>
      </c>
      <c r="F11245">
        <v>215</v>
      </c>
    </row>
    <row r="11246" spans="1:6">
      <c r="A11246" t="s">
        <v>10949</v>
      </c>
      <c r="B11246" t="str">
        <f t="shared" si="402"/>
        <v>0.00003%</v>
      </c>
      <c r="C11246" t="s">
        <v>10</v>
      </c>
      <c r="D11246" t="s">
        <v>10</v>
      </c>
      <c r="E11246" t="str">
        <f>"$ 210"</f>
        <v>$ 210</v>
      </c>
      <c r="F11246">
        <v>7</v>
      </c>
    </row>
    <row r="11247" spans="1:6">
      <c r="A11247" t="s">
        <v>10950</v>
      </c>
      <c r="B11247" t="str">
        <f t="shared" si="402"/>
        <v>0.00003%</v>
      </c>
      <c r="C11247" t="s">
        <v>10</v>
      </c>
      <c r="D11247" t="s">
        <v>10</v>
      </c>
      <c r="E11247" t="str">
        <f>"$ 238"</f>
        <v>$ 238</v>
      </c>
      <c r="F11247">
        <v>213</v>
      </c>
    </row>
    <row r="11248" spans="1:6">
      <c r="A11248" t="s">
        <v>10402</v>
      </c>
      <c r="B11248" t="str">
        <f t="shared" si="402"/>
        <v>0.00003%</v>
      </c>
      <c r="C11248" t="s">
        <v>10</v>
      </c>
      <c r="D11248" t="s">
        <v>10</v>
      </c>
      <c r="E11248" t="str">
        <f>"$ 244"</f>
        <v>$ 244</v>
      </c>
      <c r="F11248">
        <v>209</v>
      </c>
    </row>
    <row r="11249" spans="1:6">
      <c r="A11249" t="s">
        <v>10951</v>
      </c>
      <c r="B11249" t="str">
        <f t="shared" si="402"/>
        <v>0.00003%</v>
      </c>
      <c r="C11249" t="s">
        <v>10</v>
      </c>
      <c r="D11249" t="s">
        <v>10</v>
      </c>
      <c r="E11249" t="str">
        <f>"$ 204"</f>
        <v>$ 204</v>
      </c>
      <c r="F11249">
        <v>120</v>
      </c>
    </row>
    <row r="11250" spans="1:6">
      <c r="A11250" t="s">
        <v>10952</v>
      </c>
      <c r="B11250" t="str">
        <f t="shared" si="402"/>
        <v>0.00003%</v>
      </c>
      <c r="C11250" t="s">
        <v>10</v>
      </c>
      <c r="D11250" t="s">
        <v>10</v>
      </c>
      <c r="E11250" t="str">
        <f>"$ 205"</f>
        <v>$ 205</v>
      </c>
      <c r="F11250">
        <v>11</v>
      </c>
    </row>
    <row r="11251" spans="1:6">
      <c r="A11251" t="s">
        <v>10953</v>
      </c>
      <c r="B11251" t="str">
        <f t="shared" si="402"/>
        <v>0.00003%</v>
      </c>
      <c r="C11251" t="s">
        <v>10</v>
      </c>
      <c r="D11251" t="s">
        <v>10</v>
      </c>
      <c r="E11251" t="str">
        <f>"$ 261"</f>
        <v>$ 261</v>
      </c>
      <c r="F11251">
        <v>12</v>
      </c>
    </row>
    <row r="11252" spans="1:6">
      <c r="A11252" t="s">
        <v>10954</v>
      </c>
      <c r="B11252" t="str">
        <f t="shared" si="402"/>
        <v>0.00003%</v>
      </c>
      <c r="C11252" t="s">
        <v>10</v>
      </c>
      <c r="D11252" t="s">
        <v>10</v>
      </c>
      <c r="E11252" t="str">
        <f>"$ 264"</f>
        <v>$ 264</v>
      </c>
      <c r="F11252">
        <v>16</v>
      </c>
    </row>
    <row r="11253" spans="1:6">
      <c r="A11253" t="s">
        <v>10955</v>
      </c>
      <c r="B11253" t="str">
        <f t="shared" si="402"/>
        <v>0.00003%</v>
      </c>
      <c r="C11253" t="s">
        <v>10</v>
      </c>
      <c r="D11253" t="s">
        <v>10</v>
      </c>
      <c r="E11253" t="str">
        <f>"$ 245"</f>
        <v>$ 245</v>
      </c>
      <c r="F11253">
        <v>12</v>
      </c>
    </row>
    <row r="11254" spans="1:6">
      <c r="A11254" t="s">
        <v>10956</v>
      </c>
      <c r="B11254" t="str">
        <f t="shared" si="402"/>
        <v>0.00003%</v>
      </c>
      <c r="C11254" t="s">
        <v>10</v>
      </c>
      <c r="D11254" t="s">
        <v>10</v>
      </c>
      <c r="E11254" t="str">
        <f>"$ 223"</f>
        <v>$ 223</v>
      </c>
      <c r="F11254">
        <v>12</v>
      </c>
    </row>
    <row r="11255" spans="1:6">
      <c r="A11255" t="s">
        <v>10957</v>
      </c>
      <c r="B11255" t="str">
        <f t="shared" si="402"/>
        <v>0.00003%</v>
      </c>
      <c r="C11255" t="s">
        <v>10</v>
      </c>
      <c r="D11255" t="s">
        <v>10</v>
      </c>
      <c r="E11255" t="str">
        <f>"$ 221"</f>
        <v>$ 221</v>
      </c>
      <c r="F11255">
        <v>12</v>
      </c>
    </row>
    <row r="11256" spans="1:6">
      <c r="A11256" t="s">
        <v>10958</v>
      </c>
      <c r="B11256" t="str">
        <f t="shared" si="402"/>
        <v>0.00003%</v>
      </c>
      <c r="C11256" t="s">
        <v>10</v>
      </c>
      <c r="D11256" t="s">
        <v>10</v>
      </c>
      <c r="E11256" t="str">
        <f>"$ 254"</f>
        <v>$ 254</v>
      </c>
      <c r="F11256" s="1">
        <v>7289</v>
      </c>
    </row>
    <row r="11257" spans="1:6">
      <c r="A11257" t="s">
        <v>10959</v>
      </c>
      <c r="B11257" t="str">
        <f t="shared" si="402"/>
        <v>0.00003%</v>
      </c>
      <c r="C11257" t="s">
        <v>10</v>
      </c>
      <c r="D11257" t="s">
        <v>10</v>
      </c>
      <c r="E11257" t="str">
        <f>"$ 200"</f>
        <v>$ 200</v>
      </c>
      <c r="F11257">
        <v>169</v>
      </c>
    </row>
    <row r="11258" spans="1:6">
      <c r="A11258" t="s">
        <v>10960</v>
      </c>
      <c r="B11258" t="str">
        <f t="shared" si="402"/>
        <v>0.00003%</v>
      </c>
      <c r="C11258" t="s">
        <v>10</v>
      </c>
      <c r="D11258" t="s">
        <v>10</v>
      </c>
      <c r="E11258" t="str">
        <f>"$ 230"</f>
        <v>$ 230</v>
      </c>
      <c r="F11258">
        <v>241</v>
      </c>
    </row>
    <row r="11259" spans="1:6">
      <c r="A11259" t="s">
        <v>10961</v>
      </c>
      <c r="B11259" t="str">
        <f t="shared" si="402"/>
        <v>0.00003%</v>
      </c>
      <c r="C11259" t="s">
        <v>10</v>
      </c>
      <c r="D11259" t="s">
        <v>10</v>
      </c>
      <c r="E11259" t="str">
        <f>"$ 230"</f>
        <v>$ 230</v>
      </c>
      <c r="F11259">
        <v>235</v>
      </c>
    </row>
    <row r="11260" spans="1:6">
      <c r="A11260" t="s">
        <v>9679</v>
      </c>
      <c r="B11260" t="str">
        <f t="shared" si="402"/>
        <v>0.00003%</v>
      </c>
      <c r="C11260" t="s">
        <v>10</v>
      </c>
      <c r="D11260" t="s">
        <v>10</v>
      </c>
      <c r="E11260" t="str">
        <f>"$ 194"</f>
        <v>$ 194</v>
      </c>
      <c r="F11260">
        <v>39</v>
      </c>
    </row>
    <row r="11261" spans="1:6">
      <c r="A11261" t="s">
        <v>10677</v>
      </c>
      <c r="B11261" t="str">
        <f t="shared" si="402"/>
        <v>0.00003%</v>
      </c>
      <c r="C11261" t="s">
        <v>10</v>
      </c>
      <c r="D11261" t="s">
        <v>10</v>
      </c>
      <c r="E11261" t="str">
        <f>"$ 255"</f>
        <v>$ 255</v>
      </c>
      <c r="F11261">
        <v>118</v>
      </c>
    </row>
    <row r="11262" spans="1:6">
      <c r="A11262" t="s">
        <v>10962</v>
      </c>
      <c r="B11262" t="str">
        <f t="shared" si="402"/>
        <v>0.00003%</v>
      </c>
      <c r="C11262" t="s">
        <v>10</v>
      </c>
      <c r="D11262" t="s">
        <v>10</v>
      </c>
      <c r="E11262" t="str">
        <f>"$ 266"</f>
        <v>$ 266</v>
      </c>
      <c r="F11262">
        <v>279</v>
      </c>
    </row>
    <row r="11263" spans="1:6">
      <c r="A11263" t="s">
        <v>8797</v>
      </c>
      <c r="B11263" t="str">
        <f t="shared" si="402"/>
        <v>0.00003%</v>
      </c>
      <c r="C11263" t="s">
        <v>10</v>
      </c>
      <c r="D11263" t="s">
        <v>10</v>
      </c>
      <c r="E11263" t="str">
        <f>"$ 265"</f>
        <v>$ 265</v>
      </c>
      <c r="F11263">
        <v>130</v>
      </c>
    </row>
    <row r="11264" spans="1:6">
      <c r="A11264" t="s">
        <v>10963</v>
      </c>
      <c r="B11264" t="str">
        <f t="shared" si="402"/>
        <v>0.00003%</v>
      </c>
      <c r="C11264" t="s">
        <v>10</v>
      </c>
      <c r="D11264" t="s">
        <v>10</v>
      </c>
      <c r="E11264" t="str">
        <f>"$ 269"</f>
        <v>$ 269</v>
      </c>
      <c r="F11264">
        <v>812</v>
      </c>
    </row>
    <row r="11265" spans="1:6">
      <c r="A11265" t="s">
        <v>10964</v>
      </c>
      <c r="B11265" t="str">
        <f t="shared" si="402"/>
        <v>0.00003%</v>
      </c>
      <c r="C11265" t="s">
        <v>10</v>
      </c>
      <c r="D11265" t="s">
        <v>10</v>
      </c>
      <c r="E11265" t="str">
        <f>"$ 243"</f>
        <v>$ 243</v>
      </c>
      <c r="F11265">
        <v>310</v>
      </c>
    </row>
    <row r="11266" spans="1:6">
      <c r="A11266" t="s">
        <v>10965</v>
      </c>
      <c r="B11266" t="str">
        <f t="shared" si="402"/>
        <v>0.00003%</v>
      </c>
      <c r="C11266" t="s">
        <v>10</v>
      </c>
      <c r="D11266" t="s">
        <v>10</v>
      </c>
      <c r="E11266" t="str">
        <f>"$ 246"</f>
        <v>$ 246</v>
      </c>
      <c r="F11266">
        <v>54</v>
      </c>
    </row>
    <row r="11267" spans="1:6">
      <c r="A11267" t="s">
        <v>10966</v>
      </c>
      <c r="B11267" t="str">
        <f t="shared" si="402"/>
        <v>0.00003%</v>
      </c>
      <c r="C11267" t="s">
        <v>10</v>
      </c>
      <c r="D11267" t="s">
        <v>10</v>
      </c>
      <c r="E11267" t="str">
        <f>"$ 247"</f>
        <v>$ 247</v>
      </c>
      <c r="F11267">
        <v>319</v>
      </c>
    </row>
    <row r="11268" spans="1:6">
      <c r="A11268" t="s">
        <v>10415</v>
      </c>
      <c r="B11268" t="str">
        <f t="shared" si="402"/>
        <v>0.00003%</v>
      </c>
      <c r="C11268" t="s">
        <v>10</v>
      </c>
      <c r="D11268" t="s">
        <v>10</v>
      </c>
      <c r="E11268" t="str">
        <f>"$ 203"</f>
        <v>$ 203</v>
      </c>
      <c r="F11268">
        <v>95</v>
      </c>
    </row>
    <row r="11269" spans="1:6">
      <c r="A11269" t="s">
        <v>10967</v>
      </c>
      <c r="B11269" t="str">
        <f t="shared" si="402"/>
        <v>0.00003%</v>
      </c>
      <c r="C11269" t="s">
        <v>10</v>
      </c>
      <c r="D11269" t="s">
        <v>10</v>
      </c>
      <c r="E11269" t="str">
        <f>"$ 215"</f>
        <v>$ 215</v>
      </c>
      <c r="F11269" s="1">
        <v>4850</v>
      </c>
    </row>
    <row r="11270" spans="1:6">
      <c r="A11270" t="s">
        <v>10968</v>
      </c>
      <c r="B11270" t="str">
        <f t="shared" si="402"/>
        <v>0.00003%</v>
      </c>
      <c r="C11270" t="s">
        <v>10</v>
      </c>
      <c r="D11270" t="s">
        <v>10</v>
      </c>
      <c r="E11270" t="str">
        <f>"$ 262"</f>
        <v>$ 262</v>
      </c>
      <c r="F11270">
        <v>494</v>
      </c>
    </row>
    <row r="11271" spans="1:6">
      <c r="A11271" t="s">
        <v>10969</v>
      </c>
      <c r="B11271" t="str">
        <f t="shared" si="402"/>
        <v>0.00003%</v>
      </c>
      <c r="C11271" t="s">
        <v>10</v>
      </c>
      <c r="D11271" t="s">
        <v>10</v>
      </c>
      <c r="E11271" t="str">
        <f>"$ 208"</f>
        <v>$ 208</v>
      </c>
      <c r="F11271">
        <v>526</v>
      </c>
    </row>
    <row r="11272" spans="1:6">
      <c r="A11272" t="s">
        <v>10970</v>
      </c>
      <c r="B11272" t="str">
        <f t="shared" si="402"/>
        <v>0.00003%</v>
      </c>
      <c r="C11272" t="s">
        <v>10</v>
      </c>
      <c r="D11272" t="s">
        <v>10</v>
      </c>
      <c r="E11272" t="str">
        <f>"$ 254"</f>
        <v>$ 254</v>
      </c>
      <c r="F11272">
        <v>18</v>
      </c>
    </row>
    <row r="11273" spans="1:6">
      <c r="A11273" t="s">
        <v>10971</v>
      </c>
      <c r="B11273" t="str">
        <f t="shared" si="402"/>
        <v>0.00003%</v>
      </c>
      <c r="C11273" t="s">
        <v>10</v>
      </c>
      <c r="D11273" t="s">
        <v>10</v>
      </c>
      <c r="E11273" t="str">
        <f>"$ 213"</f>
        <v>$ 213</v>
      </c>
      <c r="F11273">
        <v>107</v>
      </c>
    </row>
    <row r="11274" spans="1:6">
      <c r="A11274" t="s">
        <v>8306</v>
      </c>
      <c r="B11274" t="str">
        <f t="shared" si="402"/>
        <v>0.00003%</v>
      </c>
      <c r="C11274" t="s">
        <v>10</v>
      </c>
      <c r="D11274" t="s">
        <v>10</v>
      </c>
      <c r="E11274" t="str">
        <f>"$ 208"</f>
        <v>$ 208</v>
      </c>
      <c r="F11274">
        <v>199</v>
      </c>
    </row>
    <row r="11275" spans="1:6">
      <c r="A11275" t="s">
        <v>9921</v>
      </c>
      <c r="B11275" t="str">
        <f t="shared" si="402"/>
        <v>0.00003%</v>
      </c>
      <c r="C11275" t="s">
        <v>10</v>
      </c>
      <c r="D11275" t="s">
        <v>10</v>
      </c>
      <c r="E11275" t="str">
        <f>"$ 234"</f>
        <v>$ 234</v>
      </c>
      <c r="F11275">
        <v>84</v>
      </c>
    </row>
    <row r="11276" spans="1:6">
      <c r="A11276" t="s">
        <v>10972</v>
      </c>
      <c r="B11276" t="str">
        <f t="shared" si="402"/>
        <v>0.00003%</v>
      </c>
      <c r="C11276" t="s">
        <v>10</v>
      </c>
      <c r="D11276" t="s">
        <v>10</v>
      </c>
      <c r="E11276" t="str">
        <f>"$ 257"</f>
        <v>$ 257</v>
      </c>
      <c r="F11276">
        <v>165</v>
      </c>
    </row>
    <row r="11277" spans="1:6">
      <c r="A11277" t="s">
        <v>10973</v>
      </c>
      <c r="B11277" t="str">
        <f t="shared" si="402"/>
        <v>0.00003%</v>
      </c>
      <c r="C11277" t="s">
        <v>10</v>
      </c>
      <c r="D11277" t="s">
        <v>10</v>
      </c>
      <c r="E11277" t="str">
        <f>"$ 265"</f>
        <v>$ 265</v>
      </c>
      <c r="F11277">
        <v>39</v>
      </c>
    </row>
    <row r="11278" spans="1:6">
      <c r="A11278" t="s">
        <v>10974</v>
      </c>
      <c r="B11278" t="str">
        <f t="shared" si="402"/>
        <v>0.00003%</v>
      </c>
      <c r="C11278" t="s">
        <v>10</v>
      </c>
      <c r="D11278" t="s">
        <v>10</v>
      </c>
      <c r="E11278" t="str">
        <f>"$ 263"</f>
        <v>$ 263</v>
      </c>
      <c r="F11278">
        <v>42</v>
      </c>
    </row>
    <row r="11279" spans="1:6">
      <c r="A11279" t="s">
        <v>10975</v>
      </c>
      <c r="B11279" t="str">
        <f t="shared" si="402"/>
        <v>0.00003%</v>
      </c>
      <c r="C11279" t="s">
        <v>10</v>
      </c>
      <c r="D11279" t="s">
        <v>10</v>
      </c>
      <c r="E11279" t="str">
        <f>"$ 266"</f>
        <v>$ 266</v>
      </c>
      <c r="F11279">
        <v>90</v>
      </c>
    </row>
    <row r="11280" spans="1:6">
      <c r="A11280" t="s">
        <v>10976</v>
      </c>
      <c r="B11280" t="str">
        <f t="shared" si="402"/>
        <v>0.00003%</v>
      </c>
      <c r="C11280" t="s">
        <v>10</v>
      </c>
      <c r="D11280" t="s">
        <v>10</v>
      </c>
      <c r="E11280" t="str">
        <f>"$ 226"</f>
        <v>$ 226</v>
      </c>
      <c r="F11280">
        <v>176</v>
      </c>
    </row>
    <row r="11281" spans="1:6">
      <c r="A11281" t="s">
        <v>10977</v>
      </c>
      <c r="B11281" t="str">
        <f t="shared" si="402"/>
        <v>0.00003%</v>
      </c>
      <c r="C11281" t="s">
        <v>10</v>
      </c>
      <c r="D11281" t="s">
        <v>10</v>
      </c>
      <c r="E11281" t="str">
        <f>"$ 227"</f>
        <v>$ 227</v>
      </c>
      <c r="F11281">
        <v>148</v>
      </c>
    </row>
    <row r="11282" spans="1:6">
      <c r="A11282" t="s">
        <v>10978</v>
      </c>
      <c r="B11282" t="str">
        <f t="shared" si="402"/>
        <v>0.00003%</v>
      </c>
      <c r="C11282" t="s">
        <v>10</v>
      </c>
      <c r="D11282" t="s">
        <v>10</v>
      </c>
      <c r="E11282" t="str">
        <f>"$ 220"</f>
        <v>$ 220</v>
      </c>
      <c r="F11282">
        <v>21</v>
      </c>
    </row>
    <row r="11283" spans="1:6">
      <c r="A11283" t="s">
        <v>10979</v>
      </c>
      <c r="B11283" t="str">
        <f t="shared" si="402"/>
        <v>0.00003%</v>
      </c>
      <c r="C11283" t="s">
        <v>10</v>
      </c>
      <c r="D11283" t="s">
        <v>10</v>
      </c>
      <c r="E11283" t="str">
        <f>"$ 202"</f>
        <v>$ 202</v>
      </c>
      <c r="F11283">
        <v>105</v>
      </c>
    </row>
    <row r="11284" spans="1:6">
      <c r="A11284" t="s">
        <v>10980</v>
      </c>
      <c r="B11284" t="str">
        <f t="shared" si="402"/>
        <v>0.00003%</v>
      </c>
      <c r="C11284" t="s">
        <v>10</v>
      </c>
      <c r="D11284" t="s">
        <v>10</v>
      </c>
      <c r="E11284" t="str">
        <f>"$ 196"</f>
        <v>$ 196</v>
      </c>
      <c r="F11284">
        <v>37</v>
      </c>
    </row>
    <row r="11285" spans="1:6">
      <c r="A11285" t="s">
        <v>10981</v>
      </c>
      <c r="B11285" t="str">
        <f t="shared" si="402"/>
        <v>0.00003%</v>
      </c>
      <c r="C11285" t="s">
        <v>10</v>
      </c>
      <c r="D11285" t="s">
        <v>10</v>
      </c>
      <c r="E11285" t="str">
        <f>"$ 211"</f>
        <v>$ 211</v>
      </c>
      <c r="F11285">
        <v>21</v>
      </c>
    </row>
    <row r="11286" spans="1:6">
      <c r="A11286" t="s">
        <v>10982</v>
      </c>
      <c r="B11286" t="str">
        <f t="shared" si="402"/>
        <v>0.00003%</v>
      </c>
      <c r="C11286" t="s">
        <v>10</v>
      </c>
      <c r="D11286" t="s">
        <v>10</v>
      </c>
      <c r="E11286" t="str">
        <f>"$ 231"</f>
        <v>$ 231</v>
      </c>
      <c r="F11286">
        <v>218</v>
      </c>
    </row>
    <row r="11287" spans="1:6">
      <c r="A11287" t="s">
        <v>10983</v>
      </c>
      <c r="B11287" t="str">
        <f t="shared" si="402"/>
        <v>0.00003%</v>
      </c>
      <c r="C11287" t="s">
        <v>10</v>
      </c>
      <c r="D11287" t="s">
        <v>10</v>
      </c>
      <c r="E11287" t="str">
        <f>"$ 235"</f>
        <v>$ 235</v>
      </c>
      <c r="F11287">
        <v>99</v>
      </c>
    </row>
    <row r="11288" spans="1:6">
      <c r="A11288" t="s">
        <v>10984</v>
      </c>
      <c r="B11288" t="str">
        <f t="shared" si="402"/>
        <v>0.00003%</v>
      </c>
      <c r="C11288" t="s">
        <v>10</v>
      </c>
      <c r="D11288" t="s">
        <v>10</v>
      </c>
      <c r="E11288" t="str">
        <f>"$ 270"</f>
        <v>$ 270</v>
      </c>
      <c r="F11288">
        <v>90</v>
      </c>
    </row>
    <row r="11289" spans="1:6">
      <c r="A11289" t="s">
        <v>10985</v>
      </c>
      <c r="B11289" t="str">
        <f t="shared" si="402"/>
        <v>0.00003%</v>
      </c>
      <c r="C11289" t="s">
        <v>10</v>
      </c>
      <c r="D11289" t="s">
        <v>10</v>
      </c>
      <c r="E11289" t="str">
        <f>"$ 247"</f>
        <v>$ 247</v>
      </c>
      <c r="F11289">
        <v>122</v>
      </c>
    </row>
    <row r="11290" spans="1:6">
      <c r="A11290" t="s">
        <v>10986</v>
      </c>
      <c r="B11290" t="str">
        <f t="shared" si="402"/>
        <v>0.00003%</v>
      </c>
      <c r="C11290" t="s">
        <v>10</v>
      </c>
      <c r="D11290" t="s">
        <v>10</v>
      </c>
      <c r="E11290" t="str">
        <f>"$ 207"</f>
        <v>$ 207</v>
      </c>
      <c r="F11290">
        <v>45</v>
      </c>
    </row>
    <row r="11291" spans="1:6">
      <c r="A11291" t="s">
        <v>10987</v>
      </c>
      <c r="B11291" t="str">
        <f t="shared" si="402"/>
        <v>0.00003%</v>
      </c>
      <c r="C11291" t="s">
        <v>10</v>
      </c>
      <c r="D11291" t="s">
        <v>10</v>
      </c>
      <c r="E11291" t="str">
        <f>"$ 210"</f>
        <v>$ 210</v>
      </c>
      <c r="F11291">
        <v>98</v>
      </c>
    </row>
    <row r="11292" spans="1:6">
      <c r="A11292" t="s">
        <v>10988</v>
      </c>
      <c r="B11292" t="str">
        <f t="shared" ref="B11292:B11299" si="403">"0.00003%"</f>
        <v>0.00003%</v>
      </c>
      <c r="C11292" t="s">
        <v>10</v>
      </c>
      <c r="D11292" t="s">
        <v>10</v>
      </c>
      <c r="E11292" t="str">
        <f>"$ 226"</f>
        <v>$ 226</v>
      </c>
      <c r="F11292">
        <v>65</v>
      </c>
    </row>
    <row r="11293" spans="1:6">
      <c r="A11293" t="s">
        <v>10989</v>
      </c>
      <c r="B11293" t="str">
        <f t="shared" si="403"/>
        <v>0.00003%</v>
      </c>
      <c r="C11293" t="s">
        <v>10</v>
      </c>
      <c r="D11293" t="s">
        <v>10</v>
      </c>
      <c r="E11293" t="str">
        <f>"$ 226"</f>
        <v>$ 226</v>
      </c>
      <c r="F11293">
        <v>175</v>
      </c>
    </row>
    <row r="11294" spans="1:6">
      <c r="A11294" t="s">
        <v>10990</v>
      </c>
      <c r="B11294" t="str">
        <f t="shared" si="403"/>
        <v>0.00003%</v>
      </c>
      <c r="C11294" t="s">
        <v>10</v>
      </c>
      <c r="D11294" t="s">
        <v>10</v>
      </c>
      <c r="E11294" t="str">
        <f>"$ 258"</f>
        <v>$ 258</v>
      </c>
      <c r="F11294">
        <v>58</v>
      </c>
    </row>
    <row r="11295" spans="1:6">
      <c r="A11295" t="s">
        <v>10991</v>
      </c>
      <c r="B11295" t="str">
        <f t="shared" si="403"/>
        <v>0.00003%</v>
      </c>
      <c r="C11295" t="s">
        <v>10</v>
      </c>
      <c r="D11295" t="s">
        <v>10</v>
      </c>
      <c r="E11295" t="str">
        <f>"$ 267"</f>
        <v>$ 267</v>
      </c>
      <c r="F11295">
        <v>30</v>
      </c>
    </row>
    <row r="11296" spans="1:6">
      <c r="A11296" t="s">
        <v>10992</v>
      </c>
      <c r="B11296" t="str">
        <f t="shared" si="403"/>
        <v>0.00003%</v>
      </c>
      <c r="C11296" t="s">
        <v>10</v>
      </c>
      <c r="D11296" t="s">
        <v>10</v>
      </c>
      <c r="E11296" t="str">
        <f>"$ 219"</f>
        <v>$ 219</v>
      </c>
      <c r="F11296">
        <v>282</v>
      </c>
    </row>
    <row r="11297" spans="1:6">
      <c r="A11297" t="s">
        <v>10993</v>
      </c>
      <c r="B11297" t="str">
        <f t="shared" si="403"/>
        <v>0.00003%</v>
      </c>
      <c r="C11297" t="s">
        <v>10</v>
      </c>
      <c r="D11297" t="s">
        <v>10</v>
      </c>
      <c r="E11297" t="str">
        <f>"$ 234"</f>
        <v>$ 234</v>
      </c>
      <c r="F11297">
        <v>47</v>
      </c>
    </row>
    <row r="11298" spans="1:6">
      <c r="A11298" t="s">
        <v>10994</v>
      </c>
      <c r="B11298" t="str">
        <f t="shared" si="403"/>
        <v>0.00003%</v>
      </c>
      <c r="C11298" t="s">
        <v>10</v>
      </c>
      <c r="D11298" t="s">
        <v>10</v>
      </c>
      <c r="E11298" t="str">
        <f>"$ 246"</f>
        <v>$ 246</v>
      </c>
      <c r="F11298">
        <v>188</v>
      </c>
    </row>
    <row r="11299" spans="1:6">
      <c r="A11299" t="s">
        <v>10995</v>
      </c>
      <c r="B11299" t="str">
        <f t="shared" si="403"/>
        <v>0.00003%</v>
      </c>
      <c r="C11299" t="s">
        <v>10</v>
      </c>
      <c r="D11299" t="s">
        <v>10</v>
      </c>
      <c r="E11299" t="str">
        <f>"$ 262"</f>
        <v>$ 262</v>
      </c>
      <c r="F11299">
        <v>328</v>
      </c>
    </row>
    <row r="11300" spans="1:6">
      <c r="A11300" t="s">
        <v>10996</v>
      </c>
      <c r="B11300" t="str">
        <f t="shared" ref="B11300:B11363" si="404">"0.00002%"</f>
        <v>0.00002%</v>
      </c>
      <c r="C11300" t="s">
        <v>10</v>
      </c>
      <c r="D11300" t="s">
        <v>10</v>
      </c>
      <c r="E11300" t="str">
        <f>"$ 125"</f>
        <v>$ 125</v>
      </c>
      <c r="F11300">
        <v>208</v>
      </c>
    </row>
    <row r="11301" spans="1:6">
      <c r="A11301" t="s">
        <v>10997</v>
      </c>
      <c r="B11301" t="str">
        <f t="shared" si="404"/>
        <v>0.00002%</v>
      </c>
      <c r="C11301" t="s">
        <v>10</v>
      </c>
      <c r="D11301" t="s">
        <v>10</v>
      </c>
      <c r="E11301" t="str">
        <f>"$ 145"</f>
        <v>$ 145</v>
      </c>
      <c r="F11301">
        <v>29</v>
      </c>
    </row>
    <row r="11302" spans="1:6">
      <c r="A11302" t="s">
        <v>10998</v>
      </c>
      <c r="B11302" t="str">
        <f t="shared" si="404"/>
        <v>0.00002%</v>
      </c>
      <c r="C11302" t="s">
        <v>10</v>
      </c>
      <c r="D11302" t="s">
        <v>10</v>
      </c>
      <c r="E11302" t="str">
        <f>"$ 150"</f>
        <v>$ 150</v>
      </c>
      <c r="F11302">
        <v>92</v>
      </c>
    </row>
    <row r="11303" spans="1:6">
      <c r="A11303" t="s">
        <v>10999</v>
      </c>
      <c r="B11303" t="str">
        <f t="shared" si="404"/>
        <v>0.00002%</v>
      </c>
      <c r="C11303" t="s">
        <v>10</v>
      </c>
      <c r="D11303" t="s">
        <v>10</v>
      </c>
      <c r="E11303" t="str">
        <f>"$ 190"</f>
        <v>$ 190</v>
      </c>
      <c r="F11303">
        <v>117</v>
      </c>
    </row>
    <row r="11304" spans="1:6">
      <c r="A11304" t="s">
        <v>11000</v>
      </c>
      <c r="B11304" t="str">
        <f t="shared" si="404"/>
        <v>0.00002%</v>
      </c>
      <c r="C11304" t="s">
        <v>10</v>
      </c>
      <c r="D11304" t="s">
        <v>10</v>
      </c>
      <c r="E11304" t="str">
        <f>"$ 192"</f>
        <v>$ 192</v>
      </c>
      <c r="F11304">
        <v>387</v>
      </c>
    </row>
    <row r="11305" spans="1:6">
      <c r="A11305" t="s">
        <v>11001</v>
      </c>
      <c r="B11305" t="str">
        <f t="shared" si="404"/>
        <v>0.00002%</v>
      </c>
      <c r="C11305" t="s">
        <v>10</v>
      </c>
      <c r="D11305" t="s">
        <v>10</v>
      </c>
      <c r="E11305" t="str">
        <f>"$ 168"</f>
        <v>$ 168</v>
      </c>
      <c r="F11305">
        <v>74</v>
      </c>
    </row>
    <row r="11306" spans="1:6">
      <c r="A11306" t="s">
        <v>11002</v>
      </c>
      <c r="B11306" t="str">
        <f t="shared" si="404"/>
        <v>0.00002%</v>
      </c>
      <c r="C11306" t="s">
        <v>10</v>
      </c>
      <c r="D11306" t="s">
        <v>10</v>
      </c>
      <c r="E11306" t="str">
        <f>"$ 173"</f>
        <v>$ 173</v>
      </c>
      <c r="F11306">
        <v>83</v>
      </c>
    </row>
    <row r="11307" spans="1:6">
      <c r="A11307" t="s">
        <v>11003</v>
      </c>
      <c r="B11307" t="str">
        <f t="shared" si="404"/>
        <v>0.00002%</v>
      </c>
      <c r="C11307" t="s">
        <v>10</v>
      </c>
      <c r="D11307" t="s">
        <v>10</v>
      </c>
      <c r="E11307" t="str">
        <f>"$ 189"</f>
        <v>$ 189</v>
      </c>
      <c r="F11307">
        <v>203</v>
      </c>
    </row>
    <row r="11308" spans="1:6">
      <c r="A11308" t="s">
        <v>11004</v>
      </c>
      <c r="B11308" t="str">
        <f t="shared" si="404"/>
        <v>0.00002%</v>
      </c>
      <c r="C11308" t="s">
        <v>10</v>
      </c>
      <c r="D11308" t="s">
        <v>10</v>
      </c>
      <c r="E11308" t="str">
        <f>"$ 190"</f>
        <v>$ 190</v>
      </c>
      <c r="F11308">
        <v>196</v>
      </c>
    </row>
    <row r="11309" spans="1:6">
      <c r="A11309" t="s">
        <v>11005</v>
      </c>
      <c r="B11309" t="str">
        <f t="shared" si="404"/>
        <v>0.00002%</v>
      </c>
      <c r="C11309" t="s">
        <v>10</v>
      </c>
      <c r="D11309" t="s">
        <v>10</v>
      </c>
      <c r="E11309" t="str">
        <f>"$ 174"</f>
        <v>$ 174</v>
      </c>
      <c r="F11309">
        <v>175</v>
      </c>
    </row>
    <row r="11310" spans="1:6">
      <c r="A11310" t="s">
        <v>11006</v>
      </c>
      <c r="B11310" t="str">
        <f t="shared" si="404"/>
        <v>0.00002%</v>
      </c>
      <c r="C11310" t="s">
        <v>10</v>
      </c>
      <c r="D11310" t="s">
        <v>10</v>
      </c>
      <c r="E11310" t="str">
        <f>"$ 123"</f>
        <v>$ 123</v>
      </c>
      <c r="F11310">
        <v>32</v>
      </c>
    </row>
    <row r="11311" spans="1:6">
      <c r="A11311" t="s">
        <v>11007</v>
      </c>
      <c r="B11311" t="str">
        <f t="shared" si="404"/>
        <v>0.00002%</v>
      </c>
      <c r="C11311" t="s">
        <v>10</v>
      </c>
      <c r="D11311" t="s">
        <v>10</v>
      </c>
      <c r="E11311" t="str">
        <f>"$ 123"</f>
        <v>$ 123</v>
      </c>
      <c r="F11311">
        <v>206</v>
      </c>
    </row>
    <row r="11312" spans="1:6">
      <c r="A11312" t="s">
        <v>9345</v>
      </c>
      <c r="B11312" t="str">
        <f t="shared" si="404"/>
        <v>0.00002%</v>
      </c>
      <c r="C11312" t="s">
        <v>10</v>
      </c>
      <c r="D11312" t="s">
        <v>10</v>
      </c>
      <c r="E11312" t="str">
        <f>"$ 124"</f>
        <v>$ 124</v>
      </c>
      <c r="F11312">
        <v>50</v>
      </c>
    </row>
    <row r="11313" spans="1:6">
      <c r="A11313" t="s">
        <v>11008</v>
      </c>
      <c r="B11313" t="str">
        <f t="shared" si="404"/>
        <v>0.00002%</v>
      </c>
      <c r="C11313" t="s">
        <v>10</v>
      </c>
      <c r="D11313" t="s">
        <v>10</v>
      </c>
      <c r="E11313" t="str">
        <f>"$ 119"</f>
        <v>$ 119</v>
      </c>
      <c r="F11313">
        <v>123</v>
      </c>
    </row>
    <row r="11314" spans="1:6">
      <c r="A11314" t="s">
        <v>11009</v>
      </c>
      <c r="B11314" t="str">
        <f t="shared" si="404"/>
        <v>0.00002%</v>
      </c>
      <c r="C11314" t="s">
        <v>10</v>
      </c>
      <c r="D11314" t="s">
        <v>10</v>
      </c>
      <c r="E11314" t="str">
        <f>"$ 150"</f>
        <v>$ 150</v>
      </c>
      <c r="F11314">
        <v>370</v>
      </c>
    </row>
    <row r="11315" spans="1:6">
      <c r="A11315" t="s">
        <v>11010</v>
      </c>
      <c r="B11315" t="str">
        <f t="shared" si="404"/>
        <v>0.00002%</v>
      </c>
      <c r="C11315" t="s">
        <v>10</v>
      </c>
      <c r="D11315" t="s">
        <v>10</v>
      </c>
      <c r="E11315" t="str">
        <f>"$ 146"</f>
        <v>$ 146</v>
      </c>
      <c r="F11315">
        <v>167</v>
      </c>
    </row>
    <row r="11316" spans="1:6">
      <c r="A11316" t="s">
        <v>9514</v>
      </c>
      <c r="B11316" t="str">
        <f t="shared" si="404"/>
        <v>0.00002%</v>
      </c>
      <c r="C11316" t="s">
        <v>10</v>
      </c>
      <c r="D11316" t="s">
        <v>10</v>
      </c>
      <c r="E11316" t="str">
        <f>"$ 145"</f>
        <v>$ 145</v>
      </c>
      <c r="F11316">
        <v>103</v>
      </c>
    </row>
    <row r="11317" spans="1:6">
      <c r="A11317" t="s">
        <v>11011</v>
      </c>
      <c r="B11317" t="str">
        <f t="shared" si="404"/>
        <v>0.00002%</v>
      </c>
      <c r="C11317" t="s">
        <v>10</v>
      </c>
      <c r="D11317" t="s">
        <v>10</v>
      </c>
      <c r="E11317" t="str">
        <f>"$ 148"</f>
        <v>$ 148</v>
      </c>
      <c r="F11317">
        <v>42</v>
      </c>
    </row>
    <row r="11318" spans="1:6">
      <c r="A11318" t="s">
        <v>9347</v>
      </c>
      <c r="B11318" t="str">
        <f t="shared" si="404"/>
        <v>0.00002%</v>
      </c>
      <c r="C11318" t="s">
        <v>10</v>
      </c>
      <c r="D11318" t="s">
        <v>10</v>
      </c>
      <c r="E11318" t="str">
        <f>"$ 181"</f>
        <v>$ 181</v>
      </c>
      <c r="F11318">
        <v>76</v>
      </c>
    </row>
    <row r="11319" spans="1:6">
      <c r="A11319" t="s">
        <v>11012</v>
      </c>
      <c r="B11319" t="str">
        <f t="shared" si="404"/>
        <v>0.00002%</v>
      </c>
      <c r="C11319" t="s">
        <v>10</v>
      </c>
      <c r="D11319" t="s">
        <v>10</v>
      </c>
      <c r="E11319" t="str">
        <f>"$ 181"</f>
        <v>$ 181</v>
      </c>
      <c r="F11319">
        <v>110</v>
      </c>
    </row>
    <row r="11320" spans="1:6">
      <c r="A11320" t="s">
        <v>11013</v>
      </c>
      <c r="B11320" t="str">
        <f t="shared" si="404"/>
        <v>0.00002%</v>
      </c>
      <c r="C11320" t="s">
        <v>10</v>
      </c>
      <c r="D11320" t="s">
        <v>10</v>
      </c>
      <c r="E11320" t="str">
        <f>"$ 183"</f>
        <v>$ 183</v>
      </c>
      <c r="F11320">
        <v>237</v>
      </c>
    </row>
    <row r="11321" spans="1:6">
      <c r="A11321" t="s">
        <v>11014</v>
      </c>
      <c r="B11321" t="str">
        <f t="shared" si="404"/>
        <v>0.00002%</v>
      </c>
      <c r="C11321" t="s">
        <v>10</v>
      </c>
      <c r="D11321" t="s">
        <v>10</v>
      </c>
      <c r="E11321" t="str">
        <f>"$ 184"</f>
        <v>$ 184</v>
      </c>
      <c r="F11321">
        <v>74</v>
      </c>
    </row>
    <row r="11322" spans="1:6">
      <c r="A11322" t="s">
        <v>11015</v>
      </c>
      <c r="B11322" t="str">
        <f t="shared" si="404"/>
        <v>0.00002%</v>
      </c>
      <c r="C11322" t="s">
        <v>10</v>
      </c>
      <c r="D11322" t="s">
        <v>10</v>
      </c>
      <c r="E11322" t="str">
        <f>"$ 185"</f>
        <v>$ 185</v>
      </c>
      <c r="F11322">
        <v>210</v>
      </c>
    </row>
    <row r="11323" spans="1:6">
      <c r="A11323" t="s">
        <v>11016</v>
      </c>
      <c r="B11323" t="str">
        <f t="shared" si="404"/>
        <v>0.00002%</v>
      </c>
      <c r="C11323" t="s">
        <v>10</v>
      </c>
      <c r="D11323" t="s">
        <v>10</v>
      </c>
      <c r="E11323" t="str">
        <f>"$ 154"</f>
        <v>$ 154</v>
      </c>
      <c r="F11323">
        <v>224</v>
      </c>
    </row>
    <row r="11324" spans="1:6">
      <c r="A11324" t="s">
        <v>11017</v>
      </c>
      <c r="B11324" t="str">
        <f t="shared" si="404"/>
        <v>0.00002%</v>
      </c>
      <c r="C11324" t="s">
        <v>10</v>
      </c>
      <c r="D11324" t="s">
        <v>10</v>
      </c>
      <c r="E11324" t="str">
        <f>"$ 155"</f>
        <v>$ 155</v>
      </c>
      <c r="F11324">
        <v>31</v>
      </c>
    </row>
    <row r="11325" spans="1:6">
      <c r="A11325" t="s">
        <v>11018</v>
      </c>
      <c r="B11325" t="str">
        <f t="shared" si="404"/>
        <v>0.00002%</v>
      </c>
      <c r="C11325" t="s">
        <v>10</v>
      </c>
      <c r="D11325" t="s">
        <v>10</v>
      </c>
      <c r="E11325" t="str">
        <f>"$ 159"</f>
        <v>$ 159</v>
      </c>
      <c r="F11325">
        <v>135</v>
      </c>
    </row>
    <row r="11326" spans="1:6">
      <c r="A11326" t="s">
        <v>11019</v>
      </c>
      <c r="B11326" t="str">
        <f t="shared" si="404"/>
        <v>0.00002%</v>
      </c>
      <c r="C11326" t="s">
        <v>10</v>
      </c>
      <c r="D11326" t="s">
        <v>10</v>
      </c>
      <c r="E11326" t="str">
        <f>"$ 157"</f>
        <v>$ 157</v>
      </c>
      <c r="F11326">
        <v>133</v>
      </c>
    </row>
    <row r="11327" spans="1:6">
      <c r="A11327" t="s">
        <v>11020</v>
      </c>
      <c r="B11327" t="str">
        <f t="shared" si="404"/>
        <v>0.00002%</v>
      </c>
      <c r="C11327" t="s">
        <v>10</v>
      </c>
      <c r="D11327" t="s">
        <v>10</v>
      </c>
      <c r="E11327" t="str">
        <f>"$ 117"</f>
        <v>$ 117</v>
      </c>
      <c r="F11327">
        <v>132</v>
      </c>
    </row>
    <row r="11328" spans="1:6">
      <c r="A11328" t="s">
        <v>11021</v>
      </c>
      <c r="B11328" t="str">
        <f t="shared" si="404"/>
        <v>0.00002%</v>
      </c>
      <c r="C11328" t="s">
        <v>10</v>
      </c>
      <c r="D11328" t="s">
        <v>10</v>
      </c>
      <c r="E11328" t="str">
        <f>"$ 175"</f>
        <v>$ 175</v>
      </c>
      <c r="F11328">
        <v>269</v>
      </c>
    </row>
    <row r="11329" spans="1:6">
      <c r="A11329" t="s">
        <v>11019</v>
      </c>
      <c r="B11329" t="str">
        <f t="shared" si="404"/>
        <v>0.00002%</v>
      </c>
      <c r="C11329" t="s">
        <v>10</v>
      </c>
      <c r="D11329" t="s">
        <v>10</v>
      </c>
      <c r="E11329" t="str">
        <f>"$ 173"</f>
        <v>$ 173</v>
      </c>
      <c r="F11329">
        <v>147</v>
      </c>
    </row>
    <row r="11330" spans="1:6">
      <c r="A11330" t="s">
        <v>11022</v>
      </c>
      <c r="B11330" t="str">
        <f t="shared" si="404"/>
        <v>0.00002%</v>
      </c>
      <c r="C11330" t="s">
        <v>10</v>
      </c>
      <c r="D11330" t="s">
        <v>10</v>
      </c>
      <c r="E11330" t="str">
        <f>"$ 136"</f>
        <v>$ 136</v>
      </c>
      <c r="F11330">
        <v>179</v>
      </c>
    </row>
    <row r="11331" spans="1:6">
      <c r="A11331" t="s">
        <v>11023</v>
      </c>
      <c r="B11331" t="str">
        <f t="shared" si="404"/>
        <v>0.00002%</v>
      </c>
      <c r="C11331" t="s">
        <v>10</v>
      </c>
      <c r="D11331" t="s">
        <v>10</v>
      </c>
      <c r="E11331" t="str">
        <f>"$ 137"</f>
        <v>$ 137</v>
      </c>
      <c r="F11331">
        <v>154</v>
      </c>
    </row>
    <row r="11332" spans="1:6">
      <c r="A11332" t="s">
        <v>10223</v>
      </c>
      <c r="B11332" t="str">
        <f t="shared" si="404"/>
        <v>0.00002%</v>
      </c>
      <c r="C11332" t="s">
        <v>10</v>
      </c>
      <c r="D11332" t="s">
        <v>10</v>
      </c>
      <c r="E11332" t="str">
        <f>"$ 167"</f>
        <v>$ 167</v>
      </c>
      <c r="F11332">
        <v>163</v>
      </c>
    </row>
    <row r="11333" spans="1:6">
      <c r="A11333" t="s">
        <v>11024</v>
      </c>
      <c r="B11333" t="str">
        <f t="shared" si="404"/>
        <v>0.00002%</v>
      </c>
      <c r="C11333" t="s">
        <v>10</v>
      </c>
      <c r="D11333" t="s">
        <v>10</v>
      </c>
      <c r="E11333" t="str">
        <f>"$ 182"</f>
        <v>$ 182</v>
      </c>
      <c r="F11333">
        <v>344</v>
      </c>
    </row>
    <row r="11334" spans="1:6">
      <c r="A11334" t="s">
        <v>11025</v>
      </c>
      <c r="B11334" t="str">
        <f t="shared" si="404"/>
        <v>0.00002%</v>
      </c>
      <c r="C11334" t="s">
        <v>10</v>
      </c>
      <c r="D11334" t="s">
        <v>10</v>
      </c>
      <c r="E11334" t="str">
        <f>"$ 132"</f>
        <v>$ 132</v>
      </c>
      <c r="F11334">
        <v>314</v>
      </c>
    </row>
    <row r="11335" spans="1:6">
      <c r="A11335" t="s">
        <v>10482</v>
      </c>
      <c r="B11335" t="str">
        <f t="shared" si="404"/>
        <v>0.00002%</v>
      </c>
      <c r="C11335" t="s">
        <v>10</v>
      </c>
      <c r="D11335" t="s">
        <v>10</v>
      </c>
      <c r="E11335" t="str">
        <f>"$ 117"</f>
        <v>$ 117</v>
      </c>
      <c r="F11335">
        <v>104</v>
      </c>
    </row>
    <row r="11336" spans="1:6">
      <c r="A11336" t="s">
        <v>11026</v>
      </c>
      <c r="B11336" t="str">
        <f t="shared" si="404"/>
        <v>0.00002%</v>
      </c>
      <c r="C11336" t="s">
        <v>10</v>
      </c>
      <c r="D11336" t="s">
        <v>10</v>
      </c>
      <c r="E11336" t="str">
        <f>"$ 168"</f>
        <v>$ 168</v>
      </c>
      <c r="F11336">
        <v>133</v>
      </c>
    </row>
    <row r="11337" spans="1:6">
      <c r="A11337" t="s">
        <v>9516</v>
      </c>
      <c r="B11337" t="str">
        <f t="shared" si="404"/>
        <v>0.00002%</v>
      </c>
      <c r="C11337" t="s">
        <v>10</v>
      </c>
      <c r="D11337" t="s">
        <v>10</v>
      </c>
      <c r="E11337" t="str">
        <f>"$ 169"</f>
        <v>$ 169</v>
      </c>
      <c r="F11337">
        <v>63</v>
      </c>
    </row>
    <row r="11338" spans="1:6">
      <c r="A11338" t="s">
        <v>11027</v>
      </c>
      <c r="B11338" t="str">
        <f t="shared" si="404"/>
        <v>0.00002%</v>
      </c>
      <c r="C11338" t="s">
        <v>10</v>
      </c>
      <c r="D11338" t="s">
        <v>10</v>
      </c>
      <c r="E11338" t="str">
        <f>"$ 193"</f>
        <v>$ 193</v>
      </c>
      <c r="F11338">
        <v>144</v>
      </c>
    </row>
    <row r="11339" spans="1:6">
      <c r="A11339" t="s">
        <v>9744</v>
      </c>
      <c r="B11339" t="str">
        <f t="shared" si="404"/>
        <v>0.00002%</v>
      </c>
      <c r="C11339" t="s">
        <v>10</v>
      </c>
      <c r="D11339" t="s">
        <v>10</v>
      </c>
      <c r="E11339" t="str">
        <f>"$ 134"</f>
        <v>$ 134</v>
      </c>
      <c r="F11339">
        <v>170</v>
      </c>
    </row>
    <row r="11340" spans="1:6">
      <c r="A11340" t="s">
        <v>10233</v>
      </c>
      <c r="B11340" t="str">
        <f t="shared" si="404"/>
        <v>0.00002%</v>
      </c>
      <c r="C11340" t="s">
        <v>10</v>
      </c>
      <c r="D11340" t="s">
        <v>10</v>
      </c>
      <c r="E11340" t="str">
        <f>"$ 129"</f>
        <v>$ 129</v>
      </c>
      <c r="F11340">
        <v>96</v>
      </c>
    </row>
    <row r="11341" spans="1:6">
      <c r="A11341" t="s">
        <v>11028</v>
      </c>
      <c r="B11341" t="str">
        <f t="shared" si="404"/>
        <v>0.00002%</v>
      </c>
      <c r="C11341" t="s">
        <v>10</v>
      </c>
      <c r="D11341" t="s">
        <v>10</v>
      </c>
      <c r="E11341" t="str">
        <f>"$ 164"</f>
        <v>$ 164</v>
      </c>
      <c r="F11341">
        <v>58</v>
      </c>
    </row>
    <row r="11342" spans="1:6">
      <c r="A11342" t="s">
        <v>11029</v>
      </c>
      <c r="B11342" t="str">
        <f t="shared" si="404"/>
        <v>0.00002%</v>
      </c>
      <c r="C11342" t="s">
        <v>10</v>
      </c>
      <c r="D11342" t="s">
        <v>10</v>
      </c>
      <c r="E11342" t="str">
        <f>"$ 183"</f>
        <v>$ 183</v>
      </c>
      <c r="F11342">
        <v>368</v>
      </c>
    </row>
    <row r="11343" spans="1:6">
      <c r="A11343" t="s">
        <v>11030</v>
      </c>
      <c r="B11343" t="str">
        <f t="shared" si="404"/>
        <v>0.00002%</v>
      </c>
      <c r="C11343" t="s">
        <v>10</v>
      </c>
      <c r="D11343" t="s">
        <v>10</v>
      </c>
      <c r="E11343" t="str">
        <f>"$ 188"</f>
        <v>$ 188</v>
      </c>
      <c r="F11343">
        <v>142</v>
      </c>
    </row>
    <row r="11344" spans="1:6">
      <c r="A11344" t="s">
        <v>10238</v>
      </c>
      <c r="B11344" t="str">
        <f t="shared" si="404"/>
        <v>0.00002%</v>
      </c>
      <c r="C11344" t="s">
        <v>10</v>
      </c>
      <c r="D11344" t="s">
        <v>10</v>
      </c>
      <c r="E11344" t="str">
        <f>"$ 134"</f>
        <v>$ 134</v>
      </c>
      <c r="F11344">
        <v>132</v>
      </c>
    </row>
    <row r="11345" spans="1:6">
      <c r="A11345" t="s">
        <v>9525</v>
      </c>
      <c r="B11345" t="str">
        <f t="shared" si="404"/>
        <v>0.00002%</v>
      </c>
      <c r="C11345" t="s">
        <v>10</v>
      </c>
      <c r="D11345" t="s">
        <v>10</v>
      </c>
      <c r="E11345" t="str">
        <f>"$ 143"</f>
        <v>$ 143</v>
      </c>
      <c r="F11345">
        <v>122</v>
      </c>
    </row>
    <row r="11346" spans="1:6">
      <c r="A11346" t="s">
        <v>10751</v>
      </c>
      <c r="B11346" t="str">
        <f t="shared" si="404"/>
        <v>0.00002%</v>
      </c>
      <c r="C11346" t="s">
        <v>10</v>
      </c>
      <c r="D11346" t="s">
        <v>10</v>
      </c>
      <c r="E11346" t="str">
        <f>"$ 144"</f>
        <v>$ 144</v>
      </c>
      <c r="F11346">
        <v>104</v>
      </c>
    </row>
    <row r="11347" spans="1:6">
      <c r="A11347" t="s">
        <v>9004</v>
      </c>
      <c r="B11347" t="str">
        <f t="shared" si="404"/>
        <v>0.00002%</v>
      </c>
      <c r="C11347" t="s">
        <v>10</v>
      </c>
      <c r="D11347" t="s">
        <v>10</v>
      </c>
      <c r="E11347" t="str">
        <f>"$ 159"</f>
        <v>$ 159</v>
      </c>
      <c r="F11347">
        <v>116</v>
      </c>
    </row>
    <row r="11348" spans="1:6">
      <c r="A11348" t="s">
        <v>11031</v>
      </c>
      <c r="B11348" t="str">
        <f t="shared" si="404"/>
        <v>0.00002%</v>
      </c>
      <c r="C11348" t="s">
        <v>10</v>
      </c>
      <c r="D11348" t="s">
        <v>10</v>
      </c>
      <c r="E11348" t="str">
        <f>"$ 180"</f>
        <v>$ 180</v>
      </c>
      <c r="F11348">
        <v>242</v>
      </c>
    </row>
    <row r="11349" spans="1:6">
      <c r="A11349" t="s">
        <v>7697</v>
      </c>
      <c r="B11349" t="str">
        <f t="shared" si="404"/>
        <v>0.00002%</v>
      </c>
      <c r="C11349" t="s">
        <v>10</v>
      </c>
      <c r="D11349" t="s">
        <v>10</v>
      </c>
      <c r="E11349" t="str">
        <f>"$ 171"</f>
        <v>$ 171</v>
      </c>
      <c r="F11349">
        <v>203</v>
      </c>
    </row>
    <row r="11350" spans="1:6">
      <c r="A11350" t="s">
        <v>11032</v>
      </c>
      <c r="B11350" t="str">
        <f t="shared" si="404"/>
        <v>0.00002%</v>
      </c>
      <c r="C11350" t="s">
        <v>10</v>
      </c>
      <c r="D11350" t="s">
        <v>10</v>
      </c>
      <c r="E11350" t="str">
        <f>"$ 171"</f>
        <v>$ 171</v>
      </c>
      <c r="F11350">
        <v>106</v>
      </c>
    </row>
    <row r="11351" spans="1:6">
      <c r="A11351" t="s">
        <v>11033</v>
      </c>
      <c r="B11351" t="str">
        <f t="shared" si="404"/>
        <v>0.00002%</v>
      </c>
      <c r="C11351" t="s">
        <v>10</v>
      </c>
      <c r="D11351" t="s">
        <v>10</v>
      </c>
      <c r="E11351" t="str">
        <f>"$ 191"</f>
        <v>$ 191</v>
      </c>
      <c r="F11351">
        <v>71</v>
      </c>
    </row>
    <row r="11352" spans="1:6">
      <c r="A11352" t="s">
        <v>9977</v>
      </c>
      <c r="B11352" t="str">
        <f t="shared" si="404"/>
        <v>0.00002%</v>
      </c>
      <c r="C11352" t="s">
        <v>10</v>
      </c>
      <c r="D11352" t="s">
        <v>10</v>
      </c>
      <c r="E11352" t="str">
        <f>"$ 153"</f>
        <v>$ 153</v>
      </c>
      <c r="F11352">
        <v>42</v>
      </c>
    </row>
    <row r="11353" spans="1:6">
      <c r="A11353" t="s">
        <v>11034</v>
      </c>
      <c r="B11353" t="str">
        <f t="shared" si="404"/>
        <v>0.00002%</v>
      </c>
      <c r="C11353" t="s">
        <v>10</v>
      </c>
      <c r="D11353" t="s">
        <v>10</v>
      </c>
      <c r="E11353" t="str">
        <f>"$ 152"</f>
        <v>$ 152</v>
      </c>
      <c r="F11353">
        <v>48</v>
      </c>
    </row>
    <row r="11354" spans="1:6">
      <c r="A11354" t="s">
        <v>11035</v>
      </c>
      <c r="B11354" t="str">
        <f t="shared" si="404"/>
        <v>0.00002%</v>
      </c>
      <c r="C11354" t="s">
        <v>10</v>
      </c>
      <c r="D11354" t="s">
        <v>10</v>
      </c>
      <c r="E11354" t="str">
        <f>"$ 146"</f>
        <v>$ 146</v>
      </c>
      <c r="F11354">
        <v>224</v>
      </c>
    </row>
    <row r="11355" spans="1:6">
      <c r="A11355" t="s">
        <v>11036</v>
      </c>
      <c r="B11355" t="str">
        <f t="shared" si="404"/>
        <v>0.00002%</v>
      </c>
      <c r="C11355" t="s">
        <v>10</v>
      </c>
      <c r="D11355" t="s">
        <v>10</v>
      </c>
      <c r="E11355" t="str">
        <f>"$ 169"</f>
        <v>$ 169</v>
      </c>
      <c r="F11355">
        <v>60</v>
      </c>
    </row>
    <row r="11356" spans="1:6">
      <c r="A11356" t="s">
        <v>10498</v>
      </c>
      <c r="B11356" t="str">
        <f t="shared" si="404"/>
        <v>0.00002%</v>
      </c>
      <c r="C11356" t="s">
        <v>10</v>
      </c>
      <c r="D11356" t="s">
        <v>10</v>
      </c>
      <c r="E11356" t="str">
        <f>"$ 175"</f>
        <v>$ 175</v>
      </c>
      <c r="F11356">
        <v>111</v>
      </c>
    </row>
    <row r="11357" spans="1:6">
      <c r="A11357" t="s">
        <v>11037</v>
      </c>
      <c r="B11357" t="str">
        <f t="shared" si="404"/>
        <v>0.00002%</v>
      </c>
      <c r="C11357" t="s">
        <v>10</v>
      </c>
      <c r="D11357" t="s">
        <v>10</v>
      </c>
      <c r="E11357" t="str">
        <f>"$ 177"</f>
        <v>$ 177</v>
      </c>
      <c r="F11357">
        <v>56</v>
      </c>
    </row>
    <row r="11358" spans="1:6">
      <c r="A11358" t="s">
        <v>11038</v>
      </c>
      <c r="B11358" t="str">
        <f t="shared" si="404"/>
        <v>0.00002%</v>
      </c>
      <c r="C11358" t="s">
        <v>10</v>
      </c>
      <c r="D11358" t="s">
        <v>10</v>
      </c>
      <c r="E11358" t="str">
        <f>"$ 178"</f>
        <v>$ 178</v>
      </c>
      <c r="F11358">
        <v>214</v>
      </c>
    </row>
    <row r="11359" spans="1:6">
      <c r="A11359" t="s">
        <v>11039</v>
      </c>
      <c r="B11359" t="str">
        <f t="shared" si="404"/>
        <v>0.00002%</v>
      </c>
      <c r="C11359" t="s">
        <v>10</v>
      </c>
      <c r="D11359" t="s">
        <v>10</v>
      </c>
      <c r="E11359" t="str">
        <f>"$ 190"</f>
        <v>$ 190</v>
      </c>
      <c r="F11359">
        <v>94</v>
      </c>
    </row>
    <row r="11360" spans="1:6">
      <c r="A11360" t="s">
        <v>6864</v>
      </c>
      <c r="B11360" t="str">
        <f t="shared" si="404"/>
        <v>0.00002%</v>
      </c>
      <c r="C11360" t="s">
        <v>10</v>
      </c>
      <c r="D11360" t="s">
        <v>10</v>
      </c>
      <c r="E11360" t="str">
        <f>"$ 129"</f>
        <v>$ 129</v>
      </c>
      <c r="F11360">
        <v>24</v>
      </c>
    </row>
    <row r="11361" spans="1:6">
      <c r="A11361" t="s">
        <v>11040</v>
      </c>
      <c r="B11361" t="str">
        <f t="shared" si="404"/>
        <v>0.00002%</v>
      </c>
      <c r="C11361" t="s">
        <v>10</v>
      </c>
      <c r="D11361" t="s">
        <v>10</v>
      </c>
      <c r="E11361" t="str">
        <f>"$ 124"</f>
        <v>$ 124</v>
      </c>
      <c r="F11361">
        <v>28</v>
      </c>
    </row>
    <row r="11362" spans="1:6">
      <c r="A11362" t="s">
        <v>10243</v>
      </c>
      <c r="B11362" t="str">
        <f t="shared" si="404"/>
        <v>0.00002%</v>
      </c>
      <c r="C11362" t="s">
        <v>10</v>
      </c>
      <c r="D11362" t="s">
        <v>10</v>
      </c>
      <c r="E11362" t="str">
        <f>"$ 128"</f>
        <v>$ 128</v>
      </c>
      <c r="F11362">
        <v>70</v>
      </c>
    </row>
    <row r="11363" spans="1:6">
      <c r="A11363" t="s">
        <v>10246</v>
      </c>
      <c r="B11363" t="str">
        <f t="shared" si="404"/>
        <v>0.00002%</v>
      </c>
      <c r="C11363" t="s">
        <v>10</v>
      </c>
      <c r="D11363" t="s">
        <v>10</v>
      </c>
      <c r="E11363" t="str">
        <f>"$ 128"</f>
        <v>$ 128</v>
      </c>
      <c r="F11363">
        <v>179</v>
      </c>
    </row>
    <row r="11364" spans="1:6">
      <c r="A11364" t="s">
        <v>11041</v>
      </c>
      <c r="B11364" t="str">
        <f t="shared" ref="B11364:B11427" si="405">"0.00002%"</f>
        <v>0.00002%</v>
      </c>
      <c r="C11364" t="s">
        <v>10</v>
      </c>
      <c r="D11364" t="s">
        <v>10</v>
      </c>
      <c r="E11364" t="str">
        <f>"$ 159"</f>
        <v>$ 159</v>
      </c>
      <c r="F11364">
        <v>51</v>
      </c>
    </row>
    <row r="11365" spans="1:6">
      <c r="A11365" t="s">
        <v>8713</v>
      </c>
      <c r="B11365" t="str">
        <f t="shared" si="405"/>
        <v>0.00002%</v>
      </c>
      <c r="C11365" t="s">
        <v>10</v>
      </c>
      <c r="D11365" t="s">
        <v>10</v>
      </c>
      <c r="E11365" t="str">
        <f>"$ 160"</f>
        <v>$ 160</v>
      </c>
      <c r="F11365">
        <v>69</v>
      </c>
    </row>
    <row r="11366" spans="1:6">
      <c r="A11366" t="s">
        <v>10506</v>
      </c>
      <c r="B11366" t="str">
        <f t="shared" si="405"/>
        <v>0.00002%</v>
      </c>
      <c r="C11366" t="s">
        <v>10</v>
      </c>
      <c r="D11366" t="s">
        <v>10</v>
      </c>
      <c r="E11366" t="str">
        <f>"$ 150"</f>
        <v>$ 150</v>
      </c>
      <c r="F11366">
        <v>103</v>
      </c>
    </row>
    <row r="11367" spans="1:6">
      <c r="A11367" t="s">
        <v>11042</v>
      </c>
      <c r="B11367" t="str">
        <f t="shared" si="405"/>
        <v>0.00002%</v>
      </c>
      <c r="C11367" t="s">
        <v>10</v>
      </c>
      <c r="D11367" t="s">
        <v>10</v>
      </c>
      <c r="E11367" t="str">
        <f>"$ 184"</f>
        <v>$ 184</v>
      </c>
      <c r="F11367">
        <v>252</v>
      </c>
    </row>
    <row r="11368" spans="1:6">
      <c r="A11368" t="s">
        <v>11043</v>
      </c>
      <c r="B11368" t="str">
        <f t="shared" si="405"/>
        <v>0.00002%</v>
      </c>
      <c r="C11368" t="s">
        <v>10</v>
      </c>
      <c r="D11368" t="s">
        <v>10</v>
      </c>
      <c r="E11368" t="str">
        <f>"$ 172"</f>
        <v>$ 172</v>
      </c>
      <c r="F11368">
        <v>179</v>
      </c>
    </row>
    <row r="11369" spans="1:6">
      <c r="A11369" t="s">
        <v>11044</v>
      </c>
      <c r="B11369" t="str">
        <f t="shared" si="405"/>
        <v>0.00002%</v>
      </c>
      <c r="C11369" t="s">
        <v>10</v>
      </c>
      <c r="D11369" t="s">
        <v>10</v>
      </c>
      <c r="E11369" t="str">
        <f>"$ 168"</f>
        <v>$ 168</v>
      </c>
      <c r="F11369">
        <v>154</v>
      </c>
    </row>
    <row r="11370" spans="1:6">
      <c r="A11370" t="s">
        <v>11045</v>
      </c>
      <c r="B11370" t="str">
        <f t="shared" si="405"/>
        <v>0.00002%</v>
      </c>
      <c r="C11370" t="s">
        <v>10</v>
      </c>
      <c r="D11370" t="s">
        <v>10</v>
      </c>
      <c r="E11370" t="str">
        <f>"$ 167"</f>
        <v>$ 167</v>
      </c>
      <c r="F11370">
        <v>67</v>
      </c>
    </row>
    <row r="11371" spans="1:6">
      <c r="A11371" t="s">
        <v>10507</v>
      </c>
      <c r="B11371" t="str">
        <f t="shared" si="405"/>
        <v>0.00002%</v>
      </c>
      <c r="C11371" t="s">
        <v>10</v>
      </c>
      <c r="D11371" t="s">
        <v>10</v>
      </c>
      <c r="E11371" t="str">
        <f>"$ 125"</f>
        <v>$ 125</v>
      </c>
      <c r="F11371">
        <v>67</v>
      </c>
    </row>
    <row r="11372" spans="1:6">
      <c r="A11372" t="s">
        <v>11046</v>
      </c>
      <c r="B11372" t="str">
        <f t="shared" si="405"/>
        <v>0.00002%</v>
      </c>
      <c r="C11372" t="s">
        <v>10</v>
      </c>
      <c r="D11372" t="s">
        <v>10</v>
      </c>
      <c r="E11372" t="str">
        <f>"$ 155"</f>
        <v>$ 155</v>
      </c>
      <c r="F11372">
        <v>134</v>
      </c>
    </row>
    <row r="11373" spans="1:6">
      <c r="A11373" t="s">
        <v>10769</v>
      </c>
      <c r="B11373" t="str">
        <f t="shared" si="405"/>
        <v>0.00002%</v>
      </c>
      <c r="C11373" t="s">
        <v>10</v>
      </c>
      <c r="D11373" t="s">
        <v>10</v>
      </c>
      <c r="E11373" t="str">
        <f>"$ 135"</f>
        <v>$ 135</v>
      </c>
      <c r="F11373">
        <v>45</v>
      </c>
    </row>
    <row r="11374" spans="1:6">
      <c r="A11374" t="s">
        <v>9991</v>
      </c>
      <c r="B11374" t="str">
        <f t="shared" si="405"/>
        <v>0.00002%</v>
      </c>
      <c r="C11374" t="s">
        <v>10</v>
      </c>
      <c r="D11374" t="s">
        <v>10</v>
      </c>
      <c r="E11374" t="str">
        <f>"$ 173"</f>
        <v>$ 173</v>
      </c>
      <c r="F11374">
        <v>136</v>
      </c>
    </row>
    <row r="11375" spans="1:6">
      <c r="A11375" t="s">
        <v>11047</v>
      </c>
      <c r="B11375" t="str">
        <f t="shared" si="405"/>
        <v>0.00002%</v>
      </c>
      <c r="C11375" t="s">
        <v>10</v>
      </c>
      <c r="D11375" t="s">
        <v>10</v>
      </c>
      <c r="E11375" t="str">
        <f>"$ 137"</f>
        <v>$ 137</v>
      </c>
      <c r="F11375">
        <v>35</v>
      </c>
    </row>
    <row r="11376" spans="1:6">
      <c r="A11376" t="s">
        <v>9993</v>
      </c>
      <c r="B11376" t="str">
        <f t="shared" si="405"/>
        <v>0.00002%</v>
      </c>
      <c r="C11376" t="s">
        <v>10</v>
      </c>
      <c r="D11376" t="s">
        <v>10</v>
      </c>
      <c r="E11376" t="str">
        <f>"$ 157"</f>
        <v>$ 157</v>
      </c>
      <c r="F11376">
        <v>50</v>
      </c>
    </row>
    <row r="11377" spans="1:6">
      <c r="A11377" t="s">
        <v>11048</v>
      </c>
      <c r="B11377" t="str">
        <f t="shared" si="405"/>
        <v>0.00002%</v>
      </c>
      <c r="C11377" t="s">
        <v>10</v>
      </c>
      <c r="D11377" t="s">
        <v>10</v>
      </c>
      <c r="E11377" t="str">
        <f>"$ 184"</f>
        <v>$ 184</v>
      </c>
      <c r="F11377">
        <v>218</v>
      </c>
    </row>
    <row r="11378" spans="1:6">
      <c r="A11378" t="s">
        <v>10511</v>
      </c>
      <c r="B11378" t="str">
        <f t="shared" si="405"/>
        <v>0.00002%</v>
      </c>
      <c r="C11378" t="s">
        <v>10</v>
      </c>
      <c r="D11378" t="s">
        <v>10</v>
      </c>
      <c r="E11378" t="str">
        <f>"$ 175"</f>
        <v>$ 175</v>
      </c>
      <c r="F11378">
        <v>88</v>
      </c>
    </row>
    <row r="11379" spans="1:6">
      <c r="A11379" t="s">
        <v>9201</v>
      </c>
      <c r="B11379" t="str">
        <f t="shared" si="405"/>
        <v>0.00002%</v>
      </c>
      <c r="C11379" t="s">
        <v>10</v>
      </c>
      <c r="D11379" t="s">
        <v>10</v>
      </c>
      <c r="E11379" t="str">
        <f>"$ 165"</f>
        <v>$ 165</v>
      </c>
      <c r="F11379">
        <v>60</v>
      </c>
    </row>
    <row r="11380" spans="1:6">
      <c r="A11380" t="s">
        <v>10517</v>
      </c>
      <c r="B11380" t="str">
        <f t="shared" si="405"/>
        <v>0.00002%</v>
      </c>
      <c r="C11380" t="s">
        <v>10</v>
      </c>
      <c r="D11380" t="s">
        <v>10</v>
      </c>
      <c r="E11380" t="str">
        <f>"$ 117"</f>
        <v>$ 117</v>
      </c>
      <c r="F11380">
        <v>125</v>
      </c>
    </row>
    <row r="11381" spans="1:6">
      <c r="A11381" t="s">
        <v>11049</v>
      </c>
      <c r="B11381" t="str">
        <f t="shared" si="405"/>
        <v>0.00002%</v>
      </c>
      <c r="C11381" t="s">
        <v>10</v>
      </c>
      <c r="D11381" t="s">
        <v>10</v>
      </c>
      <c r="E11381" t="str">
        <f>"$ 125"</f>
        <v>$ 125</v>
      </c>
      <c r="F11381">
        <v>65</v>
      </c>
    </row>
    <row r="11382" spans="1:6">
      <c r="A11382" t="s">
        <v>11050</v>
      </c>
      <c r="B11382" t="str">
        <f t="shared" si="405"/>
        <v>0.00002%</v>
      </c>
      <c r="C11382" t="s">
        <v>10</v>
      </c>
      <c r="D11382" t="s">
        <v>10</v>
      </c>
      <c r="E11382" t="str">
        <f>"$ 166"</f>
        <v>$ 166</v>
      </c>
      <c r="F11382">
        <v>294</v>
      </c>
    </row>
    <row r="11383" spans="1:6">
      <c r="A11383" t="s">
        <v>11051</v>
      </c>
      <c r="B11383" t="str">
        <f t="shared" si="405"/>
        <v>0.00002%</v>
      </c>
      <c r="C11383" t="s">
        <v>10</v>
      </c>
      <c r="D11383" t="s">
        <v>10</v>
      </c>
      <c r="E11383" t="str">
        <f>"$ 185"</f>
        <v>$ 185</v>
      </c>
      <c r="F11383">
        <v>169</v>
      </c>
    </row>
    <row r="11384" spans="1:6">
      <c r="A11384" t="s">
        <v>10778</v>
      </c>
      <c r="B11384" t="str">
        <f t="shared" si="405"/>
        <v>0.00002%</v>
      </c>
      <c r="C11384" t="s">
        <v>10</v>
      </c>
      <c r="D11384" t="s">
        <v>10</v>
      </c>
      <c r="E11384" t="str">
        <f>"$ 173"</f>
        <v>$ 173</v>
      </c>
      <c r="F11384">
        <v>75</v>
      </c>
    </row>
    <row r="11385" spans="1:6">
      <c r="A11385" t="s">
        <v>10513</v>
      </c>
      <c r="B11385" t="str">
        <f t="shared" si="405"/>
        <v>0.00002%</v>
      </c>
      <c r="C11385" t="s">
        <v>10</v>
      </c>
      <c r="D11385" t="s">
        <v>10</v>
      </c>
      <c r="E11385" t="str">
        <f>"$ 169"</f>
        <v>$ 169</v>
      </c>
      <c r="F11385">
        <v>166</v>
      </c>
    </row>
    <row r="11386" spans="1:6">
      <c r="A11386" t="s">
        <v>11052</v>
      </c>
      <c r="B11386" t="str">
        <f t="shared" si="405"/>
        <v>0.00002%</v>
      </c>
      <c r="C11386" t="s">
        <v>10</v>
      </c>
      <c r="D11386" t="s">
        <v>10</v>
      </c>
      <c r="E11386" t="str">
        <f>"$ 173"</f>
        <v>$ 173</v>
      </c>
      <c r="F11386">
        <v>226</v>
      </c>
    </row>
    <row r="11387" spans="1:6">
      <c r="A11387" t="s">
        <v>11053</v>
      </c>
      <c r="B11387" t="str">
        <f t="shared" si="405"/>
        <v>0.00002%</v>
      </c>
      <c r="C11387" t="s">
        <v>10</v>
      </c>
      <c r="D11387" t="s">
        <v>10</v>
      </c>
      <c r="E11387" t="str">
        <f>"$ 177"</f>
        <v>$ 177</v>
      </c>
      <c r="F11387">
        <v>140</v>
      </c>
    </row>
    <row r="11388" spans="1:6">
      <c r="A11388" t="s">
        <v>11054</v>
      </c>
      <c r="B11388" t="str">
        <f t="shared" si="405"/>
        <v>0.00002%</v>
      </c>
      <c r="C11388" t="s">
        <v>10</v>
      </c>
      <c r="D11388" t="s">
        <v>10</v>
      </c>
      <c r="E11388" t="str">
        <f>"$ 180"</f>
        <v>$ 180</v>
      </c>
      <c r="F11388">
        <v>40</v>
      </c>
    </row>
    <row r="11389" spans="1:6">
      <c r="A11389" t="s">
        <v>10004</v>
      </c>
      <c r="B11389" t="str">
        <f t="shared" si="405"/>
        <v>0.00002%</v>
      </c>
      <c r="C11389" t="s">
        <v>10</v>
      </c>
      <c r="D11389" t="s">
        <v>10</v>
      </c>
      <c r="E11389" t="str">
        <f>"$ 180"</f>
        <v>$ 180</v>
      </c>
      <c r="F11389">
        <v>21</v>
      </c>
    </row>
    <row r="11390" spans="1:6">
      <c r="A11390" t="s">
        <v>11055</v>
      </c>
      <c r="B11390" t="str">
        <f t="shared" si="405"/>
        <v>0.00002%</v>
      </c>
      <c r="C11390" t="s">
        <v>10</v>
      </c>
      <c r="D11390" t="s">
        <v>10</v>
      </c>
      <c r="E11390" t="str">
        <f>"$ 182"</f>
        <v>$ 182</v>
      </c>
      <c r="F11390">
        <v>225</v>
      </c>
    </row>
    <row r="11391" spans="1:6">
      <c r="A11391" t="s">
        <v>8859</v>
      </c>
      <c r="B11391" t="str">
        <f t="shared" si="405"/>
        <v>0.00002%</v>
      </c>
      <c r="C11391" t="s">
        <v>10</v>
      </c>
      <c r="D11391" t="s">
        <v>10</v>
      </c>
      <c r="E11391" t="str">
        <f>"$ 129"</f>
        <v>$ 129</v>
      </c>
      <c r="F11391">
        <v>66</v>
      </c>
    </row>
    <row r="11392" spans="1:6">
      <c r="A11392" t="s">
        <v>9778</v>
      </c>
      <c r="B11392" t="str">
        <f t="shared" si="405"/>
        <v>0.00002%</v>
      </c>
      <c r="C11392" t="s">
        <v>10</v>
      </c>
      <c r="D11392" t="s">
        <v>10</v>
      </c>
      <c r="E11392" t="str">
        <f>"$ 129"</f>
        <v>$ 129</v>
      </c>
      <c r="F11392">
        <v>94</v>
      </c>
    </row>
    <row r="11393" spans="1:6">
      <c r="A11393" t="s">
        <v>9380</v>
      </c>
      <c r="B11393" t="str">
        <f t="shared" si="405"/>
        <v>0.00002%</v>
      </c>
      <c r="C11393" t="s">
        <v>10</v>
      </c>
      <c r="D11393" t="s">
        <v>10</v>
      </c>
      <c r="E11393" t="str">
        <f>"$ 133"</f>
        <v>$ 133</v>
      </c>
      <c r="F11393">
        <v>76</v>
      </c>
    </row>
    <row r="11394" spans="1:6">
      <c r="A11394" t="s">
        <v>11056</v>
      </c>
      <c r="B11394" t="str">
        <f t="shared" si="405"/>
        <v>0.00002%</v>
      </c>
      <c r="C11394" t="s">
        <v>10</v>
      </c>
      <c r="D11394" t="s">
        <v>10</v>
      </c>
      <c r="E11394" t="str">
        <f>"$ 132"</f>
        <v>$ 132</v>
      </c>
      <c r="F11394">
        <v>69</v>
      </c>
    </row>
    <row r="11395" spans="1:6">
      <c r="A11395" t="s">
        <v>11057</v>
      </c>
      <c r="B11395" t="str">
        <f t="shared" si="405"/>
        <v>0.00002%</v>
      </c>
      <c r="C11395" t="s">
        <v>10</v>
      </c>
      <c r="D11395" t="s">
        <v>10</v>
      </c>
      <c r="E11395" t="str">
        <f>"$ 190"</f>
        <v>$ 190</v>
      </c>
      <c r="F11395">
        <v>157</v>
      </c>
    </row>
    <row r="11396" spans="1:6">
      <c r="A11396" t="s">
        <v>11058</v>
      </c>
      <c r="B11396" t="str">
        <f t="shared" si="405"/>
        <v>0.00002%</v>
      </c>
      <c r="C11396" t="s">
        <v>10</v>
      </c>
      <c r="D11396" t="s">
        <v>10</v>
      </c>
      <c r="E11396" t="str">
        <f>"$ 192"</f>
        <v>$ 192</v>
      </c>
      <c r="F11396">
        <v>191</v>
      </c>
    </row>
    <row r="11397" spans="1:6">
      <c r="A11397" t="s">
        <v>11059</v>
      </c>
      <c r="B11397" t="str">
        <f t="shared" si="405"/>
        <v>0.00002%</v>
      </c>
      <c r="C11397" t="s">
        <v>10</v>
      </c>
      <c r="D11397" t="s">
        <v>10</v>
      </c>
      <c r="E11397" t="str">
        <f>"$ 162"</f>
        <v>$ 162</v>
      </c>
      <c r="F11397">
        <v>116</v>
      </c>
    </row>
    <row r="11398" spans="1:6">
      <c r="A11398" t="s">
        <v>10009</v>
      </c>
      <c r="B11398" t="str">
        <f t="shared" si="405"/>
        <v>0.00002%</v>
      </c>
      <c r="C11398" t="s">
        <v>10</v>
      </c>
      <c r="D11398" t="s">
        <v>10</v>
      </c>
      <c r="E11398" t="str">
        <f>"$ 148"</f>
        <v>$ 148</v>
      </c>
      <c r="F11398">
        <v>58</v>
      </c>
    </row>
    <row r="11399" spans="1:6">
      <c r="A11399" t="s">
        <v>11060</v>
      </c>
      <c r="B11399" t="str">
        <f t="shared" si="405"/>
        <v>0.00002%</v>
      </c>
      <c r="C11399" t="s">
        <v>10</v>
      </c>
      <c r="D11399" t="s">
        <v>10</v>
      </c>
      <c r="E11399" t="str">
        <f>"$ 151"</f>
        <v>$ 151</v>
      </c>
      <c r="F11399">
        <v>87</v>
      </c>
    </row>
    <row r="11400" spans="1:6">
      <c r="A11400" t="s">
        <v>11061</v>
      </c>
      <c r="B11400" t="str">
        <f t="shared" si="405"/>
        <v>0.00002%</v>
      </c>
      <c r="C11400" t="s">
        <v>10</v>
      </c>
      <c r="D11400" t="s">
        <v>10</v>
      </c>
      <c r="E11400" t="str">
        <f>"$ 150"</f>
        <v>$ 150</v>
      </c>
      <c r="F11400">
        <v>73</v>
      </c>
    </row>
    <row r="11401" spans="1:6">
      <c r="A11401" t="s">
        <v>11062</v>
      </c>
      <c r="B11401" t="str">
        <f t="shared" si="405"/>
        <v>0.00002%</v>
      </c>
      <c r="C11401" t="s">
        <v>10</v>
      </c>
      <c r="D11401" t="s">
        <v>10</v>
      </c>
      <c r="E11401" t="str">
        <f>"$ 139"</f>
        <v>$ 139</v>
      </c>
      <c r="F11401">
        <v>137</v>
      </c>
    </row>
    <row r="11402" spans="1:6">
      <c r="A11402" t="s">
        <v>11063</v>
      </c>
      <c r="B11402" t="str">
        <f t="shared" si="405"/>
        <v>0.00002%</v>
      </c>
      <c r="C11402" t="s">
        <v>10</v>
      </c>
      <c r="D11402" t="s">
        <v>10</v>
      </c>
      <c r="E11402" t="str">
        <f>"$ 184"</f>
        <v>$ 184</v>
      </c>
      <c r="F11402">
        <v>174</v>
      </c>
    </row>
    <row r="11403" spans="1:6">
      <c r="A11403" t="s">
        <v>9796</v>
      </c>
      <c r="B11403" t="str">
        <f t="shared" si="405"/>
        <v>0.00002%</v>
      </c>
      <c r="C11403" t="s">
        <v>10</v>
      </c>
      <c r="D11403" t="s">
        <v>10</v>
      </c>
      <c r="E11403" t="str">
        <f>"$ 172"</f>
        <v>$ 172</v>
      </c>
      <c r="F11403">
        <v>65</v>
      </c>
    </row>
    <row r="11404" spans="1:6">
      <c r="A11404" t="s">
        <v>11064</v>
      </c>
      <c r="B11404" t="str">
        <f t="shared" si="405"/>
        <v>0.00002%</v>
      </c>
      <c r="C11404" t="s">
        <v>10</v>
      </c>
      <c r="D11404" t="s">
        <v>10</v>
      </c>
      <c r="E11404" t="str">
        <f>"$ 183"</f>
        <v>$ 183</v>
      </c>
      <c r="F11404">
        <v>171</v>
      </c>
    </row>
    <row r="11405" spans="1:6">
      <c r="A11405" t="s">
        <v>11065</v>
      </c>
      <c r="B11405" t="str">
        <f t="shared" si="405"/>
        <v>0.00002%</v>
      </c>
      <c r="C11405" t="s">
        <v>10</v>
      </c>
      <c r="D11405" t="s">
        <v>10</v>
      </c>
      <c r="E11405" t="str">
        <f>"$ 135"</f>
        <v>$ 135</v>
      </c>
      <c r="F11405">
        <v>7</v>
      </c>
    </row>
    <row r="11406" spans="1:6">
      <c r="A11406" t="s">
        <v>11066</v>
      </c>
      <c r="B11406" t="str">
        <f t="shared" si="405"/>
        <v>0.00002%</v>
      </c>
      <c r="C11406" t="s">
        <v>10</v>
      </c>
      <c r="D11406" t="s">
        <v>10</v>
      </c>
      <c r="E11406" t="str">
        <f>"$ 130"</f>
        <v>$ 130</v>
      </c>
      <c r="F11406">
        <v>18</v>
      </c>
    </row>
    <row r="11407" spans="1:6">
      <c r="A11407" t="s">
        <v>10540</v>
      </c>
      <c r="B11407" t="str">
        <f t="shared" si="405"/>
        <v>0.00002%</v>
      </c>
      <c r="C11407" t="s">
        <v>10</v>
      </c>
      <c r="D11407" t="s">
        <v>10</v>
      </c>
      <c r="E11407" t="str">
        <f>"$ 121"</f>
        <v>$ 121</v>
      </c>
      <c r="F11407">
        <v>97</v>
      </c>
    </row>
    <row r="11408" spans="1:6">
      <c r="A11408" t="s">
        <v>11067</v>
      </c>
      <c r="B11408" t="str">
        <f t="shared" si="405"/>
        <v>0.00002%</v>
      </c>
      <c r="C11408" t="s">
        <v>10</v>
      </c>
      <c r="D11408" t="s">
        <v>10</v>
      </c>
      <c r="E11408" t="str">
        <f>"$ 189"</f>
        <v>$ 189</v>
      </c>
      <c r="F11408">
        <v>27</v>
      </c>
    </row>
    <row r="11409" spans="1:6">
      <c r="A11409" t="s">
        <v>11068</v>
      </c>
      <c r="B11409" t="str">
        <f t="shared" si="405"/>
        <v>0.00002%</v>
      </c>
      <c r="C11409" t="s">
        <v>10</v>
      </c>
      <c r="D11409" t="s">
        <v>10</v>
      </c>
      <c r="E11409" t="str">
        <f>"$ 152"</f>
        <v>$ 152</v>
      </c>
      <c r="F11409">
        <v>23</v>
      </c>
    </row>
    <row r="11410" spans="1:6">
      <c r="A11410" t="s">
        <v>11069</v>
      </c>
      <c r="B11410" t="str">
        <f t="shared" si="405"/>
        <v>0.00002%</v>
      </c>
      <c r="C11410" t="s">
        <v>10</v>
      </c>
      <c r="D11410" t="s">
        <v>10</v>
      </c>
      <c r="E11410" t="str">
        <f>"$ 146"</f>
        <v>$ 146</v>
      </c>
      <c r="F11410">
        <v>132</v>
      </c>
    </row>
    <row r="11411" spans="1:6">
      <c r="A11411" t="s">
        <v>11070</v>
      </c>
      <c r="B11411" t="str">
        <f t="shared" si="405"/>
        <v>0.00002%</v>
      </c>
      <c r="C11411" t="s">
        <v>10</v>
      </c>
      <c r="D11411" t="s">
        <v>10</v>
      </c>
      <c r="E11411" t="str">
        <f>"$ 177"</f>
        <v>$ 177</v>
      </c>
      <c r="F11411">
        <v>101</v>
      </c>
    </row>
    <row r="11412" spans="1:6">
      <c r="A11412" t="s">
        <v>10795</v>
      </c>
      <c r="B11412" t="str">
        <f t="shared" si="405"/>
        <v>0.00002%</v>
      </c>
      <c r="C11412" t="s">
        <v>10</v>
      </c>
      <c r="D11412" t="s">
        <v>10</v>
      </c>
      <c r="E11412" t="str">
        <f>"$ 118"</f>
        <v>$ 118</v>
      </c>
      <c r="F11412">
        <v>39</v>
      </c>
    </row>
    <row r="11413" spans="1:6">
      <c r="A11413" t="s">
        <v>10289</v>
      </c>
      <c r="B11413" t="str">
        <f t="shared" si="405"/>
        <v>0.00002%</v>
      </c>
      <c r="C11413" t="s">
        <v>10</v>
      </c>
      <c r="D11413" t="s">
        <v>10</v>
      </c>
      <c r="E11413" t="str">
        <f>"$ 132"</f>
        <v>$ 132</v>
      </c>
      <c r="F11413">
        <v>128</v>
      </c>
    </row>
    <row r="11414" spans="1:6">
      <c r="A11414" t="s">
        <v>10305</v>
      </c>
      <c r="B11414" t="str">
        <f t="shared" si="405"/>
        <v>0.00002%</v>
      </c>
      <c r="C11414" t="s">
        <v>10</v>
      </c>
      <c r="D11414" t="s">
        <v>10</v>
      </c>
      <c r="E11414" t="str">
        <f>"$ 126"</f>
        <v>$ 126</v>
      </c>
      <c r="F11414">
        <v>166</v>
      </c>
    </row>
    <row r="11415" spans="1:6">
      <c r="A11415" t="s">
        <v>11071</v>
      </c>
      <c r="B11415" t="str">
        <f t="shared" si="405"/>
        <v>0.00002%</v>
      </c>
      <c r="C11415" t="s">
        <v>10</v>
      </c>
      <c r="D11415" t="s">
        <v>10</v>
      </c>
      <c r="E11415" t="str">
        <f>"$ 119"</f>
        <v>$ 119</v>
      </c>
      <c r="F11415">
        <v>44</v>
      </c>
    </row>
    <row r="11416" spans="1:6">
      <c r="A11416" t="s">
        <v>11072</v>
      </c>
      <c r="B11416" t="str">
        <f t="shared" si="405"/>
        <v>0.00002%</v>
      </c>
      <c r="C11416" t="s">
        <v>10</v>
      </c>
      <c r="D11416" t="s">
        <v>10</v>
      </c>
      <c r="E11416" t="str">
        <f>"$ 117"</f>
        <v>$ 117</v>
      </c>
      <c r="F11416">
        <v>117</v>
      </c>
    </row>
    <row r="11417" spans="1:6">
      <c r="A11417" t="s">
        <v>10291</v>
      </c>
      <c r="B11417" t="str">
        <f t="shared" si="405"/>
        <v>0.00002%</v>
      </c>
      <c r="C11417" t="s">
        <v>10</v>
      </c>
      <c r="D11417" t="s">
        <v>10</v>
      </c>
      <c r="E11417" t="str">
        <f>"$ 119"</f>
        <v>$ 119</v>
      </c>
      <c r="F11417">
        <v>164</v>
      </c>
    </row>
    <row r="11418" spans="1:6">
      <c r="A11418" t="s">
        <v>10026</v>
      </c>
      <c r="B11418" t="str">
        <f t="shared" si="405"/>
        <v>0.00002%</v>
      </c>
      <c r="C11418" t="s">
        <v>10</v>
      </c>
      <c r="D11418" t="s">
        <v>10</v>
      </c>
      <c r="E11418" t="str">
        <f>"$ 124"</f>
        <v>$ 124</v>
      </c>
      <c r="F11418">
        <v>150</v>
      </c>
    </row>
    <row r="11419" spans="1:6">
      <c r="A11419" t="s">
        <v>11073</v>
      </c>
      <c r="B11419" t="str">
        <f t="shared" si="405"/>
        <v>0.00002%</v>
      </c>
      <c r="C11419" t="s">
        <v>10</v>
      </c>
      <c r="D11419" t="s">
        <v>10</v>
      </c>
      <c r="E11419" t="str">
        <f>"$ 122"</f>
        <v>$ 122</v>
      </c>
      <c r="F11419">
        <v>107</v>
      </c>
    </row>
    <row r="11420" spans="1:6">
      <c r="A11420" t="s">
        <v>10024</v>
      </c>
      <c r="B11420" t="str">
        <f t="shared" si="405"/>
        <v>0.00002%</v>
      </c>
      <c r="C11420" t="s">
        <v>10</v>
      </c>
      <c r="D11420" t="s">
        <v>10</v>
      </c>
      <c r="E11420" t="str">
        <f>"$ 124"</f>
        <v>$ 124</v>
      </c>
      <c r="F11420">
        <v>223</v>
      </c>
    </row>
    <row r="11421" spans="1:6">
      <c r="A11421" t="s">
        <v>11074</v>
      </c>
      <c r="B11421" t="str">
        <f t="shared" si="405"/>
        <v>0.00002%</v>
      </c>
      <c r="C11421" t="s">
        <v>10</v>
      </c>
      <c r="D11421" t="s">
        <v>10</v>
      </c>
      <c r="E11421" t="str">
        <f>"$ 127"</f>
        <v>$ 127</v>
      </c>
      <c r="F11421">
        <v>44</v>
      </c>
    </row>
    <row r="11422" spans="1:6">
      <c r="A11422" t="s">
        <v>10547</v>
      </c>
      <c r="B11422" t="str">
        <f t="shared" si="405"/>
        <v>0.00002%</v>
      </c>
      <c r="C11422" t="s">
        <v>10</v>
      </c>
      <c r="D11422" t="s">
        <v>10</v>
      </c>
      <c r="E11422" t="str">
        <f>"$ 191"</f>
        <v>$ 191</v>
      </c>
      <c r="F11422">
        <v>132</v>
      </c>
    </row>
    <row r="11423" spans="1:6">
      <c r="A11423" t="s">
        <v>11075</v>
      </c>
      <c r="B11423" t="str">
        <f t="shared" si="405"/>
        <v>0.00002%</v>
      </c>
      <c r="C11423" t="s">
        <v>10</v>
      </c>
      <c r="D11423" t="s">
        <v>10</v>
      </c>
      <c r="E11423" t="str">
        <f>"$ 178"</f>
        <v>$ 178</v>
      </c>
      <c r="F11423">
        <v>138</v>
      </c>
    </row>
    <row r="11424" spans="1:6">
      <c r="A11424" t="s">
        <v>9804</v>
      </c>
      <c r="B11424" t="str">
        <f t="shared" si="405"/>
        <v>0.00002%</v>
      </c>
      <c r="C11424" t="s">
        <v>10</v>
      </c>
      <c r="D11424" t="s">
        <v>10</v>
      </c>
      <c r="E11424" t="str">
        <f>"$ 146"</f>
        <v>$ 146</v>
      </c>
      <c r="F11424">
        <v>151</v>
      </c>
    </row>
    <row r="11425" spans="1:6">
      <c r="A11425" t="s">
        <v>9809</v>
      </c>
      <c r="B11425" t="str">
        <f t="shared" si="405"/>
        <v>0.00002%</v>
      </c>
      <c r="C11425" t="s">
        <v>10</v>
      </c>
      <c r="D11425" t="s">
        <v>10</v>
      </c>
      <c r="E11425" t="str">
        <f>"$ 144"</f>
        <v>$ 144</v>
      </c>
      <c r="F11425">
        <v>215</v>
      </c>
    </row>
    <row r="11426" spans="1:6">
      <c r="A11426" t="s">
        <v>10549</v>
      </c>
      <c r="B11426" t="str">
        <f t="shared" si="405"/>
        <v>0.00002%</v>
      </c>
      <c r="C11426" t="s">
        <v>10</v>
      </c>
      <c r="D11426" t="s">
        <v>10</v>
      </c>
      <c r="E11426" t="str">
        <f>"$ 146"</f>
        <v>$ 146</v>
      </c>
      <c r="F11426">
        <v>293</v>
      </c>
    </row>
    <row r="11427" spans="1:6">
      <c r="A11427" t="s">
        <v>10300</v>
      </c>
      <c r="B11427" t="str">
        <f t="shared" si="405"/>
        <v>0.00002%</v>
      </c>
      <c r="C11427" t="s">
        <v>10</v>
      </c>
      <c r="D11427" t="s">
        <v>10</v>
      </c>
      <c r="E11427" t="str">
        <f>"$ 172"</f>
        <v>$ 172</v>
      </c>
      <c r="F11427">
        <v>93</v>
      </c>
    </row>
    <row r="11428" spans="1:6">
      <c r="A11428" t="s">
        <v>11076</v>
      </c>
      <c r="B11428" t="str">
        <f t="shared" ref="B11428:B11491" si="406">"0.00002%"</f>
        <v>0.00002%</v>
      </c>
      <c r="C11428" t="s">
        <v>10</v>
      </c>
      <c r="D11428" t="s">
        <v>10</v>
      </c>
      <c r="E11428" t="str">
        <f>"$ 165"</f>
        <v>$ 165</v>
      </c>
      <c r="F11428">
        <v>59</v>
      </c>
    </row>
    <row r="11429" spans="1:6">
      <c r="A11429" t="s">
        <v>11077</v>
      </c>
      <c r="B11429" t="str">
        <f t="shared" si="406"/>
        <v>0.00002%</v>
      </c>
      <c r="C11429" t="s">
        <v>10</v>
      </c>
      <c r="D11429" t="s">
        <v>10</v>
      </c>
      <c r="E11429" t="str">
        <f>"$ 173"</f>
        <v>$ 173</v>
      </c>
      <c r="F11429">
        <v>86</v>
      </c>
    </row>
    <row r="11430" spans="1:6">
      <c r="A11430" t="s">
        <v>11078</v>
      </c>
      <c r="B11430" t="str">
        <f t="shared" si="406"/>
        <v>0.00002%</v>
      </c>
      <c r="C11430" t="s">
        <v>10</v>
      </c>
      <c r="D11430" t="s">
        <v>10</v>
      </c>
      <c r="E11430" t="str">
        <f>"$ 172"</f>
        <v>$ 172</v>
      </c>
      <c r="F11430">
        <v>173</v>
      </c>
    </row>
    <row r="11431" spans="1:6">
      <c r="A11431" t="s">
        <v>10815</v>
      </c>
      <c r="B11431" t="str">
        <f t="shared" si="406"/>
        <v>0.00002%</v>
      </c>
      <c r="C11431" t="s">
        <v>10</v>
      </c>
      <c r="D11431" t="s">
        <v>10</v>
      </c>
      <c r="E11431" t="str">
        <f>"$ 174"</f>
        <v>$ 174</v>
      </c>
      <c r="F11431">
        <v>62</v>
      </c>
    </row>
    <row r="11432" spans="1:6">
      <c r="A11432" t="s">
        <v>11079</v>
      </c>
      <c r="B11432" t="str">
        <f t="shared" si="406"/>
        <v>0.00002%</v>
      </c>
      <c r="C11432" t="s">
        <v>10</v>
      </c>
      <c r="D11432" t="s">
        <v>10</v>
      </c>
      <c r="E11432" t="str">
        <f>"$ 174"</f>
        <v>$ 174</v>
      </c>
      <c r="F11432">
        <v>160</v>
      </c>
    </row>
    <row r="11433" spans="1:6">
      <c r="A11433" t="s">
        <v>11072</v>
      </c>
      <c r="B11433" t="str">
        <f t="shared" si="406"/>
        <v>0.00002%</v>
      </c>
      <c r="C11433" t="s">
        <v>10</v>
      </c>
      <c r="D11433" t="s">
        <v>10</v>
      </c>
      <c r="E11433" t="str">
        <f>"$ 182"</f>
        <v>$ 182</v>
      </c>
      <c r="F11433">
        <v>183</v>
      </c>
    </row>
    <row r="11434" spans="1:6">
      <c r="A11434" t="s">
        <v>11080</v>
      </c>
      <c r="B11434" t="str">
        <f t="shared" si="406"/>
        <v>0.00002%</v>
      </c>
      <c r="C11434" t="s">
        <v>10</v>
      </c>
      <c r="D11434" t="s">
        <v>10</v>
      </c>
      <c r="E11434" t="str">
        <f>"$ 184"</f>
        <v>$ 184</v>
      </c>
      <c r="F11434">
        <v>120</v>
      </c>
    </row>
    <row r="11435" spans="1:6">
      <c r="A11435" t="s">
        <v>11081</v>
      </c>
      <c r="B11435" t="str">
        <f t="shared" si="406"/>
        <v>0.00002%</v>
      </c>
      <c r="C11435" t="s">
        <v>10</v>
      </c>
      <c r="D11435" t="s">
        <v>10</v>
      </c>
      <c r="E11435" t="str">
        <f>"$ 185"</f>
        <v>$ 185</v>
      </c>
      <c r="F11435">
        <v>249</v>
      </c>
    </row>
    <row r="11436" spans="1:6">
      <c r="A11436" t="s">
        <v>11073</v>
      </c>
      <c r="B11436" t="str">
        <f t="shared" si="406"/>
        <v>0.00002%</v>
      </c>
      <c r="C11436" t="s">
        <v>10</v>
      </c>
      <c r="D11436" t="s">
        <v>10</v>
      </c>
      <c r="E11436" t="str">
        <f>"$ 152"</f>
        <v>$ 152</v>
      </c>
      <c r="F11436">
        <v>133</v>
      </c>
    </row>
    <row r="11437" spans="1:6">
      <c r="A11437" t="s">
        <v>10301</v>
      </c>
      <c r="B11437" t="str">
        <f t="shared" si="406"/>
        <v>0.00002%</v>
      </c>
      <c r="C11437" t="s">
        <v>10</v>
      </c>
      <c r="D11437" t="s">
        <v>10</v>
      </c>
      <c r="E11437" t="str">
        <f>"$ 149"</f>
        <v>$ 149</v>
      </c>
      <c r="F11437">
        <v>121</v>
      </c>
    </row>
    <row r="11438" spans="1:6">
      <c r="A11438" t="s">
        <v>11082</v>
      </c>
      <c r="B11438" t="str">
        <f t="shared" si="406"/>
        <v>0.00002%</v>
      </c>
      <c r="C11438" t="s">
        <v>10</v>
      </c>
      <c r="D11438" t="s">
        <v>10</v>
      </c>
      <c r="E11438" t="str">
        <f>"$ 163"</f>
        <v>$ 163</v>
      </c>
      <c r="F11438">
        <v>125</v>
      </c>
    </row>
    <row r="11439" spans="1:6">
      <c r="A11439" t="s">
        <v>11082</v>
      </c>
      <c r="B11439" t="str">
        <f t="shared" si="406"/>
        <v>0.00002%</v>
      </c>
      <c r="C11439" t="s">
        <v>10</v>
      </c>
      <c r="D11439" t="s">
        <v>10</v>
      </c>
      <c r="E11439" t="str">
        <f>"$ 156"</f>
        <v>$ 156</v>
      </c>
      <c r="F11439">
        <v>120</v>
      </c>
    </row>
    <row r="11440" spans="1:6">
      <c r="A11440" t="s">
        <v>11083</v>
      </c>
      <c r="B11440" t="str">
        <f t="shared" si="406"/>
        <v>0.00002%</v>
      </c>
      <c r="C11440" t="s">
        <v>10</v>
      </c>
      <c r="D11440" t="s">
        <v>10</v>
      </c>
      <c r="E11440" t="str">
        <f>"$ 164"</f>
        <v>$ 164</v>
      </c>
      <c r="F11440">
        <v>348</v>
      </c>
    </row>
    <row r="11441" spans="1:6">
      <c r="A11441" t="s">
        <v>11084</v>
      </c>
      <c r="B11441" t="str">
        <f t="shared" si="406"/>
        <v>0.00002%</v>
      </c>
      <c r="C11441" t="s">
        <v>10</v>
      </c>
      <c r="D11441" t="s">
        <v>10</v>
      </c>
      <c r="E11441" t="str">
        <f>"$ 159"</f>
        <v>$ 159</v>
      </c>
      <c r="F11441">
        <v>108</v>
      </c>
    </row>
    <row r="11442" spans="1:6">
      <c r="A11442" t="s">
        <v>11085</v>
      </c>
      <c r="B11442" t="str">
        <f t="shared" si="406"/>
        <v>0.00002%</v>
      </c>
      <c r="C11442" t="s">
        <v>10</v>
      </c>
      <c r="D11442" t="s">
        <v>10</v>
      </c>
      <c r="E11442" t="str">
        <f>"$ 188"</f>
        <v>$ 188</v>
      </c>
      <c r="F11442">
        <v>5</v>
      </c>
    </row>
    <row r="11443" spans="1:6">
      <c r="A11443" t="s">
        <v>11086</v>
      </c>
      <c r="B11443" t="str">
        <f t="shared" si="406"/>
        <v>0.00002%</v>
      </c>
      <c r="C11443" t="s">
        <v>10</v>
      </c>
      <c r="D11443" t="s">
        <v>10</v>
      </c>
      <c r="E11443" t="str">
        <f>"$ 161"</f>
        <v>$ 161</v>
      </c>
      <c r="F11443">
        <v>203</v>
      </c>
    </row>
    <row r="11444" spans="1:6">
      <c r="A11444" t="s">
        <v>11087</v>
      </c>
      <c r="B11444" t="str">
        <f t="shared" si="406"/>
        <v>0.00002%</v>
      </c>
      <c r="C11444" t="s">
        <v>10</v>
      </c>
      <c r="D11444" t="s">
        <v>10</v>
      </c>
      <c r="E11444" t="str">
        <f>"$ 167"</f>
        <v>$ 167</v>
      </c>
      <c r="F11444">
        <v>266</v>
      </c>
    </row>
    <row r="11445" spans="1:6">
      <c r="A11445" t="s">
        <v>10823</v>
      </c>
      <c r="B11445" t="str">
        <f t="shared" si="406"/>
        <v>0.00002%</v>
      </c>
      <c r="C11445" t="s">
        <v>10</v>
      </c>
      <c r="D11445" t="s">
        <v>10</v>
      </c>
      <c r="E11445" t="str">
        <f>"$ 123"</f>
        <v>$ 123</v>
      </c>
      <c r="F11445">
        <v>156</v>
      </c>
    </row>
    <row r="11446" spans="1:6">
      <c r="A11446" t="s">
        <v>11088</v>
      </c>
      <c r="B11446" t="str">
        <f t="shared" si="406"/>
        <v>0.00002%</v>
      </c>
      <c r="C11446" t="s">
        <v>10</v>
      </c>
      <c r="D11446" t="s">
        <v>10</v>
      </c>
      <c r="E11446" t="str">
        <f>"$ 164"</f>
        <v>$ 164</v>
      </c>
      <c r="F11446">
        <v>126</v>
      </c>
    </row>
    <row r="11447" spans="1:6">
      <c r="A11447" t="s">
        <v>11089</v>
      </c>
      <c r="B11447" t="str">
        <f t="shared" si="406"/>
        <v>0.00002%</v>
      </c>
      <c r="C11447" t="s">
        <v>10</v>
      </c>
      <c r="D11447" t="s">
        <v>10</v>
      </c>
      <c r="E11447" t="str">
        <f>"$ 164"</f>
        <v>$ 164</v>
      </c>
      <c r="F11447">
        <v>168</v>
      </c>
    </row>
    <row r="11448" spans="1:6">
      <c r="A11448" t="s">
        <v>10310</v>
      </c>
      <c r="B11448" t="str">
        <f t="shared" si="406"/>
        <v>0.00002%</v>
      </c>
      <c r="C11448" t="s">
        <v>10</v>
      </c>
      <c r="D11448" t="s">
        <v>10</v>
      </c>
      <c r="E11448" t="str">
        <f>"$ 152"</f>
        <v>$ 152</v>
      </c>
      <c r="F11448">
        <v>75</v>
      </c>
    </row>
    <row r="11449" spans="1:6">
      <c r="A11449" t="s">
        <v>11090</v>
      </c>
      <c r="B11449" t="str">
        <f t="shared" si="406"/>
        <v>0.00002%</v>
      </c>
      <c r="C11449" t="s">
        <v>10</v>
      </c>
      <c r="D11449" t="s">
        <v>10</v>
      </c>
      <c r="E11449" t="str">
        <f>"$ 159"</f>
        <v>$ 159</v>
      </c>
      <c r="F11449">
        <v>104</v>
      </c>
    </row>
    <row r="11450" spans="1:6">
      <c r="A11450" t="s">
        <v>10824</v>
      </c>
      <c r="B11450" t="str">
        <f t="shared" si="406"/>
        <v>0.00002%</v>
      </c>
      <c r="C11450" t="s">
        <v>10</v>
      </c>
      <c r="D11450" t="s">
        <v>10</v>
      </c>
      <c r="E11450" t="str">
        <f>"$ 140"</f>
        <v>$ 140</v>
      </c>
      <c r="F11450">
        <v>59</v>
      </c>
    </row>
    <row r="11451" spans="1:6">
      <c r="A11451" t="s">
        <v>11091</v>
      </c>
      <c r="B11451" t="str">
        <f t="shared" si="406"/>
        <v>0.00002%</v>
      </c>
      <c r="C11451" t="s">
        <v>10</v>
      </c>
      <c r="D11451" t="s">
        <v>10</v>
      </c>
      <c r="E11451" t="str">
        <f>"$ 139"</f>
        <v>$ 139</v>
      </c>
      <c r="F11451">
        <v>152</v>
      </c>
    </row>
    <row r="11452" spans="1:6">
      <c r="A11452" t="s">
        <v>11092</v>
      </c>
      <c r="B11452" t="str">
        <f t="shared" si="406"/>
        <v>0.00002%</v>
      </c>
      <c r="C11452" t="s">
        <v>10</v>
      </c>
      <c r="D11452" t="s">
        <v>10</v>
      </c>
      <c r="E11452" t="str">
        <f>"$ 167"</f>
        <v>$ 167</v>
      </c>
      <c r="F11452">
        <v>42</v>
      </c>
    </row>
    <row r="11453" spans="1:6">
      <c r="A11453" t="s">
        <v>11093</v>
      </c>
      <c r="B11453" t="str">
        <f t="shared" si="406"/>
        <v>0.00002%</v>
      </c>
      <c r="C11453" t="s">
        <v>10</v>
      </c>
      <c r="D11453" t="s">
        <v>10</v>
      </c>
      <c r="E11453" t="str">
        <f>"$ 156"</f>
        <v>$ 156</v>
      </c>
      <c r="F11453">
        <v>70</v>
      </c>
    </row>
    <row r="11454" spans="1:6">
      <c r="A11454" t="s">
        <v>11094</v>
      </c>
      <c r="B11454" t="str">
        <f t="shared" si="406"/>
        <v>0.00002%</v>
      </c>
      <c r="C11454" t="s">
        <v>10</v>
      </c>
      <c r="D11454" t="s">
        <v>10</v>
      </c>
      <c r="E11454" t="str">
        <f>"$ 156"</f>
        <v>$ 156</v>
      </c>
      <c r="F11454">
        <v>66</v>
      </c>
    </row>
    <row r="11455" spans="1:6">
      <c r="A11455" t="s">
        <v>11095</v>
      </c>
      <c r="B11455" t="str">
        <f t="shared" si="406"/>
        <v>0.00002%</v>
      </c>
      <c r="C11455" t="s">
        <v>10</v>
      </c>
      <c r="D11455" t="s">
        <v>10</v>
      </c>
      <c r="E11455" t="str">
        <f>"$ 152"</f>
        <v>$ 152</v>
      </c>
      <c r="F11455">
        <v>55</v>
      </c>
    </row>
    <row r="11456" spans="1:6">
      <c r="A11456" t="s">
        <v>11096</v>
      </c>
      <c r="B11456" t="str">
        <f t="shared" si="406"/>
        <v>0.00002%</v>
      </c>
      <c r="C11456" t="s">
        <v>10</v>
      </c>
      <c r="D11456" t="s">
        <v>10</v>
      </c>
      <c r="E11456" t="str">
        <f>"$ 184"</f>
        <v>$ 184</v>
      </c>
      <c r="F11456">
        <v>138</v>
      </c>
    </row>
    <row r="11457" spans="1:6">
      <c r="A11457" t="s">
        <v>11097</v>
      </c>
      <c r="B11457" t="str">
        <f t="shared" si="406"/>
        <v>0.00002%</v>
      </c>
      <c r="C11457" t="s">
        <v>10</v>
      </c>
      <c r="D11457" t="s">
        <v>10</v>
      </c>
      <c r="E11457" t="str">
        <f>"$ 176"</f>
        <v>$ 176</v>
      </c>
      <c r="F11457">
        <v>1</v>
      </c>
    </row>
    <row r="11458" spans="1:6">
      <c r="A11458" t="s">
        <v>9567</v>
      </c>
      <c r="B11458" t="str">
        <f t="shared" si="406"/>
        <v>0.00002%</v>
      </c>
      <c r="C11458" t="s">
        <v>10</v>
      </c>
      <c r="D11458" t="s">
        <v>10</v>
      </c>
      <c r="E11458" t="str">
        <f>"$ 136"</f>
        <v>$ 136</v>
      </c>
      <c r="F11458">
        <v>181</v>
      </c>
    </row>
    <row r="11459" spans="1:6">
      <c r="A11459" t="s">
        <v>11098</v>
      </c>
      <c r="B11459" t="str">
        <f t="shared" si="406"/>
        <v>0.00002%</v>
      </c>
      <c r="C11459" t="s">
        <v>10</v>
      </c>
      <c r="D11459" t="s">
        <v>10</v>
      </c>
      <c r="E11459" t="str">
        <f>"$ 181"</f>
        <v>$ 181</v>
      </c>
      <c r="F11459">
        <v>51</v>
      </c>
    </row>
    <row r="11460" spans="1:6">
      <c r="A11460" t="s">
        <v>11099</v>
      </c>
      <c r="B11460" t="str">
        <f t="shared" si="406"/>
        <v>0.00002%</v>
      </c>
      <c r="C11460" t="s">
        <v>10</v>
      </c>
      <c r="D11460" t="s">
        <v>10</v>
      </c>
      <c r="E11460" t="str">
        <f>"$ 185"</f>
        <v>$ 185</v>
      </c>
      <c r="F11460">
        <v>32</v>
      </c>
    </row>
    <row r="11461" spans="1:6">
      <c r="A11461" t="s">
        <v>11100</v>
      </c>
      <c r="B11461" t="str">
        <f t="shared" si="406"/>
        <v>0.00002%</v>
      </c>
      <c r="C11461" t="s">
        <v>10</v>
      </c>
      <c r="D11461" t="s">
        <v>10</v>
      </c>
      <c r="E11461" t="str">
        <f>"$ 185"</f>
        <v>$ 185</v>
      </c>
      <c r="F11461">
        <v>124</v>
      </c>
    </row>
    <row r="11462" spans="1:6">
      <c r="A11462" t="s">
        <v>11101</v>
      </c>
      <c r="B11462" t="str">
        <f t="shared" si="406"/>
        <v>0.00002%</v>
      </c>
      <c r="C11462" t="s">
        <v>10</v>
      </c>
      <c r="D11462" t="s">
        <v>10</v>
      </c>
      <c r="E11462" t="str">
        <f>"$ 126"</f>
        <v>$ 126</v>
      </c>
      <c r="F11462">
        <v>8</v>
      </c>
    </row>
    <row r="11463" spans="1:6">
      <c r="A11463" t="s">
        <v>10839</v>
      </c>
      <c r="B11463" t="str">
        <f t="shared" si="406"/>
        <v>0.00002%</v>
      </c>
      <c r="C11463" t="s">
        <v>10</v>
      </c>
      <c r="D11463" t="s">
        <v>10</v>
      </c>
      <c r="E11463" t="str">
        <f>"$ 128"</f>
        <v>$ 128</v>
      </c>
      <c r="F11463">
        <v>91</v>
      </c>
    </row>
    <row r="11464" spans="1:6">
      <c r="A11464" t="s">
        <v>11102</v>
      </c>
      <c r="B11464" t="str">
        <f t="shared" si="406"/>
        <v>0.00002%</v>
      </c>
      <c r="C11464" t="s">
        <v>10</v>
      </c>
      <c r="D11464" t="s">
        <v>10</v>
      </c>
      <c r="E11464" t="str">
        <f>"$ 181"</f>
        <v>$ 181</v>
      </c>
      <c r="F11464">
        <v>412</v>
      </c>
    </row>
    <row r="11465" spans="1:6">
      <c r="A11465" t="s">
        <v>10840</v>
      </c>
      <c r="B11465" t="str">
        <f t="shared" si="406"/>
        <v>0.00002%</v>
      </c>
      <c r="C11465" t="s">
        <v>10</v>
      </c>
      <c r="D11465" t="s">
        <v>10</v>
      </c>
      <c r="E11465" t="str">
        <f>"$ 156"</f>
        <v>$ 156</v>
      </c>
      <c r="F11465">
        <v>163</v>
      </c>
    </row>
    <row r="11466" spans="1:6">
      <c r="A11466" t="s">
        <v>10841</v>
      </c>
      <c r="B11466" t="str">
        <f t="shared" si="406"/>
        <v>0.00002%</v>
      </c>
      <c r="C11466" t="s">
        <v>10</v>
      </c>
      <c r="D11466" t="s">
        <v>10</v>
      </c>
      <c r="E11466" t="str">
        <f>"$ 164"</f>
        <v>$ 164</v>
      </c>
      <c r="F11466">
        <v>139</v>
      </c>
    </row>
    <row r="11467" spans="1:6">
      <c r="A11467" t="s">
        <v>11103</v>
      </c>
      <c r="B11467" t="str">
        <f t="shared" si="406"/>
        <v>0.00002%</v>
      </c>
      <c r="C11467" t="s">
        <v>10</v>
      </c>
      <c r="D11467" t="s">
        <v>10</v>
      </c>
      <c r="E11467" t="str">
        <f>"$ 177"</f>
        <v>$ 177</v>
      </c>
      <c r="F11467">
        <v>89</v>
      </c>
    </row>
    <row r="11468" spans="1:6">
      <c r="A11468" t="s">
        <v>11104</v>
      </c>
      <c r="B11468" t="str">
        <f t="shared" si="406"/>
        <v>0.00002%</v>
      </c>
      <c r="C11468" t="s">
        <v>10</v>
      </c>
      <c r="D11468" t="s">
        <v>10</v>
      </c>
      <c r="E11468" t="str">
        <f>"$ 188"</f>
        <v>$ 188</v>
      </c>
      <c r="F11468">
        <v>150</v>
      </c>
    </row>
    <row r="11469" spans="1:6">
      <c r="A11469" t="s">
        <v>10844</v>
      </c>
      <c r="B11469" t="str">
        <f t="shared" si="406"/>
        <v>0.00002%</v>
      </c>
      <c r="C11469" t="s">
        <v>10</v>
      </c>
      <c r="D11469" t="s">
        <v>10</v>
      </c>
      <c r="E11469" t="str">
        <f>"$ 128"</f>
        <v>$ 128</v>
      </c>
      <c r="F11469">
        <v>75</v>
      </c>
    </row>
    <row r="11470" spans="1:6">
      <c r="A11470" t="s">
        <v>10324</v>
      </c>
      <c r="B11470" t="str">
        <f t="shared" si="406"/>
        <v>0.00002%</v>
      </c>
      <c r="C11470" t="s">
        <v>10</v>
      </c>
      <c r="D11470" t="s">
        <v>10</v>
      </c>
      <c r="E11470" t="str">
        <f>"$ 117"</f>
        <v>$ 117</v>
      </c>
      <c r="F11470">
        <v>107</v>
      </c>
    </row>
    <row r="11471" spans="1:6">
      <c r="A11471" t="s">
        <v>10576</v>
      </c>
      <c r="B11471" t="str">
        <f t="shared" si="406"/>
        <v>0.00002%</v>
      </c>
      <c r="C11471" t="s">
        <v>10</v>
      </c>
      <c r="D11471" t="s">
        <v>10</v>
      </c>
      <c r="E11471" t="str">
        <f>"$ 133"</f>
        <v>$ 133</v>
      </c>
      <c r="F11471">
        <v>53</v>
      </c>
    </row>
    <row r="11472" spans="1:6">
      <c r="A11472" t="s">
        <v>11105</v>
      </c>
      <c r="B11472" t="str">
        <f t="shared" si="406"/>
        <v>0.00002%</v>
      </c>
      <c r="C11472" t="s">
        <v>10</v>
      </c>
      <c r="D11472" t="s">
        <v>10</v>
      </c>
      <c r="E11472" t="str">
        <f>"$ 151"</f>
        <v>$ 151</v>
      </c>
      <c r="F11472">
        <v>97</v>
      </c>
    </row>
    <row r="11473" spans="1:6">
      <c r="A11473" t="s">
        <v>11106</v>
      </c>
      <c r="B11473" t="str">
        <f t="shared" si="406"/>
        <v>0.00002%</v>
      </c>
      <c r="C11473" t="s">
        <v>10</v>
      </c>
      <c r="D11473" t="s">
        <v>10</v>
      </c>
      <c r="E11473" t="str">
        <f>"$ 139"</f>
        <v>$ 139</v>
      </c>
      <c r="F11473">
        <v>121</v>
      </c>
    </row>
    <row r="11474" spans="1:6">
      <c r="A11474" t="s">
        <v>11107</v>
      </c>
      <c r="B11474" t="str">
        <f t="shared" si="406"/>
        <v>0.00002%</v>
      </c>
      <c r="C11474" t="s">
        <v>10</v>
      </c>
      <c r="D11474" t="s">
        <v>10</v>
      </c>
      <c r="E11474" t="str">
        <f>"$ 140"</f>
        <v>$ 140</v>
      </c>
      <c r="F11474">
        <v>165</v>
      </c>
    </row>
    <row r="11475" spans="1:6">
      <c r="A11475" t="s">
        <v>11108</v>
      </c>
      <c r="B11475" t="str">
        <f t="shared" si="406"/>
        <v>0.00002%</v>
      </c>
      <c r="C11475" t="s">
        <v>10</v>
      </c>
      <c r="D11475" t="s">
        <v>10</v>
      </c>
      <c r="E11475" t="str">
        <f>"$ 150"</f>
        <v>$ 150</v>
      </c>
      <c r="F11475">
        <v>140</v>
      </c>
    </row>
    <row r="11476" spans="1:6">
      <c r="A11476" t="s">
        <v>11109</v>
      </c>
      <c r="B11476" t="str">
        <f t="shared" si="406"/>
        <v>0.00002%</v>
      </c>
      <c r="C11476" t="s">
        <v>10</v>
      </c>
      <c r="D11476" t="s">
        <v>10</v>
      </c>
      <c r="E11476" t="str">
        <f>"$ 158"</f>
        <v>$ 158</v>
      </c>
      <c r="F11476">
        <v>108</v>
      </c>
    </row>
    <row r="11477" spans="1:6">
      <c r="A11477" t="s">
        <v>11110</v>
      </c>
      <c r="B11477" t="str">
        <f t="shared" si="406"/>
        <v>0.00002%</v>
      </c>
      <c r="C11477" t="s">
        <v>10</v>
      </c>
      <c r="D11477" t="s">
        <v>10</v>
      </c>
      <c r="E11477" t="str">
        <f>"$ 184"</f>
        <v>$ 184</v>
      </c>
      <c r="F11477">
        <v>126</v>
      </c>
    </row>
    <row r="11478" spans="1:6">
      <c r="A11478" t="s">
        <v>10053</v>
      </c>
      <c r="B11478" t="str">
        <f t="shared" si="406"/>
        <v>0.00002%</v>
      </c>
      <c r="C11478" t="s">
        <v>10</v>
      </c>
      <c r="D11478" t="s">
        <v>10</v>
      </c>
      <c r="E11478" t="str">
        <f>"$ 185"</f>
        <v>$ 185</v>
      </c>
      <c r="F11478">
        <v>54</v>
      </c>
    </row>
    <row r="11479" spans="1:6">
      <c r="A11479" t="s">
        <v>11111</v>
      </c>
      <c r="B11479" t="str">
        <f t="shared" si="406"/>
        <v>0.00002%</v>
      </c>
      <c r="C11479" t="s">
        <v>10</v>
      </c>
      <c r="D11479" t="s">
        <v>10</v>
      </c>
      <c r="E11479" t="str">
        <f>"$ 150"</f>
        <v>$ 150</v>
      </c>
      <c r="F11479">
        <v>15</v>
      </c>
    </row>
    <row r="11480" spans="1:6">
      <c r="A11480" t="s">
        <v>11112</v>
      </c>
      <c r="B11480" t="str">
        <f t="shared" si="406"/>
        <v>0.00002%</v>
      </c>
      <c r="C11480" t="s">
        <v>10</v>
      </c>
      <c r="D11480" t="s">
        <v>10</v>
      </c>
      <c r="E11480" t="str">
        <f>"$ 171"</f>
        <v>$ 171</v>
      </c>
      <c r="F11480">
        <v>263</v>
      </c>
    </row>
    <row r="11481" spans="1:6">
      <c r="A11481" t="s">
        <v>11112</v>
      </c>
      <c r="B11481" t="str">
        <f t="shared" si="406"/>
        <v>0.00002%</v>
      </c>
      <c r="C11481" t="s">
        <v>10</v>
      </c>
      <c r="D11481" t="s">
        <v>10</v>
      </c>
      <c r="E11481" t="str">
        <f>"$ 123"</f>
        <v>$ 123</v>
      </c>
      <c r="F11481">
        <v>189</v>
      </c>
    </row>
    <row r="11482" spans="1:6">
      <c r="A11482" t="s">
        <v>8740</v>
      </c>
      <c r="B11482" t="str">
        <f t="shared" si="406"/>
        <v>0.00002%</v>
      </c>
      <c r="C11482" t="s">
        <v>10</v>
      </c>
      <c r="D11482" t="s">
        <v>10</v>
      </c>
      <c r="E11482" t="str">
        <f>"$ 165"</f>
        <v>$ 165</v>
      </c>
      <c r="F11482">
        <v>30</v>
      </c>
    </row>
    <row r="11483" spans="1:6">
      <c r="A11483" t="s">
        <v>11113</v>
      </c>
      <c r="B11483" t="str">
        <f t="shared" si="406"/>
        <v>0.00002%</v>
      </c>
      <c r="C11483" t="s">
        <v>10</v>
      </c>
      <c r="D11483" t="s">
        <v>10</v>
      </c>
      <c r="E11483" t="str">
        <f>"$ 185"</f>
        <v>$ 185</v>
      </c>
      <c r="F11483">
        <v>281</v>
      </c>
    </row>
    <row r="11484" spans="1:6">
      <c r="A11484" t="s">
        <v>11114</v>
      </c>
      <c r="B11484" t="str">
        <f t="shared" si="406"/>
        <v>0.00002%</v>
      </c>
      <c r="C11484" t="s">
        <v>10</v>
      </c>
      <c r="D11484" t="s">
        <v>10</v>
      </c>
      <c r="E11484" t="str">
        <f>"$ 191"</f>
        <v>$ 191</v>
      </c>
      <c r="F11484">
        <v>216</v>
      </c>
    </row>
    <row r="11485" spans="1:6">
      <c r="A11485" t="s">
        <v>11115</v>
      </c>
      <c r="B11485" t="str">
        <f t="shared" si="406"/>
        <v>0.00002%</v>
      </c>
      <c r="C11485" t="s">
        <v>10</v>
      </c>
      <c r="D11485" t="s">
        <v>10</v>
      </c>
      <c r="E11485" t="str">
        <f>"$ 191"</f>
        <v>$ 191</v>
      </c>
      <c r="F11485">
        <v>28</v>
      </c>
    </row>
    <row r="11486" spans="1:6">
      <c r="A11486" t="s">
        <v>11113</v>
      </c>
      <c r="B11486" t="str">
        <f t="shared" si="406"/>
        <v>0.00002%</v>
      </c>
      <c r="C11486" t="s">
        <v>10</v>
      </c>
      <c r="D11486" t="s">
        <v>10</v>
      </c>
      <c r="E11486" t="str">
        <f>"$ 128"</f>
        <v>$ 128</v>
      </c>
      <c r="F11486">
        <v>194</v>
      </c>
    </row>
    <row r="11487" spans="1:6">
      <c r="A11487" t="s">
        <v>11116</v>
      </c>
      <c r="B11487" t="str">
        <f t="shared" si="406"/>
        <v>0.00002%</v>
      </c>
      <c r="C11487" t="s">
        <v>10</v>
      </c>
      <c r="D11487" t="s">
        <v>10</v>
      </c>
      <c r="E11487" t="str">
        <f>"$ 155"</f>
        <v>$ 155</v>
      </c>
      <c r="F11487">
        <v>750</v>
      </c>
    </row>
    <row r="11488" spans="1:6">
      <c r="A11488" t="s">
        <v>11117</v>
      </c>
      <c r="B11488" t="str">
        <f t="shared" si="406"/>
        <v>0.00002%</v>
      </c>
      <c r="C11488" t="s">
        <v>10</v>
      </c>
      <c r="D11488" t="s">
        <v>10</v>
      </c>
      <c r="E11488" t="str">
        <f>"$ 143"</f>
        <v>$ 143</v>
      </c>
      <c r="F11488">
        <v>6</v>
      </c>
    </row>
    <row r="11489" spans="1:6">
      <c r="A11489" t="s">
        <v>9833</v>
      </c>
      <c r="B11489" t="str">
        <f t="shared" si="406"/>
        <v>0.00002%</v>
      </c>
      <c r="C11489" t="s">
        <v>10</v>
      </c>
      <c r="D11489" t="s">
        <v>10</v>
      </c>
      <c r="E11489" t="str">
        <f>"$ 137"</f>
        <v>$ 137</v>
      </c>
      <c r="F11489">
        <v>69</v>
      </c>
    </row>
    <row r="11490" spans="1:6">
      <c r="A11490" t="s">
        <v>11118</v>
      </c>
      <c r="B11490" t="str">
        <f t="shared" si="406"/>
        <v>0.00002%</v>
      </c>
      <c r="C11490" t="s">
        <v>10</v>
      </c>
      <c r="D11490" t="s">
        <v>10</v>
      </c>
      <c r="E11490" t="str">
        <f>"$ 137"</f>
        <v>$ 137</v>
      </c>
      <c r="F11490">
        <v>55</v>
      </c>
    </row>
    <row r="11491" spans="1:6">
      <c r="A11491" t="s">
        <v>11119</v>
      </c>
      <c r="B11491" t="str">
        <f t="shared" si="406"/>
        <v>0.00002%</v>
      </c>
      <c r="C11491" t="s">
        <v>10</v>
      </c>
      <c r="D11491" t="s">
        <v>10</v>
      </c>
      <c r="E11491" t="str">
        <f>"$ 167"</f>
        <v>$ 167</v>
      </c>
      <c r="F11491">
        <v>17</v>
      </c>
    </row>
    <row r="11492" spans="1:6">
      <c r="A11492" t="s">
        <v>11120</v>
      </c>
      <c r="B11492" t="str">
        <f t="shared" ref="B11492:B11555" si="407">"0.00002%"</f>
        <v>0.00002%</v>
      </c>
      <c r="C11492" t="s">
        <v>10</v>
      </c>
      <c r="D11492" t="s">
        <v>10</v>
      </c>
      <c r="E11492" t="str">
        <f>"$ 165"</f>
        <v>$ 165</v>
      </c>
      <c r="F11492">
        <v>192</v>
      </c>
    </row>
    <row r="11493" spans="1:6">
      <c r="A11493" t="s">
        <v>11121</v>
      </c>
      <c r="B11493" t="str">
        <f t="shared" si="407"/>
        <v>0.00002%</v>
      </c>
      <c r="C11493" t="s">
        <v>10</v>
      </c>
      <c r="D11493" t="s">
        <v>10</v>
      </c>
      <c r="E11493" t="str">
        <f>"$ 154"</f>
        <v>$ 154</v>
      </c>
      <c r="F11493">
        <v>37</v>
      </c>
    </row>
    <row r="11494" spans="1:6">
      <c r="A11494" t="s">
        <v>11122</v>
      </c>
      <c r="B11494" t="str">
        <f t="shared" si="407"/>
        <v>0.00002%</v>
      </c>
      <c r="C11494" t="s">
        <v>10</v>
      </c>
      <c r="D11494" t="s">
        <v>10</v>
      </c>
      <c r="E11494" t="str">
        <f>"$ 191"</f>
        <v>$ 191</v>
      </c>
      <c r="F11494">
        <v>167</v>
      </c>
    </row>
    <row r="11495" spans="1:6">
      <c r="A11495" t="s">
        <v>10867</v>
      </c>
      <c r="B11495" t="str">
        <f t="shared" si="407"/>
        <v>0.00002%</v>
      </c>
      <c r="C11495" t="s">
        <v>10</v>
      </c>
      <c r="D11495" t="s">
        <v>10</v>
      </c>
      <c r="E11495" t="str">
        <f>"$ 157"</f>
        <v>$ 157</v>
      </c>
      <c r="F11495">
        <v>83</v>
      </c>
    </row>
    <row r="11496" spans="1:6">
      <c r="A11496" t="s">
        <v>11123</v>
      </c>
      <c r="B11496" t="str">
        <f t="shared" si="407"/>
        <v>0.00002%</v>
      </c>
      <c r="C11496" t="s">
        <v>10</v>
      </c>
      <c r="D11496" t="s">
        <v>10</v>
      </c>
      <c r="E11496" t="str">
        <f>"$ 186"</f>
        <v>$ 186</v>
      </c>
      <c r="F11496">
        <v>195</v>
      </c>
    </row>
    <row r="11497" spans="1:6">
      <c r="A11497" t="s">
        <v>10865</v>
      </c>
      <c r="B11497" t="str">
        <f t="shared" si="407"/>
        <v>0.00002%</v>
      </c>
      <c r="C11497" t="s">
        <v>10</v>
      </c>
      <c r="D11497" t="s">
        <v>10</v>
      </c>
      <c r="E11497" t="str">
        <f>"$ 185"</f>
        <v>$ 185</v>
      </c>
      <c r="F11497">
        <v>287</v>
      </c>
    </row>
    <row r="11498" spans="1:6">
      <c r="A11498" t="s">
        <v>11124</v>
      </c>
      <c r="B11498" t="str">
        <f t="shared" si="407"/>
        <v>0.00002%</v>
      </c>
      <c r="C11498" t="s">
        <v>10</v>
      </c>
      <c r="D11498" t="s">
        <v>10</v>
      </c>
      <c r="E11498" t="str">
        <f>"$ 130"</f>
        <v>$ 130</v>
      </c>
      <c r="F11498">
        <v>82</v>
      </c>
    </row>
    <row r="11499" spans="1:6">
      <c r="A11499" t="s">
        <v>11125</v>
      </c>
      <c r="B11499" t="str">
        <f t="shared" si="407"/>
        <v>0.00002%</v>
      </c>
      <c r="C11499" t="s">
        <v>10</v>
      </c>
      <c r="D11499" t="s">
        <v>10</v>
      </c>
      <c r="E11499" t="str">
        <f>"$ 127"</f>
        <v>$ 127</v>
      </c>
      <c r="F11499">
        <v>80</v>
      </c>
    </row>
    <row r="11500" spans="1:6">
      <c r="A11500" t="s">
        <v>11126</v>
      </c>
      <c r="B11500" t="str">
        <f t="shared" si="407"/>
        <v>0.00002%</v>
      </c>
      <c r="C11500" t="s">
        <v>10</v>
      </c>
      <c r="D11500" t="s">
        <v>10</v>
      </c>
      <c r="E11500" t="str">
        <f>"$ 185"</f>
        <v>$ 185</v>
      </c>
      <c r="F11500">
        <v>69</v>
      </c>
    </row>
    <row r="11501" spans="1:6">
      <c r="A11501" t="s">
        <v>11127</v>
      </c>
      <c r="B11501" t="str">
        <f t="shared" si="407"/>
        <v>0.00002%</v>
      </c>
      <c r="C11501" t="s">
        <v>10</v>
      </c>
      <c r="D11501" t="s">
        <v>10</v>
      </c>
      <c r="E11501" t="str">
        <f>"$ 167"</f>
        <v>$ 167</v>
      </c>
      <c r="F11501">
        <v>157</v>
      </c>
    </row>
    <row r="11502" spans="1:6">
      <c r="A11502" t="s">
        <v>9252</v>
      </c>
      <c r="B11502" t="str">
        <f t="shared" si="407"/>
        <v>0.00002%</v>
      </c>
      <c r="C11502" t="s">
        <v>10</v>
      </c>
      <c r="D11502" t="s">
        <v>10</v>
      </c>
      <c r="E11502" t="str">
        <f>"$ 166"</f>
        <v>$ 166</v>
      </c>
      <c r="F11502">
        <v>75</v>
      </c>
    </row>
    <row r="11503" spans="1:6">
      <c r="A11503" t="s">
        <v>9604</v>
      </c>
      <c r="B11503" t="str">
        <f t="shared" si="407"/>
        <v>0.00002%</v>
      </c>
      <c r="C11503" t="s">
        <v>10</v>
      </c>
      <c r="D11503" t="s">
        <v>10</v>
      </c>
      <c r="E11503" t="str">
        <f>"$ 120"</f>
        <v>$ 120</v>
      </c>
      <c r="F11503">
        <v>53</v>
      </c>
    </row>
    <row r="11504" spans="1:6">
      <c r="A11504" t="s">
        <v>11128</v>
      </c>
      <c r="B11504" t="str">
        <f t="shared" si="407"/>
        <v>0.00002%</v>
      </c>
      <c r="C11504" t="s">
        <v>10</v>
      </c>
      <c r="D11504" t="s">
        <v>10</v>
      </c>
      <c r="E11504" t="str">
        <f>"$ 187"</f>
        <v>$ 187</v>
      </c>
      <c r="F11504">
        <v>265</v>
      </c>
    </row>
    <row r="11505" spans="1:6">
      <c r="A11505" t="s">
        <v>11129</v>
      </c>
      <c r="B11505" t="str">
        <f t="shared" si="407"/>
        <v>0.00002%</v>
      </c>
      <c r="C11505" t="s">
        <v>10</v>
      </c>
      <c r="D11505" t="s">
        <v>10</v>
      </c>
      <c r="E11505" t="str">
        <f>"$ 172"</f>
        <v>$ 172</v>
      </c>
      <c r="F11505">
        <v>22</v>
      </c>
    </row>
    <row r="11506" spans="1:6">
      <c r="A11506" t="s">
        <v>11130</v>
      </c>
      <c r="B11506" t="str">
        <f t="shared" si="407"/>
        <v>0.00002%</v>
      </c>
      <c r="C11506" t="s">
        <v>10</v>
      </c>
      <c r="D11506" t="s">
        <v>10</v>
      </c>
      <c r="E11506" t="str">
        <f>"$ 169"</f>
        <v>$ 169</v>
      </c>
      <c r="F11506">
        <v>131</v>
      </c>
    </row>
    <row r="11507" spans="1:6">
      <c r="A11507" t="s">
        <v>11131</v>
      </c>
      <c r="B11507" t="str">
        <f t="shared" si="407"/>
        <v>0.00002%</v>
      </c>
      <c r="C11507" t="s">
        <v>10</v>
      </c>
      <c r="D11507" t="s">
        <v>10</v>
      </c>
      <c r="E11507" t="str">
        <f>"$ 190"</f>
        <v>$ 190</v>
      </c>
      <c r="F11507">
        <v>337</v>
      </c>
    </row>
    <row r="11508" spans="1:6">
      <c r="A11508" t="s">
        <v>11132</v>
      </c>
      <c r="B11508" t="str">
        <f t="shared" si="407"/>
        <v>0.00002%</v>
      </c>
      <c r="C11508" t="s">
        <v>10</v>
      </c>
      <c r="D11508" t="s">
        <v>10</v>
      </c>
      <c r="E11508" t="str">
        <f>"$ 154"</f>
        <v>$ 154</v>
      </c>
      <c r="F11508">
        <v>102</v>
      </c>
    </row>
    <row r="11509" spans="1:6">
      <c r="A11509" t="s">
        <v>11133</v>
      </c>
      <c r="B11509" t="str">
        <f t="shared" si="407"/>
        <v>0.00002%</v>
      </c>
      <c r="C11509" t="s">
        <v>10</v>
      </c>
      <c r="D11509" t="s">
        <v>10</v>
      </c>
      <c r="E11509" t="str">
        <f>"$ 137"</f>
        <v>$ 137</v>
      </c>
      <c r="F11509">
        <v>120</v>
      </c>
    </row>
    <row r="11510" spans="1:6">
      <c r="A11510" t="s">
        <v>11134</v>
      </c>
      <c r="B11510" t="str">
        <f t="shared" si="407"/>
        <v>0.00002%</v>
      </c>
      <c r="C11510" t="s">
        <v>10</v>
      </c>
      <c r="D11510" t="s">
        <v>10</v>
      </c>
      <c r="E11510" t="str">
        <f>"$ 143"</f>
        <v>$ 143</v>
      </c>
      <c r="F11510">
        <v>95</v>
      </c>
    </row>
    <row r="11511" spans="1:6">
      <c r="A11511" t="s">
        <v>11135</v>
      </c>
      <c r="B11511" t="str">
        <f t="shared" si="407"/>
        <v>0.00002%</v>
      </c>
      <c r="C11511" t="s">
        <v>10</v>
      </c>
      <c r="D11511" t="s">
        <v>10</v>
      </c>
      <c r="E11511" t="str">
        <f>"$ 166"</f>
        <v>$ 166</v>
      </c>
      <c r="F11511">
        <v>251</v>
      </c>
    </row>
    <row r="11512" spans="1:6">
      <c r="A11512" t="s">
        <v>9850</v>
      </c>
      <c r="B11512" t="str">
        <f t="shared" si="407"/>
        <v>0.00002%</v>
      </c>
      <c r="C11512" t="s">
        <v>10</v>
      </c>
      <c r="D11512" t="s">
        <v>10</v>
      </c>
      <c r="E11512" t="str">
        <f>"$ 117"</f>
        <v>$ 117</v>
      </c>
      <c r="F11512">
        <v>20</v>
      </c>
    </row>
    <row r="11513" spans="1:6">
      <c r="A11513" t="s">
        <v>11136</v>
      </c>
      <c r="B11513" t="str">
        <f t="shared" si="407"/>
        <v>0.00002%</v>
      </c>
      <c r="C11513" t="s">
        <v>10</v>
      </c>
      <c r="D11513" t="s">
        <v>10</v>
      </c>
      <c r="E11513" t="str">
        <f>"$ 168"</f>
        <v>$ 168</v>
      </c>
      <c r="F11513">
        <v>23</v>
      </c>
    </row>
    <row r="11514" spans="1:6">
      <c r="A11514" t="s">
        <v>11137</v>
      </c>
      <c r="B11514" t="str">
        <f t="shared" si="407"/>
        <v>0.00002%</v>
      </c>
      <c r="C11514" t="s">
        <v>10</v>
      </c>
      <c r="D11514" t="s">
        <v>10</v>
      </c>
      <c r="E11514" t="str">
        <f>"$ 146"</f>
        <v>$ 146</v>
      </c>
      <c r="F11514">
        <v>68</v>
      </c>
    </row>
    <row r="11515" spans="1:6">
      <c r="A11515" t="s">
        <v>11138</v>
      </c>
      <c r="B11515" t="str">
        <f t="shared" si="407"/>
        <v>0.00002%</v>
      </c>
      <c r="C11515" t="s">
        <v>10</v>
      </c>
      <c r="D11515" t="s">
        <v>10</v>
      </c>
      <c r="E11515" t="str">
        <f>"$ 140"</f>
        <v>$ 140</v>
      </c>
      <c r="F11515">
        <v>118</v>
      </c>
    </row>
    <row r="11516" spans="1:6">
      <c r="A11516" t="s">
        <v>11139</v>
      </c>
      <c r="B11516" t="str">
        <f t="shared" si="407"/>
        <v>0.00002%</v>
      </c>
      <c r="C11516" t="s">
        <v>10</v>
      </c>
      <c r="D11516" t="s">
        <v>10</v>
      </c>
      <c r="E11516" t="str">
        <f>"$ 120"</f>
        <v>$ 120</v>
      </c>
      <c r="F11516">
        <v>66</v>
      </c>
    </row>
    <row r="11517" spans="1:6">
      <c r="A11517" t="s">
        <v>11140</v>
      </c>
      <c r="B11517" t="str">
        <f t="shared" si="407"/>
        <v>0.00002%</v>
      </c>
      <c r="C11517" t="s">
        <v>10</v>
      </c>
      <c r="D11517" t="s">
        <v>10</v>
      </c>
      <c r="E11517" t="str">
        <f>"$ 192"</f>
        <v>$ 192</v>
      </c>
      <c r="F11517">
        <v>10</v>
      </c>
    </row>
    <row r="11518" spans="1:6">
      <c r="A11518" t="s">
        <v>11141</v>
      </c>
      <c r="B11518" t="str">
        <f t="shared" si="407"/>
        <v>0.00002%</v>
      </c>
      <c r="C11518" t="s">
        <v>10</v>
      </c>
      <c r="D11518" t="s">
        <v>10</v>
      </c>
      <c r="E11518" t="str">
        <f>"$ 119"</f>
        <v>$ 119</v>
      </c>
      <c r="F11518">
        <v>51</v>
      </c>
    </row>
    <row r="11519" spans="1:6">
      <c r="A11519" t="s">
        <v>10619</v>
      </c>
      <c r="B11519" t="str">
        <f t="shared" si="407"/>
        <v>0.00002%</v>
      </c>
      <c r="C11519" t="s">
        <v>10</v>
      </c>
      <c r="D11519" t="s">
        <v>10</v>
      </c>
      <c r="E11519" t="str">
        <f>"$ 126"</f>
        <v>$ 126</v>
      </c>
      <c r="F11519">
        <v>59</v>
      </c>
    </row>
    <row r="11520" spans="1:6">
      <c r="A11520" t="s">
        <v>11142</v>
      </c>
      <c r="B11520" t="str">
        <f t="shared" si="407"/>
        <v>0.00002%</v>
      </c>
      <c r="C11520" t="s">
        <v>10</v>
      </c>
      <c r="D11520" t="s">
        <v>10</v>
      </c>
      <c r="E11520" t="str">
        <f>"$ 126"</f>
        <v>$ 126</v>
      </c>
      <c r="F11520">
        <v>15</v>
      </c>
    </row>
    <row r="11521" spans="1:6">
      <c r="A11521" t="s">
        <v>11143</v>
      </c>
      <c r="B11521" t="str">
        <f t="shared" si="407"/>
        <v>0.00002%</v>
      </c>
      <c r="C11521" t="s">
        <v>10</v>
      </c>
      <c r="D11521" t="s">
        <v>10</v>
      </c>
      <c r="E11521" t="str">
        <f>"$ 125"</f>
        <v>$ 125</v>
      </c>
      <c r="F11521">
        <v>55</v>
      </c>
    </row>
    <row r="11522" spans="1:6">
      <c r="A11522" t="s">
        <v>11144</v>
      </c>
      <c r="B11522" t="str">
        <f t="shared" si="407"/>
        <v>0.00002%</v>
      </c>
      <c r="C11522" t="s">
        <v>10</v>
      </c>
      <c r="D11522" t="s">
        <v>10</v>
      </c>
      <c r="E11522" t="str">
        <f>"$ 129"</f>
        <v>$ 129</v>
      </c>
      <c r="F11522">
        <v>10</v>
      </c>
    </row>
    <row r="11523" spans="1:6">
      <c r="A11523" t="s">
        <v>11145</v>
      </c>
      <c r="B11523" t="str">
        <f t="shared" si="407"/>
        <v>0.00002%</v>
      </c>
      <c r="C11523" t="s">
        <v>10</v>
      </c>
      <c r="D11523" t="s">
        <v>10</v>
      </c>
      <c r="E11523" t="str">
        <f>"$ 129"</f>
        <v>$ 129</v>
      </c>
      <c r="F11523">
        <v>315</v>
      </c>
    </row>
    <row r="11524" spans="1:6">
      <c r="A11524" t="s">
        <v>11146</v>
      </c>
      <c r="B11524" t="str">
        <f t="shared" si="407"/>
        <v>0.00002%</v>
      </c>
      <c r="C11524" t="s">
        <v>10</v>
      </c>
      <c r="D11524" t="s">
        <v>10</v>
      </c>
      <c r="E11524" t="str">
        <f>"$ 133"</f>
        <v>$ 133</v>
      </c>
      <c r="F11524">
        <v>96</v>
      </c>
    </row>
    <row r="11525" spans="1:6">
      <c r="A11525" t="s">
        <v>11147</v>
      </c>
      <c r="B11525" t="str">
        <f t="shared" si="407"/>
        <v>0.00002%</v>
      </c>
      <c r="C11525" t="s">
        <v>10</v>
      </c>
      <c r="D11525" t="s">
        <v>10</v>
      </c>
      <c r="E11525" t="str">
        <f>"$ 130"</f>
        <v>$ 130</v>
      </c>
      <c r="F11525">
        <v>17</v>
      </c>
    </row>
    <row r="11526" spans="1:6">
      <c r="A11526" t="s">
        <v>11148</v>
      </c>
      <c r="B11526" t="str">
        <f t="shared" si="407"/>
        <v>0.00002%</v>
      </c>
      <c r="C11526" t="s">
        <v>10</v>
      </c>
      <c r="D11526" t="s">
        <v>10</v>
      </c>
      <c r="E11526" t="str">
        <f>"$ 131"</f>
        <v>$ 131</v>
      </c>
      <c r="F11526">
        <v>134</v>
      </c>
    </row>
    <row r="11527" spans="1:6">
      <c r="A11527" t="s">
        <v>11149</v>
      </c>
      <c r="B11527" t="str">
        <f t="shared" si="407"/>
        <v>0.00002%</v>
      </c>
      <c r="C11527" t="s">
        <v>10</v>
      </c>
      <c r="D11527" t="s">
        <v>10</v>
      </c>
      <c r="E11527" t="str">
        <f>"$ 137"</f>
        <v>$ 137</v>
      </c>
      <c r="F11527">
        <v>163</v>
      </c>
    </row>
    <row r="11528" spans="1:6">
      <c r="A11528" t="s">
        <v>11150</v>
      </c>
      <c r="B11528" t="str">
        <f t="shared" si="407"/>
        <v>0.00002%</v>
      </c>
      <c r="C11528" t="s">
        <v>10</v>
      </c>
      <c r="D11528" t="s">
        <v>10</v>
      </c>
      <c r="E11528" t="str">
        <f>"$ 144"</f>
        <v>$ 144</v>
      </c>
      <c r="F11528">
        <v>87</v>
      </c>
    </row>
    <row r="11529" spans="1:6">
      <c r="A11529" t="s">
        <v>11151</v>
      </c>
      <c r="B11529" t="str">
        <f t="shared" si="407"/>
        <v>0.00002%</v>
      </c>
      <c r="C11529" t="s">
        <v>10</v>
      </c>
      <c r="D11529" t="s">
        <v>10</v>
      </c>
      <c r="E11529" t="str">
        <f>"$ 143"</f>
        <v>$ 143</v>
      </c>
      <c r="F11529">
        <v>29</v>
      </c>
    </row>
    <row r="11530" spans="1:6">
      <c r="A11530" t="s">
        <v>11152</v>
      </c>
      <c r="B11530" t="str">
        <f t="shared" si="407"/>
        <v>0.00002%</v>
      </c>
      <c r="C11530" t="s">
        <v>10</v>
      </c>
      <c r="D11530" t="s">
        <v>10</v>
      </c>
      <c r="E11530" t="str">
        <f>"$ 143"</f>
        <v>$ 143</v>
      </c>
      <c r="F11530">
        <v>161</v>
      </c>
    </row>
    <row r="11531" spans="1:6">
      <c r="A11531" t="s">
        <v>11153</v>
      </c>
      <c r="B11531" t="str">
        <f t="shared" si="407"/>
        <v>0.00002%</v>
      </c>
      <c r="C11531" t="s">
        <v>10</v>
      </c>
      <c r="D11531" t="s">
        <v>10</v>
      </c>
      <c r="E11531" t="str">
        <f>"$ 167"</f>
        <v>$ 167</v>
      </c>
      <c r="F11531">
        <v>42</v>
      </c>
    </row>
    <row r="11532" spans="1:6">
      <c r="A11532" t="s">
        <v>11154</v>
      </c>
      <c r="B11532" t="str">
        <f t="shared" si="407"/>
        <v>0.00002%</v>
      </c>
      <c r="C11532" t="s">
        <v>10</v>
      </c>
      <c r="D11532" t="s">
        <v>10</v>
      </c>
      <c r="E11532" t="str">
        <f>"$ 185"</f>
        <v>$ 185</v>
      </c>
      <c r="F11532">
        <v>123</v>
      </c>
    </row>
    <row r="11533" spans="1:6">
      <c r="A11533" t="s">
        <v>11155</v>
      </c>
      <c r="B11533" t="str">
        <f t="shared" si="407"/>
        <v>0.00002%</v>
      </c>
      <c r="C11533" t="s">
        <v>10</v>
      </c>
      <c r="D11533" t="s">
        <v>10</v>
      </c>
      <c r="E11533" t="str">
        <f>"$ 175"</f>
        <v>$ 175</v>
      </c>
      <c r="F11533">
        <v>8</v>
      </c>
    </row>
    <row r="11534" spans="1:6">
      <c r="A11534" t="s">
        <v>11156</v>
      </c>
      <c r="B11534" t="str">
        <f t="shared" si="407"/>
        <v>0.00002%</v>
      </c>
      <c r="C11534" t="s">
        <v>10</v>
      </c>
      <c r="D11534" t="s">
        <v>10</v>
      </c>
      <c r="E11534" t="str">
        <f>"$ 178"</f>
        <v>$ 178</v>
      </c>
      <c r="F11534">
        <v>10</v>
      </c>
    </row>
    <row r="11535" spans="1:6">
      <c r="A11535" t="s">
        <v>11157</v>
      </c>
      <c r="B11535" t="str">
        <f t="shared" si="407"/>
        <v>0.00002%</v>
      </c>
      <c r="C11535" t="s">
        <v>10</v>
      </c>
      <c r="D11535" t="s">
        <v>10</v>
      </c>
      <c r="E11535" t="str">
        <f>"$ 181"</f>
        <v>$ 181</v>
      </c>
      <c r="F11535">
        <v>147</v>
      </c>
    </row>
    <row r="11536" spans="1:6">
      <c r="A11536" t="s">
        <v>11158</v>
      </c>
      <c r="B11536" t="str">
        <f t="shared" si="407"/>
        <v>0.00002%</v>
      </c>
      <c r="C11536" t="s">
        <v>10</v>
      </c>
      <c r="D11536" t="s">
        <v>10</v>
      </c>
      <c r="E11536" t="str">
        <f>"$ 183"</f>
        <v>$ 183</v>
      </c>
      <c r="F11536">
        <v>39</v>
      </c>
    </row>
    <row r="11537" spans="1:6">
      <c r="A11537" t="s">
        <v>11159</v>
      </c>
      <c r="B11537" t="str">
        <f t="shared" si="407"/>
        <v>0.00002%</v>
      </c>
      <c r="C11537" t="s">
        <v>10</v>
      </c>
      <c r="D11537" t="s">
        <v>10</v>
      </c>
      <c r="E11537" t="str">
        <f>"$ 135"</f>
        <v>$ 135</v>
      </c>
      <c r="F11537">
        <v>44</v>
      </c>
    </row>
    <row r="11538" spans="1:6">
      <c r="A11538" t="s">
        <v>11160</v>
      </c>
      <c r="B11538" t="str">
        <f t="shared" si="407"/>
        <v>0.00002%</v>
      </c>
      <c r="C11538" t="s">
        <v>10</v>
      </c>
      <c r="D11538" t="s">
        <v>10</v>
      </c>
      <c r="E11538" t="str">
        <f>"$ 138"</f>
        <v>$ 138</v>
      </c>
      <c r="F11538">
        <v>94</v>
      </c>
    </row>
    <row r="11539" spans="1:6">
      <c r="A11539" t="s">
        <v>11161</v>
      </c>
      <c r="B11539" t="str">
        <f t="shared" si="407"/>
        <v>0.00002%</v>
      </c>
      <c r="C11539" t="s">
        <v>10</v>
      </c>
      <c r="D11539" t="s">
        <v>10</v>
      </c>
      <c r="E11539" t="str">
        <f>"$ 156"</f>
        <v>$ 156</v>
      </c>
      <c r="F11539">
        <v>19</v>
      </c>
    </row>
    <row r="11540" spans="1:6">
      <c r="A11540" t="s">
        <v>11162</v>
      </c>
      <c r="B11540" t="str">
        <f t="shared" si="407"/>
        <v>0.00002%</v>
      </c>
      <c r="C11540" t="s">
        <v>10</v>
      </c>
      <c r="D11540" t="s">
        <v>10</v>
      </c>
      <c r="E11540" t="str">
        <f>"$ 150"</f>
        <v>$ 150</v>
      </c>
      <c r="F11540">
        <v>43</v>
      </c>
    </row>
    <row r="11541" spans="1:6">
      <c r="A11541" t="s">
        <v>11153</v>
      </c>
      <c r="B11541" t="str">
        <f t="shared" si="407"/>
        <v>0.00002%</v>
      </c>
      <c r="C11541" t="s">
        <v>10</v>
      </c>
      <c r="D11541" t="s">
        <v>10</v>
      </c>
      <c r="E11541" t="str">
        <f>"$ 151"</f>
        <v>$ 151</v>
      </c>
      <c r="F11541">
        <v>38</v>
      </c>
    </row>
    <row r="11542" spans="1:6">
      <c r="A11542" t="s">
        <v>11163</v>
      </c>
      <c r="B11542" t="str">
        <f t="shared" si="407"/>
        <v>0.00002%</v>
      </c>
      <c r="C11542" t="s">
        <v>10</v>
      </c>
      <c r="D11542" t="s">
        <v>10</v>
      </c>
      <c r="E11542" t="str">
        <f>"$ 162"</f>
        <v>$ 162</v>
      </c>
      <c r="F11542">
        <v>87</v>
      </c>
    </row>
    <row r="11543" spans="1:6">
      <c r="A11543" t="s">
        <v>9639</v>
      </c>
      <c r="B11543" t="str">
        <f t="shared" si="407"/>
        <v>0.00002%</v>
      </c>
      <c r="C11543" t="s">
        <v>10</v>
      </c>
      <c r="D11543" t="s">
        <v>10</v>
      </c>
      <c r="E11543" t="str">
        <f>"$ 163"</f>
        <v>$ 163</v>
      </c>
      <c r="F11543">
        <v>52</v>
      </c>
    </row>
    <row r="11544" spans="1:6">
      <c r="A11544" t="s">
        <v>8926</v>
      </c>
      <c r="B11544" t="str">
        <f t="shared" si="407"/>
        <v>0.00002%</v>
      </c>
      <c r="C11544" t="s">
        <v>10</v>
      </c>
      <c r="D11544" t="s">
        <v>10</v>
      </c>
      <c r="E11544" t="str">
        <f>"$ 187"</f>
        <v>$ 187</v>
      </c>
      <c r="F11544">
        <v>107</v>
      </c>
    </row>
    <row r="11545" spans="1:6">
      <c r="A11545" t="s">
        <v>10626</v>
      </c>
      <c r="B11545" t="str">
        <f t="shared" si="407"/>
        <v>0.00002%</v>
      </c>
      <c r="C11545" t="s">
        <v>10</v>
      </c>
      <c r="D11545" t="s">
        <v>10</v>
      </c>
      <c r="E11545" t="str">
        <f>"$ 150"</f>
        <v>$ 150</v>
      </c>
      <c r="F11545">
        <v>98</v>
      </c>
    </row>
    <row r="11546" spans="1:6">
      <c r="A11546" t="s">
        <v>11164</v>
      </c>
      <c r="B11546" t="str">
        <f t="shared" si="407"/>
        <v>0.00002%</v>
      </c>
      <c r="C11546" t="s">
        <v>10</v>
      </c>
      <c r="D11546" t="s">
        <v>10</v>
      </c>
      <c r="E11546" t="str">
        <f>"$ 170"</f>
        <v>$ 170</v>
      </c>
      <c r="F11546">
        <v>22</v>
      </c>
    </row>
    <row r="11547" spans="1:6">
      <c r="A11547" t="s">
        <v>10623</v>
      </c>
      <c r="B11547" t="str">
        <f t="shared" si="407"/>
        <v>0.00002%</v>
      </c>
      <c r="C11547" t="s">
        <v>10</v>
      </c>
      <c r="D11547" t="s">
        <v>10</v>
      </c>
      <c r="E11547" t="str">
        <f>"$ 177"</f>
        <v>$ 177</v>
      </c>
      <c r="F11547">
        <v>36</v>
      </c>
    </row>
    <row r="11548" spans="1:6">
      <c r="A11548" t="s">
        <v>11165</v>
      </c>
      <c r="B11548" t="str">
        <f t="shared" si="407"/>
        <v>0.00002%</v>
      </c>
      <c r="C11548" t="s">
        <v>10</v>
      </c>
      <c r="D11548" t="s">
        <v>10</v>
      </c>
      <c r="E11548" t="str">
        <f>"$ 135"</f>
        <v>$ 135</v>
      </c>
      <c r="F11548">
        <v>87</v>
      </c>
    </row>
    <row r="11549" spans="1:6">
      <c r="A11549" t="s">
        <v>10624</v>
      </c>
      <c r="B11549" t="str">
        <f t="shared" si="407"/>
        <v>0.00002%</v>
      </c>
      <c r="C11549" t="s">
        <v>10</v>
      </c>
      <c r="D11549" t="s">
        <v>10</v>
      </c>
      <c r="E11549" t="str">
        <f>"$ 121"</f>
        <v>$ 121</v>
      </c>
      <c r="F11549">
        <v>56</v>
      </c>
    </row>
    <row r="11550" spans="1:6">
      <c r="A11550" t="s">
        <v>11166</v>
      </c>
      <c r="B11550" t="str">
        <f t="shared" si="407"/>
        <v>0.00002%</v>
      </c>
      <c r="C11550" t="s">
        <v>10</v>
      </c>
      <c r="D11550" t="s">
        <v>10</v>
      </c>
      <c r="E11550" t="str">
        <f>"$ 155"</f>
        <v>$ 155</v>
      </c>
      <c r="F11550">
        <v>19</v>
      </c>
    </row>
    <row r="11551" spans="1:6">
      <c r="A11551" t="s">
        <v>9437</v>
      </c>
      <c r="B11551" t="str">
        <f t="shared" si="407"/>
        <v>0.00002%</v>
      </c>
      <c r="C11551" t="s">
        <v>10</v>
      </c>
      <c r="D11551" t="s">
        <v>10</v>
      </c>
      <c r="E11551" t="str">
        <f>"$ 160"</f>
        <v>$ 160</v>
      </c>
      <c r="F11551">
        <v>249</v>
      </c>
    </row>
    <row r="11552" spans="1:6">
      <c r="A11552" t="s">
        <v>9638</v>
      </c>
      <c r="B11552" t="str">
        <f t="shared" si="407"/>
        <v>0.00002%</v>
      </c>
      <c r="C11552" t="s">
        <v>10</v>
      </c>
      <c r="D11552" t="s">
        <v>10</v>
      </c>
      <c r="E11552" t="str">
        <f>"$ 160"</f>
        <v>$ 160</v>
      </c>
      <c r="F11552">
        <v>81</v>
      </c>
    </row>
    <row r="11553" spans="1:6">
      <c r="A11553" t="s">
        <v>11167</v>
      </c>
      <c r="B11553" t="str">
        <f t="shared" si="407"/>
        <v>0.00002%</v>
      </c>
      <c r="C11553" t="s">
        <v>10</v>
      </c>
      <c r="D11553" t="s">
        <v>10</v>
      </c>
      <c r="E11553" t="str">
        <f>"$ 138"</f>
        <v>$ 138</v>
      </c>
      <c r="F11553">
        <v>45</v>
      </c>
    </row>
    <row r="11554" spans="1:6">
      <c r="A11554" t="s">
        <v>8649</v>
      </c>
      <c r="B11554" t="str">
        <f t="shared" si="407"/>
        <v>0.00002%</v>
      </c>
      <c r="C11554" t="s">
        <v>10</v>
      </c>
      <c r="D11554" t="s">
        <v>10</v>
      </c>
      <c r="E11554" t="str">
        <f>"$ 131"</f>
        <v>$ 131</v>
      </c>
      <c r="F11554">
        <v>167</v>
      </c>
    </row>
    <row r="11555" spans="1:6">
      <c r="A11555" t="s">
        <v>11168</v>
      </c>
      <c r="B11555" t="str">
        <f t="shared" si="407"/>
        <v>0.00002%</v>
      </c>
      <c r="C11555" t="s">
        <v>10</v>
      </c>
      <c r="D11555" t="s">
        <v>10</v>
      </c>
      <c r="E11555" t="str">
        <f>"$ 138"</f>
        <v>$ 138</v>
      </c>
      <c r="F11555">
        <v>230</v>
      </c>
    </row>
    <row r="11556" spans="1:6">
      <c r="A11556" t="s">
        <v>11169</v>
      </c>
      <c r="B11556" t="str">
        <f t="shared" ref="B11556:B11619" si="408">"0.00002%"</f>
        <v>0.00002%</v>
      </c>
      <c r="C11556" t="s">
        <v>10</v>
      </c>
      <c r="D11556" t="s">
        <v>10</v>
      </c>
      <c r="E11556" t="str">
        <f>"$ 146"</f>
        <v>$ 146</v>
      </c>
      <c r="F11556">
        <v>49</v>
      </c>
    </row>
    <row r="11557" spans="1:6">
      <c r="A11557" t="s">
        <v>11170</v>
      </c>
      <c r="B11557" t="str">
        <f t="shared" si="408"/>
        <v>0.00002%</v>
      </c>
      <c r="C11557" t="s">
        <v>10</v>
      </c>
      <c r="D11557" t="s">
        <v>10</v>
      </c>
      <c r="E11557" t="str">
        <f>"$ 181"</f>
        <v>$ 181</v>
      </c>
      <c r="F11557">
        <v>31</v>
      </c>
    </row>
    <row r="11558" spans="1:6">
      <c r="A11558" t="s">
        <v>9650</v>
      </c>
      <c r="B11558" t="str">
        <f t="shared" si="408"/>
        <v>0.00002%</v>
      </c>
      <c r="C11558" t="s">
        <v>10</v>
      </c>
      <c r="D11558" t="s">
        <v>10</v>
      </c>
      <c r="E11558" t="str">
        <f>"$ 170"</f>
        <v>$ 170</v>
      </c>
      <c r="F11558">
        <v>169</v>
      </c>
    </row>
    <row r="11559" spans="1:6">
      <c r="A11559" t="s">
        <v>11170</v>
      </c>
      <c r="B11559" t="str">
        <f t="shared" si="408"/>
        <v>0.00002%</v>
      </c>
      <c r="C11559" t="s">
        <v>10</v>
      </c>
      <c r="D11559" t="s">
        <v>10</v>
      </c>
      <c r="E11559" t="str">
        <f>"$ 166"</f>
        <v>$ 166</v>
      </c>
      <c r="F11559">
        <v>28</v>
      </c>
    </row>
    <row r="11560" spans="1:6">
      <c r="A11560" t="s">
        <v>11171</v>
      </c>
      <c r="B11560" t="str">
        <f t="shared" si="408"/>
        <v>0.00002%</v>
      </c>
      <c r="C11560" t="s">
        <v>10</v>
      </c>
      <c r="D11560" t="s">
        <v>10</v>
      </c>
      <c r="E11560" t="str">
        <f>"$ 182"</f>
        <v>$ 182</v>
      </c>
      <c r="F11560" s="1">
        <v>1241</v>
      </c>
    </row>
    <row r="11561" spans="1:6">
      <c r="A11561" t="s">
        <v>11172</v>
      </c>
      <c r="B11561" t="str">
        <f t="shared" si="408"/>
        <v>0.00002%</v>
      </c>
      <c r="C11561" t="s">
        <v>10</v>
      </c>
      <c r="D11561" t="s">
        <v>10</v>
      </c>
      <c r="E11561" t="str">
        <f>"$ 165"</f>
        <v>$ 165</v>
      </c>
      <c r="F11561">
        <v>115</v>
      </c>
    </row>
    <row r="11562" spans="1:6">
      <c r="A11562" t="s">
        <v>11173</v>
      </c>
      <c r="B11562" t="str">
        <f t="shared" si="408"/>
        <v>0.00002%</v>
      </c>
      <c r="C11562" t="s">
        <v>10</v>
      </c>
      <c r="D11562" t="s">
        <v>10</v>
      </c>
      <c r="E11562" t="str">
        <f>"$ 167"</f>
        <v>$ 167</v>
      </c>
      <c r="F11562">
        <v>331</v>
      </c>
    </row>
    <row r="11563" spans="1:6">
      <c r="A11563" t="s">
        <v>11174</v>
      </c>
      <c r="B11563" t="str">
        <f t="shared" si="408"/>
        <v>0.00002%</v>
      </c>
      <c r="C11563" t="s">
        <v>10</v>
      </c>
      <c r="D11563" t="s">
        <v>10</v>
      </c>
      <c r="E11563" t="str">
        <f>"$ 142"</f>
        <v>$ 142</v>
      </c>
      <c r="F11563">
        <v>480</v>
      </c>
    </row>
    <row r="11564" spans="1:6">
      <c r="A11564" t="s">
        <v>9889</v>
      </c>
      <c r="B11564" t="str">
        <f t="shared" si="408"/>
        <v>0.00002%</v>
      </c>
      <c r="C11564" t="s">
        <v>10</v>
      </c>
      <c r="D11564" t="s">
        <v>10</v>
      </c>
      <c r="E11564" t="str">
        <f>"$ 181"</f>
        <v>$ 181</v>
      </c>
      <c r="F11564">
        <v>64</v>
      </c>
    </row>
    <row r="11565" spans="1:6">
      <c r="A11565" t="s">
        <v>11175</v>
      </c>
      <c r="B11565" t="str">
        <f t="shared" si="408"/>
        <v>0.00002%</v>
      </c>
      <c r="C11565" t="s">
        <v>10</v>
      </c>
      <c r="D11565" t="s">
        <v>10</v>
      </c>
      <c r="E11565" t="str">
        <f>"$ 180"</f>
        <v>$ 180</v>
      </c>
      <c r="F11565">
        <v>154</v>
      </c>
    </row>
    <row r="11566" spans="1:6">
      <c r="A11566" t="s">
        <v>11176</v>
      </c>
      <c r="B11566" t="str">
        <f t="shared" si="408"/>
        <v>0.00002%</v>
      </c>
      <c r="C11566" t="s">
        <v>10</v>
      </c>
      <c r="D11566" t="s">
        <v>10</v>
      </c>
      <c r="E11566" t="str">
        <f>"$ 153"</f>
        <v>$ 153</v>
      </c>
      <c r="F11566">
        <v>126</v>
      </c>
    </row>
    <row r="11567" spans="1:6">
      <c r="A11567" t="s">
        <v>11177</v>
      </c>
      <c r="B11567" t="str">
        <f t="shared" si="408"/>
        <v>0.00002%</v>
      </c>
      <c r="C11567" t="s">
        <v>10</v>
      </c>
      <c r="D11567" t="s">
        <v>10</v>
      </c>
      <c r="E11567" t="str">
        <f>"$ 153"</f>
        <v>$ 153</v>
      </c>
      <c r="F11567">
        <v>20</v>
      </c>
    </row>
    <row r="11568" spans="1:6">
      <c r="A11568" t="s">
        <v>11178</v>
      </c>
      <c r="B11568" t="str">
        <f t="shared" si="408"/>
        <v>0.00002%</v>
      </c>
      <c r="C11568" t="s">
        <v>10</v>
      </c>
      <c r="D11568" t="s">
        <v>10</v>
      </c>
      <c r="E11568" t="str">
        <f>"$ 140"</f>
        <v>$ 140</v>
      </c>
      <c r="F11568">
        <v>99</v>
      </c>
    </row>
    <row r="11569" spans="1:6">
      <c r="A11569" t="s">
        <v>11179</v>
      </c>
      <c r="B11569" t="str">
        <f t="shared" si="408"/>
        <v>0.00002%</v>
      </c>
      <c r="C11569" t="s">
        <v>10</v>
      </c>
      <c r="D11569" t="s">
        <v>10</v>
      </c>
      <c r="E11569" t="str">
        <f>"$ 144"</f>
        <v>$ 144</v>
      </c>
      <c r="F11569">
        <v>75</v>
      </c>
    </row>
    <row r="11570" spans="1:6">
      <c r="A11570" t="s">
        <v>11180</v>
      </c>
      <c r="B11570" t="str">
        <f t="shared" si="408"/>
        <v>0.00002%</v>
      </c>
      <c r="C11570" t="s">
        <v>10</v>
      </c>
      <c r="D11570" t="s">
        <v>10</v>
      </c>
      <c r="E11570" t="str">
        <f>"$ 173"</f>
        <v>$ 173</v>
      </c>
      <c r="F11570">
        <v>180</v>
      </c>
    </row>
    <row r="11571" spans="1:6">
      <c r="A11571" t="s">
        <v>11181</v>
      </c>
      <c r="B11571" t="str">
        <f t="shared" si="408"/>
        <v>0.00002%</v>
      </c>
      <c r="C11571" t="s">
        <v>10</v>
      </c>
      <c r="D11571" t="s">
        <v>10</v>
      </c>
      <c r="E11571" t="str">
        <f>"$ 190"</f>
        <v>$ 190</v>
      </c>
      <c r="F11571">
        <v>2</v>
      </c>
    </row>
    <row r="11572" spans="1:6">
      <c r="A11572" t="s">
        <v>11182</v>
      </c>
      <c r="B11572" t="str">
        <f t="shared" si="408"/>
        <v>0.00002%</v>
      </c>
      <c r="C11572" t="s">
        <v>10</v>
      </c>
      <c r="D11572" t="s">
        <v>10</v>
      </c>
      <c r="E11572" t="str">
        <f>"$ 131"</f>
        <v>$ 131</v>
      </c>
      <c r="F11572">
        <v>143</v>
      </c>
    </row>
    <row r="11573" spans="1:6">
      <c r="A11573" t="s">
        <v>11183</v>
      </c>
      <c r="B11573" t="str">
        <f t="shared" si="408"/>
        <v>0.00002%</v>
      </c>
      <c r="C11573" t="s">
        <v>10</v>
      </c>
      <c r="D11573" t="s">
        <v>10</v>
      </c>
      <c r="E11573" t="str">
        <f>"$ 127"</f>
        <v>$ 127</v>
      </c>
      <c r="F11573">
        <v>46</v>
      </c>
    </row>
    <row r="11574" spans="1:6">
      <c r="A11574" t="s">
        <v>10926</v>
      </c>
      <c r="B11574" t="str">
        <f t="shared" si="408"/>
        <v>0.00002%</v>
      </c>
      <c r="C11574" t="s">
        <v>10</v>
      </c>
      <c r="D11574" t="s">
        <v>10</v>
      </c>
      <c r="E11574" t="str">
        <f>"$ 137"</f>
        <v>$ 137</v>
      </c>
      <c r="F11574">
        <v>63</v>
      </c>
    </row>
    <row r="11575" spans="1:6">
      <c r="A11575" t="s">
        <v>11184</v>
      </c>
      <c r="B11575" t="str">
        <f t="shared" si="408"/>
        <v>0.00002%</v>
      </c>
      <c r="C11575" t="s">
        <v>10</v>
      </c>
      <c r="D11575" t="s">
        <v>10</v>
      </c>
      <c r="E11575" t="str">
        <f>"$ 153"</f>
        <v>$ 153</v>
      </c>
      <c r="F11575">
        <v>32</v>
      </c>
    </row>
    <row r="11576" spans="1:6">
      <c r="A11576" t="s">
        <v>11185</v>
      </c>
      <c r="B11576" t="str">
        <f t="shared" si="408"/>
        <v>0.00002%</v>
      </c>
      <c r="C11576" t="s">
        <v>10</v>
      </c>
      <c r="D11576" t="s">
        <v>10</v>
      </c>
      <c r="E11576" t="str">
        <f>"$ 155"</f>
        <v>$ 155</v>
      </c>
      <c r="F11576">
        <v>33</v>
      </c>
    </row>
    <row r="11577" spans="1:6">
      <c r="A11577" t="s">
        <v>11186</v>
      </c>
      <c r="B11577" t="str">
        <f t="shared" si="408"/>
        <v>0.00002%</v>
      </c>
      <c r="C11577" t="s">
        <v>10</v>
      </c>
      <c r="D11577" t="s">
        <v>10</v>
      </c>
      <c r="E11577" t="str">
        <f>"$ 186"</f>
        <v>$ 186</v>
      </c>
      <c r="F11577">
        <v>186</v>
      </c>
    </row>
    <row r="11578" spans="1:6">
      <c r="A11578" t="s">
        <v>11187</v>
      </c>
      <c r="B11578" t="str">
        <f t="shared" si="408"/>
        <v>0.00002%</v>
      </c>
      <c r="C11578" t="s">
        <v>10</v>
      </c>
      <c r="D11578" t="s">
        <v>10</v>
      </c>
      <c r="E11578" t="str">
        <f>"$ 139"</f>
        <v>$ 139</v>
      </c>
      <c r="F11578">
        <v>89</v>
      </c>
    </row>
    <row r="11579" spans="1:6">
      <c r="A11579" t="s">
        <v>8277</v>
      </c>
      <c r="B11579" t="str">
        <f t="shared" si="408"/>
        <v>0.00002%</v>
      </c>
      <c r="C11579" t="s">
        <v>10</v>
      </c>
      <c r="D11579" t="s">
        <v>10</v>
      </c>
      <c r="E11579" t="str">
        <f>"$ 191"</f>
        <v>$ 191</v>
      </c>
      <c r="F11579">
        <v>116</v>
      </c>
    </row>
    <row r="11580" spans="1:6">
      <c r="A11580" t="s">
        <v>11188</v>
      </c>
      <c r="B11580" t="str">
        <f t="shared" si="408"/>
        <v>0.00002%</v>
      </c>
      <c r="C11580" t="s">
        <v>10</v>
      </c>
      <c r="D11580" t="s">
        <v>10</v>
      </c>
      <c r="E11580" t="str">
        <f>"$ 136"</f>
        <v>$ 136</v>
      </c>
      <c r="F11580">
        <v>149</v>
      </c>
    </row>
    <row r="11581" spans="1:6">
      <c r="A11581" t="s">
        <v>11189</v>
      </c>
      <c r="B11581" t="str">
        <f t="shared" si="408"/>
        <v>0.00002%</v>
      </c>
      <c r="C11581" t="s">
        <v>10</v>
      </c>
      <c r="D11581" t="s">
        <v>10</v>
      </c>
      <c r="E11581" t="str">
        <f>"$ 125"</f>
        <v>$ 125</v>
      </c>
      <c r="F11581">
        <v>66</v>
      </c>
    </row>
    <row r="11582" spans="1:6">
      <c r="A11582" t="s">
        <v>11190</v>
      </c>
      <c r="B11582" t="str">
        <f t="shared" si="408"/>
        <v>0.00002%</v>
      </c>
      <c r="C11582" t="s">
        <v>10</v>
      </c>
      <c r="D11582" t="s">
        <v>10</v>
      </c>
      <c r="E11582" t="str">
        <f>"$ 169"</f>
        <v>$ 169</v>
      </c>
      <c r="F11582">
        <v>87</v>
      </c>
    </row>
    <row r="11583" spans="1:6">
      <c r="A11583" t="s">
        <v>11190</v>
      </c>
      <c r="B11583" t="str">
        <f t="shared" si="408"/>
        <v>0.00002%</v>
      </c>
      <c r="C11583" t="s">
        <v>10</v>
      </c>
      <c r="D11583" t="s">
        <v>10</v>
      </c>
      <c r="E11583" t="str">
        <f>"$ 132"</f>
        <v>$ 132</v>
      </c>
      <c r="F11583">
        <v>68</v>
      </c>
    </row>
    <row r="11584" spans="1:6">
      <c r="A11584" t="s">
        <v>11191</v>
      </c>
      <c r="B11584" t="str">
        <f t="shared" si="408"/>
        <v>0.00002%</v>
      </c>
      <c r="C11584" t="s">
        <v>10</v>
      </c>
      <c r="D11584" t="s">
        <v>10</v>
      </c>
      <c r="E11584" t="str">
        <f>"$ 180"</f>
        <v>$ 180</v>
      </c>
      <c r="F11584">
        <v>338</v>
      </c>
    </row>
    <row r="11585" spans="1:6">
      <c r="A11585" t="s">
        <v>7164</v>
      </c>
      <c r="B11585" t="str">
        <f t="shared" si="408"/>
        <v>0.00002%</v>
      </c>
      <c r="C11585" t="s">
        <v>10</v>
      </c>
      <c r="D11585" t="s">
        <v>10</v>
      </c>
      <c r="E11585" t="str">
        <f>"$ 154"</f>
        <v>$ 154</v>
      </c>
      <c r="F11585">
        <v>76</v>
      </c>
    </row>
    <row r="11586" spans="1:6">
      <c r="A11586" t="s">
        <v>11192</v>
      </c>
      <c r="B11586" t="str">
        <f t="shared" si="408"/>
        <v>0.00002%</v>
      </c>
      <c r="C11586" t="s">
        <v>10</v>
      </c>
      <c r="D11586" t="s">
        <v>10</v>
      </c>
      <c r="E11586" t="str">
        <f>"$ 142"</f>
        <v>$ 142</v>
      </c>
      <c r="F11586">
        <v>7</v>
      </c>
    </row>
    <row r="11587" spans="1:6">
      <c r="A11587" t="s">
        <v>11193</v>
      </c>
      <c r="B11587" t="str">
        <f t="shared" si="408"/>
        <v>0.00002%</v>
      </c>
      <c r="C11587" t="s">
        <v>10</v>
      </c>
      <c r="D11587" t="s">
        <v>10</v>
      </c>
      <c r="E11587" t="str">
        <f>"$ 187"</f>
        <v>$ 187</v>
      </c>
      <c r="F11587">
        <v>27</v>
      </c>
    </row>
    <row r="11588" spans="1:6">
      <c r="A11588" t="s">
        <v>8524</v>
      </c>
      <c r="B11588" t="str">
        <f t="shared" si="408"/>
        <v>0.00002%</v>
      </c>
      <c r="C11588" t="s">
        <v>10</v>
      </c>
      <c r="D11588" t="s">
        <v>10</v>
      </c>
      <c r="E11588" t="str">
        <f>"$ 179"</f>
        <v>$ 179</v>
      </c>
      <c r="F11588">
        <v>142</v>
      </c>
    </row>
    <row r="11589" spans="1:6">
      <c r="A11589" t="s">
        <v>11194</v>
      </c>
      <c r="B11589" t="str">
        <f t="shared" si="408"/>
        <v>0.00002%</v>
      </c>
      <c r="C11589" t="s">
        <v>10</v>
      </c>
      <c r="D11589" t="s">
        <v>10</v>
      </c>
      <c r="E11589" t="str">
        <f>"$ 143"</f>
        <v>$ 143</v>
      </c>
      <c r="F11589">
        <v>160</v>
      </c>
    </row>
    <row r="11590" spans="1:6">
      <c r="A11590" t="s">
        <v>11195</v>
      </c>
      <c r="B11590" t="str">
        <f t="shared" si="408"/>
        <v>0.00002%</v>
      </c>
      <c r="C11590" t="s">
        <v>10</v>
      </c>
      <c r="D11590" t="s">
        <v>10</v>
      </c>
      <c r="E11590" t="str">
        <f>"$ 176"</f>
        <v>$ 176</v>
      </c>
      <c r="F11590">
        <v>102</v>
      </c>
    </row>
    <row r="11591" spans="1:6">
      <c r="A11591" t="s">
        <v>11196</v>
      </c>
      <c r="B11591" t="str">
        <f t="shared" si="408"/>
        <v>0.00002%</v>
      </c>
      <c r="C11591" t="s">
        <v>10</v>
      </c>
      <c r="D11591" t="s">
        <v>10</v>
      </c>
      <c r="E11591" t="str">
        <f>"$ 136"</f>
        <v>$ 136</v>
      </c>
      <c r="F11591">
        <v>356</v>
      </c>
    </row>
    <row r="11592" spans="1:6">
      <c r="A11592" t="s">
        <v>11197</v>
      </c>
      <c r="B11592" t="str">
        <f t="shared" si="408"/>
        <v>0.00002%</v>
      </c>
      <c r="C11592" t="s">
        <v>10</v>
      </c>
      <c r="D11592" t="s">
        <v>10</v>
      </c>
      <c r="E11592" t="str">
        <f>"$ 133"</f>
        <v>$ 133</v>
      </c>
      <c r="F11592">
        <v>182</v>
      </c>
    </row>
    <row r="11593" spans="1:6">
      <c r="A11593" t="s">
        <v>10940</v>
      </c>
      <c r="B11593" t="str">
        <f t="shared" si="408"/>
        <v>0.00002%</v>
      </c>
      <c r="C11593" t="s">
        <v>10</v>
      </c>
      <c r="D11593" t="s">
        <v>10</v>
      </c>
      <c r="E11593" t="str">
        <f>"$ 119"</f>
        <v>$ 119</v>
      </c>
      <c r="F11593">
        <v>122</v>
      </c>
    </row>
    <row r="11594" spans="1:6">
      <c r="A11594" t="s">
        <v>10665</v>
      </c>
      <c r="B11594" t="str">
        <f t="shared" si="408"/>
        <v>0.00002%</v>
      </c>
      <c r="C11594" t="s">
        <v>10</v>
      </c>
      <c r="D11594" t="s">
        <v>10</v>
      </c>
      <c r="E11594" t="str">
        <f>"$ 127"</f>
        <v>$ 127</v>
      </c>
      <c r="F11594">
        <v>114</v>
      </c>
    </row>
    <row r="11595" spans="1:6">
      <c r="A11595" t="s">
        <v>10942</v>
      </c>
      <c r="B11595" t="str">
        <f t="shared" si="408"/>
        <v>0.00002%</v>
      </c>
      <c r="C11595" t="s">
        <v>10</v>
      </c>
      <c r="D11595" t="s">
        <v>10</v>
      </c>
      <c r="E11595" t="str">
        <f>"$ 143"</f>
        <v>$ 143</v>
      </c>
      <c r="F11595">
        <v>44</v>
      </c>
    </row>
    <row r="11596" spans="1:6">
      <c r="A11596" t="s">
        <v>10395</v>
      </c>
      <c r="B11596" t="str">
        <f t="shared" si="408"/>
        <v>0.00002%</v>
      </c>
      <c r="C11596" t="s">
        <v>10</v>
      </c>
      <c r="D11596" t="s">
        <v>10</v>
      </c>
      <c r="E11596" t="str">
        <f>"$ 191"</f>
        <v>$ 191</v>
      </c>
      <c r="F11596">
        <v>156</v>
      </c>
    </row>
    <row r="11597" spans="1:6">
      <c r="A11597" t="s">
        <v>9663</v>
      </c>
      <c r="B11597" t="str">
        <f t="shared" si="408"/>
        <v>0.00002%</v>
      </c>
      <c r="C11597" t="s">
        <v>10</v>
      </c>
      <c r="D11597" t="s">
        <v>10</v>
      </c>
      <c r="E11597" t="str">
        <f>"$ 149"</f>
        <v>$ 149</v>
      </c>
      <c r="F11597">
        <v>155</v>
      </c>
    </row>
    <row r="11598" spans="1:6">
      <c r="A11598" t="s">
        <v>11198</v>
      </c>
      <c r="B11598" t="str">
        <f t="shared" si="408"/>
        <v>0.00002%</v>
      </c>
      <c r="C11598" t="s">
        <v>10</v>
      </c>
      <c r="D11598" t="s">
        <v>10</v>
      </c>
      <c r="E11598" t="str">
        <f>"$ 180"</f>
        <v>$ 180</v>
      </c>
      <c r="F11598">
        <v>214</v>
      </c>
    </row>
    <row r="11599" spans="1:6">
      <c r="A11599" t="s">
        <v>11199</v>
      </c>
      <c r="B11599" t="str">
        <f t="shared" si="408"/>
        <v>0.00002%</v>
      </c>
      <c r="C11599" t="s">
        <v>10</v>
      </c>
      <c r="D11599" t="s">
        <v>10</v>
      </c>
      <c r="E11599" t="str">
        <f>"$ 128"</f>
        <v>$ 128</v>
      </c>
      <c r="F11599">
        <v>133</v>
      </c>
    </row>
    <row r="11600" spans="1:6">
      <c r="A11600" t="s">
        <v>9462</v>
      </c>
      <c r="B11600" t="str">
        <f t="shared" si="408"/>
        <v>0.00002%</v>
      </c>
      <c r="C11600" t="s">
        <v>10</v>
      </c>
      <c r="D11600" t="s">
        <v>10</v>
      </c>
      <c r="E11600" t="str">
        <f>"$ 156"</f>
        <v>$ 156</v>
      </c>
      <c r="F11600">
        <v>122</v>
      </c>
    </row>
    <row r="11601" spans="1:6">
      <c r="A11601" t="s">
        <v>10951</v>
      </c>
      <c r="B11601" t="str">
        <f t="shared" si="408"/>
        <v>0.00002%</v>
      </c>
      <c r="C11601" t="s">
        <v>10</v>
      </c>
      <c r="D11601" t="s">
        <v>10</v>
      </c>
      <c r="E11601" t="str">
        <f>"$ 182"</f>
        <v>$ 182</v>
      </c>
      <c r="F11601">
        <v>107</v>
      </c>
    </row>
    <row r="11602" spans="1:6">
      <c r="A11602" t="s">
        <v>11200</v>
      </c>
      <c r="B11602" t="str">
        <f t="shared" si="408"/>
        <v>0.00002%</v>
      </c>
      <c r="C11602" t="s">
        <v>10</v>
      </c>
      <c r="D11602" t="s">
        <v>10</v>
      </c>
      <c r="E11602" t="str">
        <f>"$ 166"</f>
        <v>$ 166</v>
      </c>
      <c r="F11602">
        <v>68</v>
      </c>
    </row>
    <row r="11603" spans="1:6">
      <c r="A11603" t="s">
        <v>11201</v>
      </c>
      <c r="B11603" t="str">
        <f t="shared" si="408"/>
        <v>0.00002%</v>
      </c>
      <c r="C11603" t="s">
        <v>10</v>
      </c>
      <c r="D11603" t="s">
        <v>10</v>
      </c>
      <c r="E11603" t="str">
        <f>"$ 185"</f>
        <v>$ 185</v>
      </c>
      <c r="F11603">
        <v>5</v>
      </c>
    </row>
    <row r="11604" spans="1:6">
      <c r="A11604" t="s">
        <v>11202</v>
      </c>
      <c r="B11604" t="str">
        <f t="shared" si="408"/>
        <v>0.00002%</v>
      </c>
      <c r="C11604" t="s">
        <v>10</v>
      </c>
      <c r="D11604" t="s">
        <v>10</v>
      </c>
      <c r="E11604" t="str">
        <f>"$ 188"</f>
        <v>$ 188</v>
      </c>
      <c r="F11604">
        <v>13</v>
      </c>
    </row>
    <row r="11605" spans="1:6">
      <c r="A11605" t="s">
        <v>11203</v>
      </c>
      <c r="B11605" t="str">
        <f t="shared" si="408"/>
        <v>0.00002%</v>
      </c>
      <c r="C11605" t="s">
        <v>10</v>
      </c>
      <c r="D11605" t="s">
        <v>10</v>
      </c>
      <c r="E11605" t="str">
        <f>"$ 148"</f>
        <v>$ 148</v>
      </c>
      <c r="F11605">
        <v>10</v>
      </c>
    </row>
    <row r="11606" spans="1:6">
      <c r="A11606" t="s">
        <v>11204</v>
      </c>
      <c r="B11606" t="str">
        <f t="shared" si="408"/>
        <v>0.00002%</v>
      </c>
      <c r="C11606" t="s">
        <v>10</v>
      </c>
      <c r="D11606" t="s">
        <v>10</v>
      </c>
      <c r="E11606" t="str">
        <f>"$ 127"</f>
        <v>$ 127</v>
      </c>
      <c r="F11606">
        <v>99</v>
      </c>
    </row>
    <row r="11607" spans="1:6">
      <c r="A11607" t="s">
        <v>11205</v>
      </c>
      <c r="B11607" t="str">
        <f t="shared" si="408"/>
        <v>0.00002%</v>
      </c>
      <c r="C11607" t="s">
        <v>10</v>
      </c>
      <c r="D11607" t="s">
        <v>10</v>
      </c>
      <c r="E11607" t="str">
        <f>"$ 120"</f>
        <v>$ 120</v>
      </c>
      <c r="F11607">
        <v>9</v>
      </c>
    </row>
    <row r="11608" spans="1:6">
      <c r="A11608" t="s">
        <v>11206</v>
      </c>
      <c r="B11608" t="str">
        <f t="shared" si="408"/>
        <v>0.00002%</v>
      </c>
      <c r="C11608" t="s">
        <v>10</v>
      </c>
      <c r="D11608" t="s">
        <v>10</v>
      </c>
      <c r="E11608" t="str">
        <f>"$ 121"</f>
        <v>$ 121</v>
      </c>
      <c r="F11608">
        <v>6</v>
      </c>
    </row>
    <row r="11609" spans="1:6">
      <c r="A11609" t="s">
        <v>11207</v>
      </c>
      <c r="B11609" t="str">
        <f t="shared" si="408"/>
        <v>0.00002%</v>
      </c>
      <c r="C11609" t="s">
        <v>10</v>
      </c>
      <c r="D11609" t="s">
        <v>10</v>
      </c>
      <c r="E11609" t="str">
        <f>"$ 124"</f>
        <v>$ 124</v>
      </c>
      <c r="F11609">
        <v>8</v>
      </c>
    </row>
    <row r="11610" spans="1:6">
      <c r="A11610" t="s">
        <v>11208</v>
      </c>
      <c r="B11610" t="str">
        <f t="shared" si="408"/>
        <v>0.00002%</v>
      </c>
      <c r="C11610" t="s">
        <v>10</v>
      </c>
      <c r="D11610" t="s">
        <v>10</v>
      </c>
      <c r="E11610" t="str">
        <f>"$ 116"</f>
        <v>$ 116</v>
      </c>
      <c r="F11610">
        <v>6</v>
      </c>
    </row>
    <row r="11611" spans="1:6">
      <c r="A11611" t="s">
        <v>11209</v>
      </c>
      <c r="B11611" t="str">
        <f t="shared" si="408"/>
        <v>0.00002%</v>
      </c>
      <c r="C11611" t="s">
        <v>10</v>
      </c>
      <c r="D11611" t="s">
        <v>10</v>
      </c>
      <c r="E11611" t="str">
        <f>"$ 146"</f>
        <v>$ 146</v>
      </c>
      <c r="F11611">
        <v>5</v>
      </c>
    </row>
    <row r="11612" spans="1:6">
      <c r="A11612" t="s">
        <v>11210</v>
      </c>
      <c r="B11612" t="str">
        <f t="shared" si="408"/>
        <v>0.00002%</v>
      </c>
      <c r="C11612" t="s">
        <v>10</v>
      </c>
      <c r="D11612" t="s">
        <v>10</v>
      </c>
      <c r="E11612" t="str">
        <f>"$ 168"</f>
        <v>$ 168</v>
      </c>
      <c r="F11612">
        <v>192</v>
      </c>
    </row>
    <row r="11613" spans="1:6">
      <c r="A11613" t="s">
        <v>11211</v>
      </c>
      <c r="B11613" t="str">
        <f t="shared" si="408"/>
        <v>0.00002%</v>
      </c>
      <c r="C11613" t="s">
        <v>10</v>
      </c>
      <c r="D11613" t="s">
        <v>10</v>
      </c>
      <c r="E11613" t="str">
        <f>"$ 124"</f>
        <v>$ 124</v>
      </c>
      <c r="F11613">
        <v>12</v>
      </c>
    </row>
    <row r="11614" spans="1:6">
      <c r="A11614" t="s">
        <v>5966</v>
      </c>
      <c r="B11614" t="str">
        <f t="shared" si="408"/>
        <v>0.00002%</v>
      </c>
      <c r="C11614" t="s">
        <v>10</v>
      </c>
      <c r="D11614" t="s">
        <v>10</v>
      </c>
      <c r="E11614" t="str">
        <f>"$ 161"</f>
        <v>$ 161</v>
      </c>
      <c r="F11614">
        <v>22</v>
      </c>
    </row>
    <row r="11615" spans="1:6">
      <c r="A11615" t="s">
        <v>9138</v>
      </c>
      <c r="B11615" t="str">
        <f t="shared" si="408"/>
        <v>0.00002%</v>
      </c>
      <c r="C11615" t="s">
        <v>10</v>
      </c>
      <c r="D11615" t="s">
        <v>10</v>
      </c>
      <c r="E11615" t="str">
        <f>"$ 143"</f>
        <v>$ 143</v>
      </c>
      <c r="F11615">
        <v>103</v>
      </c>
    </row>
    <row r="11616" spans="1:6">
      <c r="A11616" t="s">
        <v>11212</v>
      </c>
      <c r="B11616" t="str">
        <f t="shared" si="408"/>
        <v>0.00002%</v>
      </c>
      <c r="C11616" t="s">
        <v>10</v>
      </c>
      <c r="D11616" t="s">
        <v>10</v>
      </c>
      <c r="E11616" t="str">
        <f>"$ 124"</f>
        <v>$ 124</v>
      </c>
      <c r="F11616">
        <v>164</v>
      </c>
    </row>
    <row r="11617" spans="1:6">
      <c r="A11617" t="s">
        <v>11213</v>
      </c>
      <c r="B11617" t="str">
        <f t="shared" si="408"/>
        <v>0.00002%</v>
      </c>
      <c r="C11617" t="s">
        <v>10</v>
      </c>
      <c r="D11617" t="s">
        <v>10</v>
      </c>
      <c r="E11617" t="str">
        <f>"$ 117"</f>
        <v>$ 117</v>
      </c>
      <c r="F11617" s="1">
        <v>6689</v>
      </c>
    </row>
    <row r="11618" spans="1:6">
      <c r="A11618" t="s">
        <v>10159</v>
      </c>
      <c r="B11618" t="str">
        <f t="shared" si="408"/>
        <v>0.00002%</v>
      </c>
      <c r="C11618" t="s">
        <v>10</v>
      </c>
      <c r="D11618" t="s">
        <v>10</v>
      </c>
      <c r="E11618" t="str">
        <f>"$ 118"</f>
        <v>$ 118</v>
      </c>
      <c r="F11618">
        <v>168</v>
      </c>
    </row>
    <row r="11619" spans="1:6">
      <c r="A11619" t="s">
        <v>11214</v>
      </c>
      <c r="B11619" t="str">
        <f t="shared" si="408"/>
        <v>0.00002%</v>
      </c>
      <c r="C11619" t="s">
        <v>10</v>
      </c>
      <c r="D11619" t="s">
        <v>10</v>
      </c>
      <c r="E11619" t="str">
        <f>"$ 124"</f>
        <v>$ 124</v>
      </c>
      <c r="F11619">
        <v>236</v>
      </c>
    </row>
    <row r="11620" spans="1:6">
      <c r="A11620" t="s">
        <v>11215</v>
      </c>
      <c r="B11620" t="str">
        <f t="shared" ref="B11620:B11666" si="409">"0.00002%"</f>
        <v>0.00002%</v>
      </c>
      <c r="C11620" t="s">
        <v>10</v>
      </c>
      <c r="D11620" t="s">
        <v>10</v>
      </c>
      <c r="E11620" t="str">
        <f>"$ 192"</f>
        <v>$ 192</v>
      </c>
      <c r="F11620">
        <v>297</v>
      </c>
    </row>
    <row r="11621" spans="1:6">
      <c r="A11621" t="s">
        <v>11216</v>
      </c>
      <c r="B11621" t="str">
        <f t="shared" si="409"/>
        <v>0.00002%</v>
      </c>
      <c r="C11621" t="s">
        <v>10</v>
      </c>
      <c r="D11621" t="s">
        <v>10</v>
      </c>
      <c r="E11621" t="str">
        <f>"$ 141"</f>
        <v>$ 141</v>
      </c>
      <c r="F11621">
        <v>97</v>
      </c>
    </row>
    <row r="11622" spans="1:6">
      <c r="A11622" t="s">
        <v>11217</v>
      </c>
      <c r="B11622" t="str">
        <f t="shared" si="409"/>
        <v>0.00002%</v>
      </c>
      <c r="C11622" t="s">
        <v>10</v>
      </c>
      <c r="D11622" t="s">
        <v>10</v>
      </c>
      <c r="E11622" t="str">
        <f>"$ 143"</f>
        <v>$ 143</v>
      </c>
      <c r="F11622">
        <v>218</v>
      </c>
    </row>
    <row r="11623" spans="1:6">
      <c r="A11623" t="s">
        <v>11218</v>
      </c>
      <c r="B11623" t="str">
        <f t="shared" si="409"/>
        <v>0.00002%</v>
      </c>
      <c r="C11623" t="s">
        <v>10</v>
      </c>
      <c r="D11623" t="s">
        <v>10</v>
      </c>
      <c r="E11623" t="str">
        <f>"$ 168"</f>
        <v>$ 168</v>
      </c>
      <c r="F11623">
        <v>357</v>
      </c>
    </row>
    <row r="11624" spans="1:6">
      <c r="A11624" t="s">
        <v>9139</v>
      </c>
      <c r="B11624" t="str">
        <f t="shared" si="409"/>
        <v>0.00002%</v>
      </c>
      <c r="C11624" t="s">
        <v>10</v>
      </c>
      <c r="D11624" t="s">
        <v>10</v>
      </c>
      <c r="E11624" t="str">
        <f>"$ 170"</f>
        <v>$ 170</v>
      </c>
      <c r="F11624">
        <v>101</v>
      </c>
    </row>
    <row r="11625" spans="1:6">
      <c r="A11625" t="s">
        <v>11219</v>
      </c>
      <c r="B11625" t="str">
        <f t="shared" si="409"/>
        <v>0.00002%</v>
      </c>
      <c r="C11625" t="s">
        <v>10</v>
      </c>
      <c r="D11625" t="s">
        <v>10</v>
      </c>
      <c r="E11625" t="str">
        <f>"$ 179"</f>
        <v>$ 179</v>
      </c>
      <c r="F11625" s="1">
        <v>7612</v>
      </c>
    </row>
    <row r="11626" spans="1:6">
      <c r="A11626" t="s">
        <v>9682</v>
      </c>
      <c r="B11626" t="str">
        <f t="shared" si="409"/>
        <v>0.00002%</v>
      </c>
      <c r="C11626" t="s">
        <v>10</v>
      </c>
      <c r="D11626" t="s">
        <v>10</v>
      </c>
      <c r="E11626" t="str">
        <f>"$ 177"</f>
        <v>$ 177</v>
      </c>
      <c r="F11626">
        <v>158</v>
      </c>
    </row>
    <row r="11627" spans="1:6">
      <c r="A11627" t="s">
        <v>11220</v>
      </c>
      <c r="B11627" t="str">
        <f t="shared" si="409"/>
        <v>0.00002%</v>
      </c>
      <c r="C11627" t="s">
        <v>10</v>
      </c>
      <c r="D11627" t="s">
        <v>10</v>
      </c>
      <c r="E11627" t="str">
        <f>"$ 181"</f>
        <v>$ 181</v>
      </c>
      <c r="F11627">
        <v>194</v>
      </c>
    </row>
    <row r="11628" spans="1:6">
      <c r="A11628" t="s">
        <v>11221</v>
      </c>
      <c r="B11628" t="str">
        <f t="shared" si="409"/>
        <v>0.00002%</v>
      </c>
      <c r="C11628" t="s">
        <v>10</v>
      </c>
      <c r="D11628" t="s">
        <v>10</v>
      </c>
      <c r="E11628" t="str">
        <f>"$ 134"</f>
        <v>$ 134</v>
      </c>
      <c r="F11628">
        <v>159</v>
      </c>
    </row>
    <row r="11629" spans="1:6">
      <c r="A11629" t="s">
        <v>11220</v>
      </c>
      <c r="B11629" t="str">
        <f t="shared" si="409"/>
        <v>0.00002%</v>
      </c>
      <c r="C11629" t="s">
        <v>10</v>
      </c>
      <c r="D11629" t="s">
        <v>10</v>
      </c>
      <c r="E11629" t="str">
        <f>"$ 139"</f>
        <v>$ 139</v>
      </c>
      <c r="F11629">
        <v>149</v>
      </c>
    </row>
    <row r="11630" spans="1:6">
      <c r="A11630" t="s">
        <v>9309</v>
      </c>
      <c r="B11630" t="str">
        <f t="shared" si="409"/>
        <v>0.00002%</v>
      </c>
      <c r="C11630" t="s">
        <v>10</v>
      </c>
      <c r="D11630" t="s">
        <v>10</v>
      </c>
      <c r="E11630" t="str">
        <f>"$ 182"</f>
        <v>$ 182</v>
      </c>
      <c r="F11630">
        <v>63</v>
      </c>
    </row>
    <row r="11631" spans="1:6">
      <c r="A11631" t="s">
        <v>10167</v>
      </c>
      <c r="B11631" t="str">
        <f t="shared" si="409"/>
        <v>0.00002%</v>
      </c>
      <c r="C11631" t="s">
        <v>10</v>
      </c>
      <c r="D11631" t="s">
        <v>10</v>
      </c>
      <c r="E11631" t="str">
        <f>"$ 168"</f>
        <v>$ 168</v>
      </c>
      <c r="F11631">
        <v>159</v>
      </c>
    </row>
    <row r="11632" spans="1:6">
      <c r="A11632" t="s">
        <v>11222</v>
      </c>
      <c r="B11632" t="str">
        <f t="shared" si="409"/>
        <v>0.00002%</v>
      </c>
      <c r="C11632" t="s">
        <v>10</v>
      </c>
      <c r="D11632" t="s">
        <v>10</v>
      </c>
      <c r="E11632" t="str">
        <f>"$ 188"</f>
        <v>$ 188</v>
      </c>
      <c r="F11632">
        <v>129</v>
      </c>
    </row>
    <row r="11633" spans="1:6">
      <c r="A11633" t="s">
        <v>11223</v>
      </c>
      <c r="B11633" t="str">
        <f t="shared" si="409"/>
        <v>0.00002%</v>
      </c>
      <c r="C11633" t="s">
        <v>10</v>
      </c>
      <c r="D11633" t="s">
        <v>10</v>
      </c>
      <c r="E11633" t="str">
        <f>"$ 117"</f>
        <v>$ 117</v>
      </c>
      <c r="F11633">
        <v>89</v>
      </c>
    </row>
    <row r="11634" spans="1:6">
      <c r="A11634" t="s">
        <v>11224</v>
      </c>
      <c r="B11634" t="str">
        <f t="shared" si="409"/>
        <v>0.00002%</v>
      </c>
      <c r="C11634" t="s">
        <v>10</v>
      </c>
      <c r="D11634" t="s">
        <v>10</v>
      </c>
      <c r="E11634" t="str">
        <f>"$ 125"</f>
        <v>$ 125</v>
      </c>
      <c r="F11634" s="1">
        <v>17128</v>
      </c>
    </row>
    <row r="11635" spans="1:6">
      <c r="A11635" t="s">
        <v>11225</v>
      </c>
      <c r="B11635" t="str">
        <f t="shared" si="409"/>
        <v>0.00002%</v>
      </c>
      <c r="C11635" t="s">
        <v>10</v>
      </c>
      <c r="D11635" t="s">
        <v>10</v>
      </c>
      <c r="E11635" t="str">
        <f>"$ 182"</f>
        <v>$ 182</v>
      </c>
      <c r="F11635">
        <v>430</v>
      </c>
    </row>
    <row r="11636" spans="1:6">
      <c r="A11636" t="s">
        <v>9316</v>
      </c>
      <c r="B11636" t="str">
        <f t="shared" si="409"/>
        <v>0.00002%</v>
      </c>
      <c r="C11636" t="s">
        <v>10</v>
      </c>
      <c r="D11636" t="s">
        <v>10</v>
      </c>
      <c r="E11636" t="str">
        <f>"$ 168"</f>
        <v>$ 168</v>
      </c>
      <c r="F11636">
        <v>77</v>
      </c>
    </row>
    <row r="11637" spans="1:6">
      <c r="A11637" t="s">
        <v>11226</v>
      </c>
      <c r="B11637" t="str">
        <f t="shared" si="409"/>
        <v>0.00002%</v>
      </c>
      <c r="C11637" t="s">
        <v>10</v>
      </c>
      <c r="D11637" t="s">
        <v>10</v>
      </c>
      <c r="E11637" t="str">
        <f>"$ 172"</f>
        <v>$ 172</v>
      </c>
      <c r="F11637">
        <v>405</v>
      </c>
    </row>
    <row r="11638" spans="1:6">
      <c r="A11638" t="s">
        <v>10171</v>
      </c>
      <c r="B11638" t="str">
        <f t="shared" si="409"/>
        <v>0.00002%</v>
      </c>
      <c r="C11638" t="s">
        <v>10</v>
      </c>
      <c r="D11638" t="s">
        <v>10</v>
      </c>
      <c r="E11638" t="str">
        <f>"$ 135"</f>
        <v>$ 135</v>
      </c>
      <c r="F11638">
        <v>122</v>
      </c>
    </row>
    <row r="11639" spans="1:6">
      <c r="A11639" t="s">
        <v>11227</v>
      </c>
      <c r="B11639" t="str">
        <f t="shared" si="409"/>
        <v>0.00002%</v>
      </c>
      <c r="C11639" t="s">
        <v>10</v>
      </c>
      <c r="D11639" t="s">
        <v>10</v>
      </c>
      <c r="E11639" t="str">
        <f>"$ 139"</f>
        <v>$ 139</v>
      </c>
      <c r="F11639">
        <v>30</v>
      </c>
    </row>
    <row r="11640" spans="1:6">
      <c r="A11640" t="s">
        <v>11228</v>
      </c>
      <c r="B11640" t="str">
        <f t="shared" si="409"/>
        <v>0.00002%</v>
      </c>
      <c r="C11640" t="s">
        <v>10</v>
      </c>
      <c r="D11640" t="s">
        <v>10</v>
      </c>
      <c r="E11640" t="str">
        <f>"$ 119"</f>
        <v>$ 119</v>
      </c>
      <c r="F11640">
        <v>3</v>
      </c>
    </row>
    <row r="11641" spans="1:6">
      <c r="A11641" t="s">
        <v>7593</v>
      </c>
      <c r="B11641" t="str">
        <f t="shared" si="409"/>
        <v>0.00002%</v>
      </c>
      <c r="C11641" t="s">
        <v>10</v>
      </c>
      <c r="D11641" t="s">
        <v>10</v>
      </c>
      <c r="E11641" t="str">
        <f>"$ 121"</f>
        <v>$ 121</v>
      </c>
      <c r="F11641">
        <v>19</v>
      </c>
    </row>
    <row r="11642" spans="1:6">
      <c r="A11642" t="s">
        <v>11229</v>
      </c>
      <c r="B11642" t="str">
        <f t="shared" si="409"/>
        <v>0.00002%</v>
      </c>
      <c r="C11642" t="s">
        <v>10</v>
      </c>
      <c r="D11642" t="s">
        <v>10</v>
      </c>
      <c r="E11642" t="str">
        <f>"$ 191"</f>
        <v>$ 191</v>
      </c>
      <c r="F11642">
        <v>11</v>
      </c>
    </row>
    <row r="11643" spans="1:6">
      <c r="A11643" t="s">
        <v>11230</v>
      </c>
      <c r="B11643" t="str">
        <f t="shared" si="409"/>
        <v>0.00002%</v>
      </c>
      <c r="C11643" t="s">
        <v>10</v>
      </c>
      <c r="D11643" t="s">
        <v>10</v>
      </c>
      <c r="E11643" t="str">
        <f>"$ 129"</f>
        <v>$ 129</v>
      </c>
      <c r="F11643">
        <v>118</v>
      </c>
    </row>
    <row r="11644" spans="1:6">
      <c r="A11644" t="s">
        <v>11231</v>
      </c>
      <c r="B11644" t="str">
        <f t="shared" si="409"/>
        <v>0.00002%</v>
      </c>
      <c r="C11644" t="s">
        <v>10</v>
      </c>
      <c r="D11644" t="s">
        <v>10</v>
      </c>
      <c r="E11644" t="str">
        <f>"$ 132"</f>
        <v>$ 132</v>
      </c>
      <c r="F11644">
        <v>221</v>
      </c>
    </row>
    <row r="11645" spans="1:6">
      <c r="A11645" t="s">
        <v>10698</v>
      </c>
      <c r="B11645" t="str">
        <f t="shared" si="409"/>
        <v>0.00002%</v>
      </c>
      <c r="C11645" t="s">
        <v>10</v>
      </c>
      <c r="D11645" t="s">
        <v>10</v>
      </c>
      <c r="E11645" t="str">
        <f>"$ 136"</f>
        <v>$ 136</v>
      </c>
      <c r="F11645">
        <v>66</v>
      </c>
    </row>
    <row r="11646" spans="1:6">
      <c r="A11646" t="s">
        <v>10426</v>
      </c>
      <c r="B11646" t="str">
        <f t="shared" si="409"/>
        <v>0.00002%</v>
      </c>
      <c r="C11646" t="s">
        <v>10</v>
      </c>
      <c r="D11646" t="s">
        <v>10</v>
      </c>
      <c r="E11646" t="str">
        <f>"$ 147"</f>
        <v>$ 147</v>
      </c>
      <c r="F11646">
        <v>87</v>
      </c>
    </row>
    <row r="11647" spans="1:6">
      <c r="A11647" t="s">
        <v>11232</v>
      </c>
      <c r="B11647" t="str">
        <f t="shared" si="409"/>
        <v>0.00002%</v>
      </c>
      <c r="C11647" t="s">
        <v>10</v>
      </c>
      <c r="D11647" t="s">
        <v>10</v>
      </c>
      <c r="E11647" t="str">
        <f>"$ 169"</f>
        <v>$ 169</v>
      </c>
      <c r="F11647">
        <v>27</v>
      </c>
    </row>
    <row r="11648" spans="1:6">
      <c r="A11648" t="s">
        <v>11233</v>
      </c>
      <c r="B11648" t="str">
        <f t="shared" si="409"/>
        <v>0.00002%</v>
      </c>
      <c r="C11648" t="s">
        <v>10</v>
      </c>
      <c r="D11648" t="s">
        <v>10</v>
      </c>
      <c r="E11648" t="str">
        <f>"$ 152"</f>
        <v>$ 152</v>
      </c>
      <c r="F11648">
        <v>19</v>
      </c>
    </row>
    <row r="11649" spans="1:6">
      <c r="A11649" t="s">
        <v>11234</v>
      </c>
      <c r="B11649" t="str">
        <f t="shared" si="409"/>
        <v>0.00002%</v>
      </c>
      <c r="C11649" t="s">
        <v>10</v>
      </c>
      <c r="D11649" t="s">
        <v>10</v>
      </c>
      <c r="E11649" t="str">
        <f>"$ 151"</f>
        <v>$ 151</v>
      </c>
      <c r="F11649">
        <v>105</v>
      </c>
    </row>
    <row r="11650" spans="1:6">
      <c r="A11650" t="s">
        <v>11235</v>
      </c>
      <c r="B11650" t="str">
        <f t="shared" si="409"/>
        <v>0.00002%</v>
      </c>
      <c r="C11650" t="s">
        <v>10</v>
      </c>
      <c r="D11650" t="s">
        <v>10</v>
      </c>
      <c r="E11650" t="str">
        <f>"$ 148"</f>
        <v>$ 148</v>
      </c>
      <c r="F11650">
        <v>108</v>
      </c>
    </row>
    <row r="11651" spans="1:6">
      <c r="A11651" t="s">
        <v>11236</v>
      </c>
      <c r="B11651" t="str">
        <f t="shared" si="409"/>
        <v>0.00002%</v>
      </c>
      <c r="C11651" t="s">
        <v>10</v>
      </c>
      <c r="D11651" t="s">
        <v>10</v>
      </c>
      <c r="E11651" t="str">
        <f>"$ 169"</f>
        <v>$ 169</v>
      </c>
      <c r="F11651">
        <v>15</v>
      </c>
    </row>
    <row r="11652" spans="1:6">
      <c r="A11652" t="s">
        <v>10436</v>
      </c>
      <c r="B11652" t="str">
        <f t="shared" si="409"/>
        <v>0.00002%</v>
      </c>
      <c r="C11652" t="s">
        <v>10</v>
      </c>
      <c r="D11652" t="s">
        <v>10</v>
      </c>
      <c r="E11652" t="str">
        <f>"$ 177"</f>
        <v>$ 177</v>
      </c>
      <c r="F11652">
        <v>94</v>
      </c>
    </row>
    <row r="11653" spans="1:6">
      <c r="A11653" t="s">
        <v>11237</v>
      </c>
      <c r="B11653" t="str">
        <f t="shared" si="409"/>
        <v>0.00002%</v>
      </c>
      <c r="C11653" t="s">
        <v>10</v>
      </c>
      <c r="D11653" t="s">
        <v>10</v>
      </c>
      <c r="E11653" t="str">
        <f>"$ 143"</f>
        <v>$ 143</v>
      </c>
      <c r="F11653">
        <v>42</v>
      </c>
    </row>
    <row r="11654" spans="1:6">
      <c r="A11654" t="s">
        <v>11238</v>
      </c>
      <c r="B11654" t="str">
        <f t="shared" si="409"/>
        <v>0.00002%</v>
      </c>
      <c r="C11654" t="s">
        <v>10</v>
      </c>
      <c r="D11654" t="s">
        <v>10</v>
      </c>
      <c r="E11654" t="str">
        <f>"$ 131"</f>
        <v>$ 131</v>
      </c>
      <c r="F11654">
        <v>98</v>
      </c>
    </row>
    <row r="11655" spans="1:6">
      <c r="A11655" t="s">
        <v>11239</v>
      </c>
      <c r="B11655" t="str">
        <f t="shared" si="409"/>
        <v>0.00002%</v>
      </c>
      <c r="C11655" t="s">
        <v>10</v>
      </c>
      <c r="D11655" t="s">
        <v>10</v>
      </c>
      <c r="E11655" t="str">
        <f>"$ 121"</f>
        <v>$ 121</v>
      </c>
      <c r="F11655">
        <v>64</v>
      </c>
    </row>
    <row r="11656" spans="1:6">
      <c r="A11656" t="s">
        <v>11240</v>
      </c>
      <c r="B11656" t="str">
        <f t="shared" si="409"/>
        <v>0.00002%</v>
      </c>
      <c r="C11656" t="s">
        <v>10</v>
      </c>
      <c r="D11656" t="s">
        <v>10</v>
      </c>
      <c r="E11656" t="str">
        <f>"$ 128"</f>
        <v>$ 128</v>
      </c>
      <c r="F11656">
        <v>50</v>
      </c>
    </row>
    <row r="11657" spans="1:6">
      <c r="A11657" t="s">
        <v>11241</v>
      </c>
      <c r="B11657" t="str">
        <f t="shared" si="409"/>
        <v>0.00002%</v>
      </c>
      <c r="C11657" t="s">
        <v>10</v>
      </c>
      <c r="D11657" t="s">
        <v>10</v>
      </c>
      <c r="E11657" t="str">
        <f>"$ 153"</f>
        <v>$ 153</v>
      </c>
      <c r="F11657">
        <v>35</v>
      </c>
    </row>
    <row r="11658" spans="1:6">
      <c r="A11658" t="s">
        <v>10184</v>
      </c>
      <c r="B11658" t="str">
        <f t="shared" si="409"/>
        <v>0.00002%</v>
      </c>
      <c r="C11658" t="s">
        <v>10</v>
      </c>
      <c r="D11658" t="s">
        <v>10</v>
      </c>
      <c r="E11658" t="str">
        <f>"$ 130"</f>
        <v>$ 130</v>
      </c>
      <c r="F11658">
        <v>194</v>
      </c>
    </row>
    <row r="11659" spans="1:6">
      <c r="A11659" t="s">
        <v>11242</v>
      </c>
      <c r="B11659" t="str">
        <f t="shared" si="409"/>
        <v>0.00002%</v>
      </c>
      <c r="C11659" t="s">
        <v>10</v>
      </c>
      <c r="D11659" t="s">
        <v>10</v>
      </c>
      <c r="E11659" t="str">
        <f>"$ 152"</f>
        <v>$ 152</v>
      </c>
      <c r="F11659">
        <v>97</v>
      </c>
    </row>
    <row r="11660" spans="1:6">
      <c r="A11660" t="s">
        <v>10713</v>
      </c>
      <c r="B11660" t="str">
        <f t="shared" si="409"/>
        <v>0.00002%</v>
      </c>
      <c r="C11660" t="s">
        <v>10</v>
      </c>
      <c r="D11660" t="s">
        <v>10</v>
      </c>
      <c r="E11660" t="str">
        <f>"$ 140"</f>
        <v>$ 140</v>
      </c>
      <c r="F11660">
        <v>52</v>
      </c>
    </row>
    <row r="11661" spans="1:6">
      <c r="A11661" t="s">
        <v>10712</v>
      </c>
      <c r="B11661" t="str">
        <f t="shared" si="409"/>
        <v>0.00002%</v>
      </c>
      <c r="C11661" t="s">
        <v>10</v>
      </c>
      <c r="D11661" t="s">
        <v>10</v>
      </c>
      <c r="E11661" t="str">
        <f>"$ 149"</f>
        <v>$ 149</v>
      </c>
      <c r="F11661">
        <v>88</v>
      </c>
    </row>
    <row r="11662" spans="1:6">
      <c r="A11662" t="s">
        <v>11243</v>
      </c>
      <c r="B11662" t="str">
        <f t="shared" si="409"/>
        <v>0.00002%</v>
      </c>
      <c r="C11662" t="s">
        <v>10</v>
      </c>
      <c r="D11662" t="s">
        <v>10</v>
      </c>
      <c r="E11662" t="str">
        <f>"$ 167"</f>
        <v>$ 167</v>
      </c>
      <c r="F11662">
        <v>118</v>
      </c>
    </row>
    <row r="11663" spans="1:6">
      <c r="A11663" t="s">
        <v>11244</v>
      </c>
      <c r="B11663" t="str">
        <f t="shared" si="409"/>
        <v>0.00002%</v>
      </c>
      <c r="C11663" t="s">
        <v>10</v>
      </c>
      <c r="D11663" t="s">
        <v>10</v>
      </c>
      <c r="E11663" t="str">
        <f>"$ 164"</f>
        <v>$ 164</v>
      </c>
      <c r="F11663">
        <v>30</v>
      </c>
    </row>
    <row r="11664" spans="1:6">
      <c r="A11664" t="s">
        <v>11245</v>
      </c>
      <c r="B11664" t="str">
        <f t="shared" si="409"/>
        <v>0.00002%</v>
      </c>
      <c r="C11664" t="s">
        <v>10</v>
      </c>
      <c r="D11664" t="s">
        <v>10</v>
      </c>
      <c r="E11664" t="str">
        <f>"$ 137"</f>
        <v>$ 137</v>
      </c>
      <c r="F11664">
        <v>48</v>
      </c>
    </row>
    <row r="11665" spans="1:6">
      <c r="A11665" t="s">
        <v>10453</v>
      </c>
      <c r="B11665" t="str">
        <f t="shared" si="409"/>
        <v>0.00002%</v>
      </c>
      <c r="C11665" t="s">
        <v>10</v>
      </c>
      <c r="D11665" t="s">
        <v>10</v>
      </c>
      <c r="E11665" t="str">
        <f>"$ 130"</f>
        <v>$ 130</v>
      </c>
      <c r="F11665">
        <v>45</v>
      </c>
    </row>
    <row r="11666" spans="1:6">
      <c r="A11666" t="s">
        <v>11246</v>
      </c>
      <c r="B11666" t="str">
        <f t="shared" si="409"/>
        <v>0.00002%</v>
      </c>
      <c r="C11666" t="s">
        <v>10</v>
      </c>
      <c r="D11666" t="s">
        <v>10</v>
      </c>
      <c r="E11666" t="str">
        <f>"$ 122"</f>
        <v>$ 122</v>
      </c>
      <c r="F11666">
        <v>37</v>
      </c>
    </row>
    <row r="11667" spans="1:6">
      <c r="A11667" t="s">
        <v>11247</v>
      </c>
      <c r="B11667" t="str">
        <f t="shared" ref="B11667:B11730" si="410">"0.00001%"</f>
        <v>0.00001%</v>
      </c>
      <c r="C11667" t="s">
        <v>10</v>
      </c>
      <c r="D11667" t="s">
        <v>10</v>
      </c>
      <c r="E11667" t="str">
        <f>"$ 60"</f>
        <v>$ 60</v>
      </c>
      <c r="F11667">
        <v>80</v>
      </c>
    </row>
    <row r="11668" spans="1:6">
      <c r="A11668" t="s">
        <v>11248</v>
      </c>
      <c r="B11668" t="str">
        <f t="shared" si="410"/>
        <v>0.00001%</v>
      </c>
      <c r="C11668" t="s">
        <v>10</v>
      </c>
      <c r="D11668" t="s">
        <v>10</v>
      </c>
      <c r="E11668" t="str">
        <f>"$ 64"</f>
        <v>$ 64</v>
      </c>
      <c r="F11668">
        <v>218</v>
      </c>
    </row>
    <row r="11669" spans="1:6">
      <c r="A11669" t="s">
        <v>10458</v>
      </c>
      <c r="B11669" t="str">
        <f t="shared" si="410"/>
        <v>0.00001%</v>
      </c>
      <c r="C11669" t="s">
        <v>10</v>
      </c>
      <c r="D11669" t="s">
        <v>10</v>
      </c>
      <c r="E11669" t="str">
        <f>"$ 69"</f>
        <v>$ 69</v>
      </c>
      <c r="F11669">
        <v>41</v>
      </c>
    </row>
    <row r="11670" spans="1:6">
      <c r="A11670" t="s">
        <v>11249</v>
      </c>
      <c r="B11670" t="str">
        <f t="shared" si="410"/>
        <v>0.00001%</v>
      </c>
      <c r="C11670" t="s">
        <v>10</v>
      </c>
      <c r="D11670" t="s">
        <v>10</v>
      </c>
      <c r="E11670" t="str">
        <f>"$ 103"</f>
        <v>$ 103</v>
      </c>
      <c r="F11670">
        <v>56</v>
      </c>
    </row>
    <row r="11671" spans="1:6">
      <c r="A11671" t="s">
        <v>11250</v>
      </c>
      <c r="B11671" t="str">
        <f t="shared" si="410"/>
        <v>0.00001%</v>
      </c>
      <c r="C11671" t="s">
        <v>10</v>
      </c>
      <c r="D11671" t="s">
        <v>10</v>
      </c>
      <c r="E11671" t="str">
        <f>"$ 67"</f>
        <v>$ 67</v>
      </c>
      <c r="F11671">
        <v>54</v>
      </c>
    </row>
    <row r="11672" spans="1:6">
      <c r="A11672" t="s">
        <v>956</v>
      </c>
      <c r="B11672" t="str">
        <f t="shared" si="410"/>
        <v>0.00001%</v>
      </c>
      <c r="C11672" t="s">
        <v>10</v>
      </c>
      <c r="D11672" t="s">
        <v>10</v>
      </c>
      <c r="E11672" t="str">
        <f>"$ 45"</f>
        <v>$ 45</v>
      </c>
      <c r="F11672">
        <v>1</v>
      </c>
    </row>
    <row r="11673" spans="1:6">
      <c r="A11673" t="s">
        <v>11251</v>
      </c>
      <c r="B11673" t="str">
        <f t="shared" si="410"/>
        <v>0.00001%</v>
      </c>
      <c r="C11673" t="s">
        <v>10</v>
      </c>
      <c r="D11673" t="s">
        <v>10</v>
      </c>
      <c r="E11673" t="str">
        <f>"$ 96"</f>
        <v>$ 96</v>
      </c>
      <c r="F11673">
        <v>72</v>
      </c>
    </row>
    <row r="11674" spans="1:6">
      <c r="A11674" t="s">
        <v>11252</v>
      </c>
      <c r="B11674" t="str">
        <f t="shared" si="410"/>
        <v>0.00001%</v>
      </c>
      <c r="C11674" t="s">
        <v>10</v>
      </c>
      <c r="D11674" t="s">
        <v>10</v>
      </c>
      <c r="E11674" t="str">
        <f>"$ 75"</f>
        <v>$ 75</v>
      </c>
      <c r="F11674">
        <v>16</v>
      </c>
    </row>
    <row r="11675" spans="1:6">
      <c r="A11675" t="s">
        <v>11253</v>
      </c>
      <c r="B11675" t="str">
        <f t="shared" si="410"/>
        <v>0.00001%</v>
      </c>
      <c r="C11675" t="s">
        <v>10</v>
      </c>
      <c r="D11675" t="s">
        <v>10</v>
      </c>
      <c r="E11675" t="str">
        <f>"$ 76"</f>
        <v>$ 76</v>
      </c>
      <c r="F11675">
        <v>612</v>
      </c>
    </row>
    <row r="11676" spans="1:6">
      <c r="A11676" t="s">
        <v>9716</v>
      </c>
      <c r="B11676" t="str">
        <f t="shared" si="410"/>
        <v>0.00001%</v>
      </c>
      <c r="C11676" t="s">
        <v>10</v>
      </c>
      <c r="D11676" t="s">
        <v>10</v>
      </c>
      <c r="E11676" t="str">
        <f>"$ 104"</f>
        <v>$ 104</v>
      </c>
      <c r="F11676">
        <v>161</v>
      </c>
    </row>
    <row r="11677" spans="1:6">
      <c r="A11677" t="s">
        <v>11000</v>
      </c>
      <c r="B11677" t="str">
        <f t="shared" si="410"/>
        <v>0.00001%</v>
      </c>
      <c r="C11677" t="s">
        <v>10</v>
      </c>
      <c r="D11677" t="s">
        <v>10</v>
      </c>
      <c r="E11677" t="str">
        <f>"$ 46"</f>
        <v>$ 46</v>
      </c>
      <c r="F11677">
        <v>92</v>
      </c>
    </row>
    <row r="11678" spans="1:6">
      <c r="A11678" t="s">
        <v>11254</v>
      </c>
      <c r="B11678" t="str">
        <f t="shared" si="410"/>
        <v>0.00001%</v>
      </c>
      <c r="C11678" t="s">
        <v>10</v>
      </c>
      <c r="D11678" t="s">
        <v>10</v>
      </c>
      <c r="E11678" t="str">
        <f>"$ 93"</f>
        <v>$ 93</v>
      </c>
      <c r="F11678">
        <v>48</v>
      </c>
    </row>
    <row r="11679" spans="1:6">
      <c r="A11679" t="s">
        <v>10208</v>
      </c>
      <c r="B11679" t="str">
        <f t="shared" si="410"/>
        <v>0.00001%</v>
      </c>
      <c r="C11679" t="s">
        <v>10</v>
      </c>
      <c r="D11679" t="s">
        <v>10</v>
      </c>
      <c r="E11679" t="str">
        <f>"$ 105"</f>
        <v>$ 105</v>
      </c>
      <c r="F11679">
        <v>74</v>
      </c>
    </row>
    <row r="11680" spans="1:6">
      <c r="A11680" t="s">
        <v>9961</v>
      </c>
      <c r="B11680" t="str">
        <f t="shared" si="410"/>
        <v>0.00001%</v>
      </c>
      <c r="C11680" t="s">
        <v>10</v>
      </c>
      <c r="D11680" t="s">
        <v>10</v>
      </c>
      <c r="E11680" t="str">
        <f>"$ 40"</f>
        <v>$ 40</v>
      </c>
      <c r="F11680">
        <v>17</v>
      </c>
    </row>
    <row r="11681" spans="1:6">
      <c r="A11681" t="s">
        <v>11255</v>
      </c>
      <c r="B11681" t="str">
        <f t="shared" si="410"/>
        <v>0.00001%</v>
      </c>
      <c r="C11681" t="s">
        <v>10</v>
      </c>
      <c r="D11681" t="s">
        <v>10</v>
      </c>
      <c r="E11681" t="str">
        <f>"$ 53"</f>
        <v>$ 53</v>
      </c>
      <c r="F11681">
        <v>36</v>
      </c>
    </row>
    <row r="11682" spans="1:6">
      <c r="A11682" t="s">
        <v>11013</v>
      </c>
      <c r="B11682" t="str">
        <f t="shared" si="410"/>
        <v>0.00001%</v>
      </c>
      <c r="C11682" t="s">
        <v>10</v>
      </c>
      <c r="D11682" t="s">
        <v>10</v>
      </c>
      <c r="E11682" t="str">
        <f>"$ 111"</f>
        <v>$ 111</v>
      </c>
      <c r="F11682">
        <v>144</v>
      </c>
    </row>
    <row r="11683" spans="1:6">
      <c r="A11683" t="s">
        <v>10730</v>
      </c>
      <c r="B11683" t="str">
        <f t="shared" si="410"/>
        <v>0.00001%</v>
      </c>
      <c r="C11683" t="s">
        <v>10</v>
      </c>
      <c r="D11683" t="s">
        <v>10</v>
      </c>
      <c r="E11683" t="str">
        <f>"$ 114"</f>
        <v>$ 114</v>
      </c>
      <c r="F11683">
        <v>55</v>
      </c>
    </row>
    <row r="11684" spans="1:6">
      <c r="A11684" t="s">
        <v>11256</v>
      </c>
      <c r="B11684" t="str">
        <f t="shared" si="410"/>
        <v>0.00001%</v>
      </c>
      <c r="C11684" t="s">
        <v>10</v>
      </c>
      <c r="D11684" t="s">
        <v>10</v>
      </c>
      <c r="E11684" t="str">
        <f>"$ 89"</f>
        <v>$ 89</v>
      </c>
      <c r="F11684">
        <v>60</v>
      </c>
    </row>
    <row r="11685" spans="1:6">
      <c r="A11685" t="s">
        <v>11257</v>
      </c>
      <c r="B11685" t="str">
        <f t="shared" si="410"/>
        <v>0.00001%</v>
      </c>
      <c r="C11685" t="s">
        <v>10</v>
      </c>
      <c r="D11685" t="s">
        <v>10</v>
      </c>
      <c r="E11685" t="str">
        <f>"$ 104"</f>
        <v>$ 104</v>
      </c>
      <c r="F11685">
        <v>87</v>
      </c>
    </row>
    <row r="11686" spans="1:6">
      <c r="A11686" t="s">
        <v>11258</v>
      </c>
      <c r="B11686" t="str">
        <f t="shared" si="410"/>
        <v>0.00001%</v>
      </c>
      <c r="C11686" t="s">
        <v>10</v>
      </c>
      <c r="D11686" t="s">
        <v>10</v>
      </c>
      <c r="E11686" t="str">
        <f>"$ 100"</f>
        <v>$ 100</v>
      </c>
      <c r="F11686">
        <v>91</v>
      </c>
    </row>
    <row r="11687" spans="1:6">
      <c r="A11687" t="s">
        <v>11009</v>
      </c>
      <c r="B11687" t="str">
        <f t="shared" si="410"/>
        <v>0.00001%</v>
      </c>
      <c r="C11687" t="s">
        <v>10</v>
      </c>
      <c r="D11687" t="s">
        <v>10</v>
      </c>
      <c r="E11687" t="str">
        <f>"$ 69"</f>
        <v>$ 69</v>
      </c>
      <c r="F11687">
        <v>169</v>
      </c>
    </row>
    <row r="11688" spans="1:6">
      <c r="A11688" t="s">
        <v>10471</v>
      </c>
      <c r="B11688" t="str">
        <f t="shared" si="410"/>
        <v>0.00001%</v>
      </c>
      <c r="C11688" t="s">
        <v>10</v>
      </c>
      <c r="D11688" t="s">
        <v>10</v>
      </c>
      <c r="E11688" t="str">
        <f>"$ 86"</f>
        <v>$ 86</v>
      </c>
      <c r="F11688">
        <v>130</v>
      </c>
    </row>
    <row r="11689" spans="1:6">
      <c r="A11689" t="s">
        <v>11259</v>
      </c>
      <c r="B11689" t="str">
        <f t="shared" si="410"/>
        <v>0.00001%</v>
      </c>
      <c r="C11689" t="s">
        <v>10</v>
      </c>
      <c r="D11689" t="s">
        <v>10</v>
      </c>
      <c r="E11689" t="str">
        <f>"$ 71"</f>
        <v>$ 71</v>
      </c>
      <c r="F11689">
        <v>98</v>
      </c>
    </row>
    <row r="11690" spans="1:6">
      <c r="A11690" t="s">
        <v>11260</v>
      </c>
      <c r="B11690" t="str">
        <f t="shared" si="410"/>
        <v>0.00001%</v>
      </c>
      <c r="C11690" t="s">
        <v>10</v>
      </c>
      <c r="D11690" t="s">
        <v>10</v>
      </c>
      <c r="E11690" t="str">
        <f>"$ 46"</f>
        <v>$ 46</v>
      </c>
      <c r="F11690">
        <v>166</v>
      </c>
    </row>
    <row r="11691" spans="1:6">
      <c r="A11691" t="s">
        <v>7518</v>
      </c>
      <c r="B11691" t="str">
        <f t="shared" si="410"/>
        <v>0.00001%</v>
      </c>
      <c r="C11691" t="s">
        <v>10</v>
      </c>
      <c r="D11691" t="s">
        <v>10</v>
      </c>
      <c r="E11691" t="str">
        <f>"$ 49"</f>
        <v>$ 49</v>
      </c>
      <c r="F11691">
        <v>8</v>
      </c>
    </row>
    <row r="11692" spans="1:6">
      <c r="A11692" t="s">
        <v>11261</v>
      </c>
      <c r="B11692" t="str">
        <f t="shared" si="410"/>
        <v>0.00001%</v>
      </c>
      <c r="C11692" t="s">
        <v>10</v>
      </c>
      <c r="D11692" t="s">
        <v>10</v>
      </c>
      <c r="E11692" t="str">
        <f>"$ 88"</f>
        <v>$ 88</v>
      </c>
      <c r="F11692">
        <v>73</v>
      </c>
    </row>
    <row r="11693" spans="1:6">
      <c r="A11693" t="s">
        <v>11262</v>
      </c>
      <c r="B11693" t="str">
        <f t="shared" si="410"/>
        <v>0.00001%</v>
      </c>
      <c r="C11693" t="s">
        <v>10</v>
      </c>
      <c r="D11693" t="s">
        <v>10</v>
      </c>
      <c r="E11693" t="str">
        <f>"$ 91"</f>
        <v>$ 91</v>
      </c>
      <c r="F11693">
        <v>115</v>
      </c>
    </row>
    <row r="11694" spans="1:6">
      <c r="A11694" t="s">
        <v>11263</v>
      </c>
      <c r="B11694" t="str">
        <f t="shared" si="410"/>
        <v>0.00001%</v>
      </c>
      <c r="C11694" t="s">
        <v>10</v>
      </c>
      <c r="D11694" t="s">
        <v>10</v>
      </c>
      <c r="E11694" t="str">
        <f>"$ 94"</f>
        <v>$ 94</v>
      </c>
      <c r="F11694">
        <v>87</v>
      </c>
    </row>
    <row r="11695" spans="1:6">
      <c r="A11695" t="s">
        <v>11264</v>
      </c>
      <c r="B11695" t="str">
        <f t="shared" si="410"/>
        <v>0.00001%</v>
      </c>
      <c r="C11695" t="s">
        <v>10</v>
      </c>
      <c r="D11695" t="s">
        <v>10</v>
      </c>
      <c r="E11695" t="str">
        <f>"$ 108"</f>
        <v>$ 108</v>
      </c>
      <c r="F11695">
        <v>67</v>
      </c>
    </row>
    <row r="11696" spans="1:6">
      <c r="A11696" t="s">
        <v>10489</v>
      </c>
      <c r="B11696" t="str">
        <f t="shared" si="410"/>
        <v>0.00001%</v>
      </c>
      <c r="C11696" t="s">
        <v>10</v>
      </c>
      <c r="D11696" t="s">
        <v>10</v>
      </c>
      <c r="E11696" t="str">
        <f>"$ 48"</f>
        <v>$ 48</v>
      </c>
      <c r="F11696">
        <v>83</v>
      </c>
    </row>
    <row r="11697" spans="1:6">
      <c r="A11697" t="s">
        <v>10237</v>
      </c>
      <c r="B11697" t="str">
        <f t="shared" si="410"/>
        <v>0.00001%</v>
      </c>
      <c r="C11697" t="s">
        <v>10</v>
      </c>
      <c r="D11697" t="s">
        <v>10</v>
      </c>
      <c r="E11697" t="str">
        <f>"$ 55"</f>
        <v>$ 55</v>
      </c>
      <c r="F11697">
        <v>127</v>
      </c>
    </row>
    <row r="11698" spans="1:6">
      <c r="A11698" t="s">
        <v>11263</v>
      </c>
      <c r="B11698" t="str">
        <f t="shared" si="410"/>
        <v>0.00001%</v>
      </c>
      <c r="C11698" t="s">
        <v>10</v>
      </c>
      <c r="D11698" t="s">
        <v>10</v>
      </c>
      <c r="E11698" t="str">
        <f>"$ 60"</f>
        <v>$ 60</v>
      </c>
      <c r="F11698">
        <v>56</v>
      </c>
    </row>
    <row r="11699" spans="1:6">
      <c r="A11699" t="s">
        <v>11265</v>
      </c>
      <c r="B11699" t="str">
        <f t="shared" si="410"/>
        <v>0.00001%</v>
      </c>
      <c r="C11699" t="s">
        <v>10</v>
      </c>
      <c r="D11699" t="s">
        <v>10</v>
      </c>
      <c r="E11699" t="str">
        <f>"$ 97"</f>
        <v>$ 97</v>
      </c>
      <c r="F11699">
        <v>448</v>
      </c>
    </row>
    <row r="11700" spans="1:6">
      <c r="A11700" t="s">
        <v>11266</v>
      </c>
      <c r="B11700" t="str">
        <f t="shared" si="410"/>
        <v>0.00001%</v>
      </c>
      <c r="C11700" t="s">
        <v>10</v>
      </c>
      <c r="D11700" t="s">
        <v>10</v>
      </c>
      <c r="E11700" t="str">
        <f>"$ 103"</f>
        <v>$ 103</v>
      </c>
      <c r="F11700">
        <v>26</v>
      </c>
    </row>
    <row r="11701" spans="1:6">
      <c r="A11701" t="s">
        <v>11267</v>
      </c>
      <c r="B11701" t="str">
        <f t="shared" si="410"/>
        <v>0.00001%</v>
      </c>
      <c r="C11701" t="s">
        <v>10</v>
      </c>
      <c r="D11701" t="s">
        <v>10</v>
      </c>
      <c r="E11701" t="str">
        <f>"$ 84"</f>
        <v>$ 84</v>
      </c>
      <c r="F11701">
        <v>27</v>
      </c>
    </row>
    <row r="11702" spans="1:6">
      <c r="A11702" t="s">
        <v>9756</v>
      </c>
      <c r="B11702" t="str">
        <f t="shared" si="410"/>
        <v>0.00001%</v>
      </c>
      <c r="C11702" t="s">
        <v>10</v>
      </c>
      <c r="D11702" t="s">
        <v>10</v>
      </c>
      <c r="E11702" t="str">
        <f>"$ 58"</f>
        <v>$ 58</v>
      </c>
      <c r="F11702">
        <v>44</v>
      </c>
    </row>
    <row r="11703" spans="1:6">
      <c r="A11703" t="s">
        <v>10494</v>
      </c>
      <c r="B11703" t="str">
        <f t="shared" si="410"/>
        <v>0.00001%</v>
      </c>
      <c r="C11703" t="s">
        <v>10</v>
      </c>
      <c r="D11703" t="s">
        <v>10</v>
      </c>
      <c r="E11703" t="str">
        <f>"$ 46"</f>
        <v>$ 46</v>
      </c>
      <c r="F11703">
        <v>37</v>
      </c>
    </row>
    <row r="11704" spans="1:6">
      <c r="A11704" t="s">
        <v>8844</v>
      </c>
      <c r="B11704" t="str">
        <f t="shared" si="410"/>
        <v>0.00001%</v>
      </c>
      <c r="C11704" t="s">
        <v>10</v>
      </c>
      <c r="D11704" t="s">
        <v>10</v>
      </c>
      <c r="E11704" t="str">
        <f>"$ 43"</f>
        <v>$ 43</v>
      </c>
      <c r="F11704">
        <v>27</v>
      </c>
    </row>
    <row r="11705" spans="1:6">
      <c r="A11705" t="s">
        <v>10752</v>
      </c>
      <c r="B11705" t="str">
        <f t="shared" si="410"/>
        <v>0.00001%</v>
      </c>
      <c r="C11705" t="s">
        <v>10</v>
      </c>
      <c r="D11705" t="s">
        <v>10</v>
      </c>
      <c r="E11705" t="str">
        <f>"$ 46"</f>
        <v>$ 46</v>
      </c>
      <c r="F11705">
        <v>46</v>
      </c>
    </row>
    <row r="11706" spans="1:6">
      <c r="A11706" t="s">
        <v>11268</v>
      </c>
      <c r="B11706" t="str">
        <f t="shared" si="410"/>
        <v>0.00001%</v>
      </c>
      <c r="C11706" t="s">
        <v>10</v>
      </c>
      <c r="D11706" t="s">
        <v>10</v>
      </c>
      <c r="E11706" t="str">
        <f>"$ 80"</f>
        <v>$ 80</v>
      </c>
      <c r="F11706">
        <v>116</v>
      </c>
    </row>
    <row r="11707" spans="1:6">
      <c r="A11707" t="s">
        <v>10493</v>
      </c>
      <c r="B11707" t="str">
        <f t="shared" si="410"/>
        <v>0.00001%</v>
      </c>
      <c r="C11707" t="s">
        <v>10</v>
      </c>
      <c r="D11707" t="s">
        <v>10</v>
      </c>
      <c r="E11707" t="str">
        <f>"$ 103"</f>
        <v>$ 103</v>
      </c>
      <c r="F11707">
        <v>45</v>
      </c>
    </row>
    <row r="11708" spans="1:6">
      <c r="A11708" t="s">
        <v>11031</v>
      </c>
      <c r="B11708" t="str">
        <f t="shared" si="410"/>
        <v>0.00001%</v>
      </c>
      <c r="C11708" t="s">
        <v>10</v>
      </c>
      <c r="D11708" t="s">
        <v>10</v>
      </c>
      <c r="E11708" t="str">
        <f>"$ 63"</f>
        <v>$ 63</v>
      </c>
      <c r="F11708">
        <v>84</v>
      </c>
    </row>
    <row r="11709" spans="1:6">
      <c r="A11709" t="s">
        <v>11269</v>
      </c>
      <c r="B11709" t="str">
        <f t="shared" si="410"/>
        <v>0.00001%</v>
      </c>
      <c r="C11709" t="s">
        <v>10</v>
      </c>
      <c r="D11709" t="s">
        <v>10</v>
      </c>
      <c r="E11709" t="str">
        <f>"$ 88"</f>
        <v>$ 88</v>
      </c>
      <c r="F11709">
        <v>314</v>
      </c>
    </row>
    <row r="11710" spans="1:6">
      <c r="A11710" t="s">
        <v>11270</v>
      </c>
      <c r="B11710" t="str">
        <f t="shared" si="410"/>
        <v>0.00001%</v>
      </c>
      <c r="C11710" t="s">
        <v>10</v>
      </c>
      <c r="D11710" t="s">
        <v>10</v>
      </c>
      <c r="E11710" t="str">
        <f>"$ 59"</f>
        <v>$ 59</v>
      </c>
      <c r="F11710">
        <v>84</v>
      </c>
    </row>
    <row r="11711" spans="1:6">
      <c r="A11711" t="s">
        <v>10500</v>
      </c>
      <c r="B11711" t="str">
        <f t="shared" si="410"/>
        <v>0.00001%</v>
      </c>
      <c r="C11711" t="s">
        <v>10</v>
      </c>
      <c r="D11711" t="s">
        <v>10</v>
      </c>
      <c r="E11711" t="str">
        <f>"$ 66"</f>
        <v>$ 66</v>
      </c>
      <c r="F11711">
        <v>100</v>
      </c>
    </row>
    <row r="11712" spans="1:6">
      <c r="A11712" t="s">
        <v>8851</v>
      </c>
      <c r="B11712" t="str">
        <f t="shared" si="410"/>
        <v>0.00001%</v>
      </c>
      <c r="C11712" t="s">
        <v>10</v>
      </c>
      <c r="D11712" t="s">
        <v>10</v>
      </c>
      <c r="E11712" t="str">
        <f>"$ 43"</f>
        <v>$ 43</v>
      </c>
      <c r="F11712">
        <v>9</v>
      </c>
    </row>
    <row r="11713" spans="1:6">
      <c r="A11713" t="s">
        <v>11271</v>
      </c>
      <c r="B11713" t="str">
        <f t="shared" si="410"/>
        <v>0.00001%</v>
      </c>
      <c r="C11713" t="s">
        <v>10</v>
      </c>
      <c r="D11713" t="s">
        <v>10</v>
      </c>
      <c r="E11713" t="str">
        <f>"$ 55"</f>
        <v>$ 55</v>
      </c>
      <c r="F11713">
        <v>56</v>
      </c>
    </row>
    <row r="11714" spans="1:6">
      <c r="A11714" t="s">
        <v>11272</v>
      </c>
      <c r="B11714" t="str">
        <f t="shared" si="410"/>
        <v>0.00001%</v>
      </c>
      <c r="C11714" t="s">
        <v>10</v>
      </c>
      <c r="D11714" t="s">
        <v>10</v>
      </c>
      <c r="E11714" t="str">
        <f>"$ 53"</f>
        <v>$ 53</v>
      </c>
      <c r="F11714">
        <v>2</v>
      </c>
    </row>
    <row r="11715" spans="1:6">
      <c r="A11715" t="s">
        <v>11273</v>
      </c>
      <c r="B11715" t="str">
        <f t="shared" si="410"/>
        <v>0.00001%</v>
      </c>
      <c r="C11715" t="s">
        <v>10</v>
      </c>
      <c r="D11715" t="s">
        <v>10</v>
      </c>
      <c r="E11715" t="str">
        <f>"$ 50"</f>
        <v>$ 50</v>
      </c>
      <c r="F11715">
        <v>5</v>
      </c>
    </row>
    <row r="11716" spans="1:6">
      <c r="A11716" t="s">
        <v>11274</v>
      </c>
      <c r="B11716" t="str">
        <f t="shared" si="410"/>
        <v>0.00001%</v>
      </c>
      <c r="C11716" t="s">
        <v>10</v>
      </c>
      <c r="D11716" t="s">
        <v>10</v>
      </c>
      <c r="E11716" t="str">
        <f>"$ 64"</f>
        <v>$ 64</v>
      </c>
      <c r="F11716">
        <v>2</v>
      </c>
    </row>
    <row r="11717" spans="1:6">
      <c r="A11717" t="s">
        <v>10250</v>
      </c>
      <c r="B11717" t="str">
        <f t="shared" si="410"/>
        <v>0.00001%</v>
      </c>
      <c r="C11717" t="s">
        <v>10</v>
      </c>
      <c r="D11717" t="s">
        <v>10</v>
      </c>
      <c r="E11717" t="str">
        <f>"$ 81"</f>
        <v>$ 81</v>
      </c>
      <c r="F11717">
        <v>47</v>
      </c>
    </row>
    <row r="11718" spans="1:6">
      <c r="A11718" t="s">
        <v>7993</v>
      </c>
      <c r="B11718" t="str">
        <f t="shared" si="410"/>
        <v>0.00001%</v>
      </c>
      <c r="C11718" t="s">
        <v>10</v>
      </c>
      <c r="D11718" t="s">
        <v>10</v>
      </c>
      <c r="E11718" t="str">
        <f>"$ 108"</f>
        <v>$ 108</v>
      </c>
      <c r="F11718">
        <v>137</v>
      </c>
    </row>
    <row r="11719" spans="1:6">
      <c r="A11719" t="s">
        <v>9763</v>
      </c>
      <c r="B11719" t="str">
        <f t="shared" si="410"/>
        <v>0.00001%</v>
      </c>
      <c r="C11719" t="s">
        <v>10</v>
      </c>
      <c r="D11719" t="s">
        <v>10</v>
      </c>
      <c r="E11719" t="str">
        <f>"$ 108"</f>
        <v>$ 108</v>
      </c>
      <c r="F11719">
        <v>130</v>
      </c>
    </row>
    <row r="11720" spans="1:6">
      <c r="A11720" t="s">
        <v>11271</v>
      </c>
      <c r="B11720" t="str">
        <f t="shared" si="410"/>
        <v>0.00001%</v>
      </c>
      <c r="C11720" t="s">
        <v>10</v>
      </c>
      <c r="D11720" t="s">
        <v>10</v>
      </c>
      <c r="E11720" t="str">
        <f>"$ 112"</f>
        <v>$ 112</v>
      </c>
      <c r="F11720">
        <v>113</v>
      </c>
    </row>
    <row r="11721" spans="1:6">
      <c r="A11721" t="s">
        <v>10245</v>
      </c>
      <c r="B11721" t="str">
        <f t="shared" si="410"/>
        <v>0.00001%</v>
      </c>
      <c r="C11721" t="s">
        <v>10</v>
      </c>
      <c r="D11721" t="s">
        <v>10</v>
      </c>
      <c r="E11721" t="str">
        <f>"$ 75"</f>
        <v>$ 75</v>
      </c>
      <c r="F11721">
        <v>44</v>
      </c>
    </row>
    <row r="11722" spans="1:6">
      <c r="A11722" t="s">
        <v>11275</v>
      </c>
      <c r="B11722" t="str">
        <f t="shared" si="410"/>
        <v>0.00001%</v>
      </c>
      <c r="C11722" t="s">
        <v>10</v>
      </c>
      <c r="D11722" t="s">
        <v>10</v>
      </c>
      <c r="E11722" t="str">
        <f>"$ 84"</f>
        <v>$ 84</v>
      </c>
      <c r="F11722">
        <v>54</v>
      </c>
    </row>
    <row r="11723" spans="1:6">
      <c r="A11723" t="s">
        <v>10766</v>
      </c>
      <c r="B11723" t="str">
        <f t="shared" si="410"/>
        <v>0.00001%</v>
      </c>
      <c r="C11723" t="s">
        <v>10</v>
      </c>
      <c r="D11723" t="s">
        <v>10</v>
      </c>
      <c r="E11723" t="str">
        <f>"$ 91"</f>
        <v>$ 91</v>
      </c>
      <c r="F11723">
        <v>59</v>
      </c>
    </row>
    <row r="11724" spans="1:6">
      <c r="A11724" t="s">
        <v>11276</v>
      </c>
      <c r="B11724" t="str">
        <f t="shared" si="410"/>
        <v>0.00001%</v>
      </c>
      <c r="C11724" t="s">
        <v>10</v>
      </c>
      <c r="D11724" t="s">
        <v>10</v>
      </c>
      <c r="E11724" t="str">
        <f>"$ 115"</f>
        <v>$ 115</v>
      </c>
      <c r="F11724">
        <v>191</v>
      </c>
    </row>
    <row r="11725" spans="1:6">
      <c r="A11725" t="s">
        <v>10505</v>
      </c>
      <c r="B11725" t="str">
        <f t="shared" si="410"/>
        <v>0.00001%</v>
      </c>
      <c r="C11725" t="s">
        <v>10</v>
      </c>
      <c r="D11725" t="s">
        <v>10</v>
      </c>
      <c r="E11725" t="str">
        <f>"$ 114"</f>
        <v>$ 114</v>
      </c>
      <c r="F11725">
        <v>115</v>
      </c>
    </row>
    <row r="11726" spans="1:6">
      <c r="A11726" t="s">
        <v>11277</v>
      </c>
      <c r="B11726" t="str">
        <f t="shared" si="410"/>
        <v>0.00001%</v>
      </c>
      <c r="C11726" t="s">
        <v>10</v>
      </c>
      <c r="D11726" t="s">
        <v>10</v>
      </c>
      <c r="E11726" t="str">
        <f>"$ 110"</f>
        <v>$ 110</v>
      </c>
      <c r="F11726">
        <v>38</v>
      </c>
    </row>
    <row r="11727" spans="1:6">
      <c r="A11727" t="s">
        <v>11277</v>
      </c>
      <c r="B11727" t="str">
        <f t="shared" si="410"/>
        <v>0.00001%</v>
      </c>
      <c r="C11727" t="s">
        <v>10</v>
      </c>
      <c r="D11727" t="s">
        <v>10</v>
      </c>
      <c r="E11727" t="str">
        <f>"$ 63"</f>
        <v>$ 63</v>
      </c>
      <c r="F11727">
        <v>22</v>
      </c>
    </row>
    <row r="11728" spans="1:6">
      <c r="A11728" t="s">
        <v>11278</v>
      </c>
      <c r="B11728" t="str">
        <f t="shared" si="410"/>
        <v>0.00001%</v>
      </c>
      <c r="C11728" t="s">
        <v>10</v>
      </c>
      <c r="D11728" t="s">
        <v>10</v>
      </c>
      <c r="E11728" t="str">
        <f>"$ 103"</f>
        <v>$ 103</v>
      </c>
      <c r="F11728">
        <v>11</v>
      </c>
    </row>
    <row r="11729" spans="1:6">
      <c r="A11729" t="s">
        <v>9536</v>
      </c>
      <c r="B11729" t="str">
        <f t="shared" si="410"/>
        <v>0.00001%</v>
      </c>
      <c r="C11729" t="s">
        <v>10</v>
      </c>
      <c r="D11729" t="s">
        <v>10</v>
      </c>
      <c r="E11729" t="str">
        <f>"$ 112"</f>
        <v>$ 112</v>
      </c>
      <c r="F11729">
        <v>56</v>
      </c>
    </row>
    <row r="11730" spans="1:6">
      <c r="A11730" t="s">
        <v>11048</v>
      </c>
      <c r="B11730" t="str">
        <f t="shared" si="410"/>
        <v>0.00001%</v>
      </c>
      <c r="C11730" t="s">
        <v>10</v>
      </c>
      <c r="D11730" t="s">
        <v>10</v>
      </c>
      <c r="E11730" t="str">
        <f>"$ 67"</f>
        <v>$ 67</v>
      </c>
      <c r="F11730">
        <v>79</v>
      </c>
    </row>
    <row r="11731" spans="1:6">
      <c r="A11731" t="s">
        <v>11279</v>
      </c>
      <c r="B11731" t="str">
        <f t="shared" ref="B11731:B11794" si="411">"0.00001%"</f>
        <v>0.00001%</v>
      </c>
      <c r="C11731" t="s">
        <v>10</v>
      </c>
      <c r="D11731" t="s">
        <v>10</v>
      </c>
      <c r="E11731" t="str">
        <f>"$ 90"</f>
        <v>$ 90</v>
      </c>
      <c r="F11731">
        <v>43</v>
      </c>
    </row>
    <row r="11732" spans="1:6">
      <c r="A11732" t="s">
        <v>10774</v>
      </c>
      <c r="B11732" t="str">
        <f t="shared" si="411"/>
        <v>0.00001%</v>
      </c>
      <c r="C11732" t="s">
        <v>10</v>
      </c>
      <c r="D11732" t="s">
        <v>10</v>
      </c>
      <c r="E11732" t="str">
        <f>"$ 87"</f>
        <v>$ 87</v>
      </c>
      <c r="F11732">
        <v>46</v>
      </c>
    </row>
    <row r="11733" spans="1:6">
      <c r="A11733" t="s">
        <v>11057</v>
      </c>
      <c r="B11733" t="str">
        <f t="shared" si="411"/>
        <v>0.00001%</v>
      </c>
      <c r="C11733" t="s">
        <v>10</v>
      </c>
      <c r="D11733" t="s">
        <v>10</v>
      </c>
      <c r="E11733" t="str">
        <f>"$ 110"</f>
        <v>$ 110</v>
      </c>
      <c r="F11733">
        <v>90</v>
      </c>
    </row>
    <row r="11734" spans="1:6">
      <c r="A11734" t="s">
        <v>11280</v>
      </c>
      <c r="B11734" t="str">
        <f t="shared" si="411"/>
        <v>0.00001%</v>
      </c>
      <c r="C11734" t="s">
        <v>10</v>
      </c>
      <c r="D11734" t="s">
        <v>10</v>
      </c>
      <c r="E11734" t="str">
        <f>"$ 106"</f>
        <v>$ 106</v>
      </c>
      <c r="F11734">
        <v>112</v>
      </c>
    </row>
    <row r="11735" spans="1:6">
      <c r="A11735" t="s">
        <v>11281</v>
      </c>
      <c r="B11735" t="str">
        <f t="shared" si="411"/>
        <v>0.00001%</v>
      </c>
      <c r="C11735" t="s">
        <v>10</v>
      </c>
      <c r="D11735" t="s">
        <v>10</v>
      </c>
      <c r="E11735" t="str">
        <f>"$ 39"</f>
        <v>$ 39</v>
      </c>
      <c r="F11735">
        <v>11</v>
      </c>
    </row>
    <row r="11736" spans="1:6">
      <c r="A11736" t="s">
        <v>11282</v>
      </c>
      <c r="B11736" t="str">
        <f t="shared" si="411"/>
        <v>0.00001%</v>
      </c>
      <c r="C11736" t="s">
        <v>10</v>
      </c>
      <c r="D11736" t="s">
        <v>10</v>
      </c>
      <c r="E11736" t="str">
        <f>"$ 43"</f>
        <v>$ 43</v>
      </c>
      <c r="F11736">
        <v>6</v>
      </c>
    </row>
    <row r="11737" spans="1:6">
      <c r="A11737" t="s">
        <v>11281</v>
      </c>
      <c r="B11737" t="str">
        <f t="shared" si="411"/>
        <v>0.00001%</v>
      </c>
      <c r="C11737" t="s">
        <v>10</v>
      </c>
      <c r="D11737" t="s">
        <v>10</v>
      </c>
      <c r="E11737" t="str">
        <f>"$ 49"</f>
        <v>$ 49</v>
      </c>
      <c r="F11737">
        <v>14</v>
      </c>
    </row>
    <row r="11738" spans="1:6">
      <c r="A11738" t="s">
        <v>11283</v>
      </c>
      <c r="B11738" t="str">
        <f t="shared" si="411"/>
        <v>0.00001%</v>
      </c>
      <c r="C11738" t="s">
        <v>10</v>
      </c>
      <c r="D11738" t="s">
        <v>10</v>
      </c>
      <c r="E11738" t="str">
        <f>"$ 59"</f>
        <v>$ 59</v>
      </c>
      <c r="F11738">
        <v>6</v>
      </c>
    </row>
    <row r="11739" spans="1:6">
      <c r="A11739" t="s">
        <v>11284</v>
      </c>
      <c r="B11739" t="str">
        <f t="shared" si="411"/>
        <v>0.00001%</v>
      </c>
      <c r="C11739" t="s">
        <v>10</v>
      </c>
      <c r="D11739" t="s">
        <v>10</v>
      </c>
      <c r="E11739" t="str">
        <f>"$ 53"</f>
        <v>$ 53</v>
      </c>
      <c r="F11739">
        <v>6</v>
      </c>
    </row>
    <row r="11740" spans="1:6">
      <c r="A11740" t="s">
        <v>11285</v>
      </c>
      <c r="B11740" t="str">
        <f t="shared" si="411"/>
        <v>0.00001%</v>
      </c>
      <c r="C11740" t="s">
        <v>10</v>
      </c>
      <c r="D11740" t="s">
        <v>10</v>
      </c>
      <c r="E11740" t="str">
        <f>"$ 58"</f>
        <v>$ 58</v>
      </c>
      <c r="F11740">
        <v>223</v>
      </c>
    </row>
    <row r="11741" spans="1:6">
      <c r="A11741" t="s">
        <v>11286</v>
      </c>
      <c r="B11741" t="str">
        <f t="shared" si="411"/>
        <v>0.00001%</v>
      </c>
      <c r="C11741" t="s">
        <v>10</v>
      </c>
      <c r="D11741" t="s">
        <v>10</v>
      </c>
      <c r="E11741" t="str">
        <f>"$ 92"</f>
        <v>$ 92</v>
      </c>
      <c r="F11741">
        <v>83</v>
      </c>
    </row>
    <row r="11742" spans="1:6">
      <c r="A11742" t="s">
        <v>11287</v>
      </c>
      <c r="B11742" t="str">
        <f t="shared" si="411"/>
        <v>0.00001%</v>
      </c>
      <c r="C11742" t="s">
        <v>10</v>
      </c>
      <c r="D11742" t="s">
        <v>10</v>
      </c>
      <c r="E11742" t="str">
        <f>"$ 99"</f>
        <v>$ 99</v>
      </c>
      <c r="F11742">
        <v>51</v>
      </c>
    </row>
    <row r="11743" spans="1:6">
      <c r="A11743" t="s">
        <v>10002</v>
      </c>
      <c r="B11743" t="str">
        <f t="shared" si="411"/>
        <v>0.00001%</v>
      </c>
      <c r="C11743" t="s">
        <v>10</v>
      </c>
      <c r="D11743" t="s">
        <v>10</v>
      </c>
      <c r="E11743" t="str">
        <f>"$ 82"</f>
        <v>$ 82</v>
      </c>
      <c r="F11743">
        <v>37</v>
      </c>
    </row>
    <row r="11744" spans="1:6">
      <c r="A11744" t="s">
        <v>11288</v>
      </c>
      <c r="B11744" t="str">
        <f t="shared" si="411"/>
        <v>0.00001%</v>
      </c>
      <c r="C11744" t="s">
        <v>10</v>
      </c>
      <c r="D11744" t="s">
        <v>10</v>
      </c>
      <c r="E11744" t="str">
        <f>"$ 86"</f>
        <v>$ 86</v>
      </c>
      <c r="F11744">
        <v>80</v>
      </c>
    </row>
    <row r="11745" spans="1:6">
      <c r="A11745" t="s">
        <v>10007</v>
      </c>
      <c r="B11745" t="str">
        <f t="shared" si="411"/>
        <v>0.00001%</v>
      </c>
      <c r="C11745" t="s">
        <v>10</v>
      </c>
      <c r="D11745" t="s">
        <v>10</v>
      </c>
      <c r="E11745" t="str">
        <f>"$ 72"</f>
        <v>$ 72</v>
      </c>
      <c r="F11745">
        <v>83</v>
      </c>
    </row>
    <row r="11746" spans="1:6">
      <c r="A11746" t="s">
        <v>11287</v>
      </c>
      <c r="B11746" t="str">
        <f t="shared" si="411"/>
        <v>0.00001%</v>
      </c>
      <c r="C11746" t="s">
        <v>10</v>
      </c>
      <c r="D11746" t="s">
        <v>10</v>
      </c>
      <c r="E11746" t="str">
        <f>"$ 70"</f>
        <v>$ 70</v>
      </c>
      <c r="F11746">
        <v>36</v>
      </c>
    </row>
    <row r="11747" spans="1:6">
      <c r="A11747" t="s">
        <v>10524</v>
      </c>
      <c r="B11747" t="str">
        <f t="shared" si="411"/>
        <v>0.00001%</v>
      </c>
      <c r="C11747" t="s">
        <v>10</v>
      </c>
      <c r="D11747" t="s">
        <v>10</v>
      </c>
      <c r="E11747" t="str">
        <f>"$ 68"</f>
        <v>$ 68</v>
      </c>
      <c r="F11747">
        <v>36</v>
      </c>
    </row>
    <row r="11748" spans="1:6">
      <c r="A11748" t="s">
        <v>11289</v>
      </c>
      <c r="B11748" t="str">
        <f t="shared" si="411"/>
        <v>0.00001%</v>
      </c>
      <c r="C11748" t="s">
        <v>10</v>
      </c>
      <c r="D11748" t="s">
        <v>10</v>
      </c>
      <c r="E11748" t="str">
        <f>"$ 74"</f>
        <v>$ 74</v>
      </c>
      <c r="F11748">
        <v>33</v>
      </c>
    </row>
    <row r="11749" spans="1:6">
      <c r="A11749" t="s">
        <v>11290</v>
      </c>
      <c r="B11749" t="str">
        <f t="shared" si="411"/>
        <v>0.00001%</v>
      </c>
      <c r="C11749" t="s">
        <v>10</v>
      </c>
      <c r="D11749" t="s">
        <v>10</v>
      </c>
      <c r="E11749" t="str">
        <f>"$ 72"</f>
        <v>$ 72</v>
      </c>
      <c r="F11749">
        <v>85</v>
      </c>
    </row>
    <row r="11750" spans="1:6">
      <c r="A11750" t="s">
        <v>11290</v>
      </c>
      <c r="B11750" t="str">
        <f t="shared" si="411"/>
        <v>0.00001%</v>
      </c>
      <c r="C11750" t="s">
        <v>10</v>
      </c>
      <c r="D11750" t="s">
        <v>10</v>
      </c>
      <c r="E11750" t="str">
        <f>"$ 105"</f>
        <v>$ 105</v>
      </c>
      <c r="F11750">
        <v>125</v>
      </c>
    </row>
    <row r="11751" spans="1:6">
      <c r="A11751" t="s">
        <v>10282</v>
      </c>
      <c r="B11751" t="str">
        <f t="shared" si="411"/>
        <v>0.00001%</v>
      </c>
      <c r="C11751" t="s">
        <v>10</v>
      </c>
      <c r="D11751" t="s">
        <v>10</v>
      </c>
      <c r="E11751" t="str">
        <f>"$ 110"</f>
        <v>$ 110</v>
      </c>
      <c r="F11751">
        <v>104</v>
      </c>
    </row>
    <row r="11752" spans="1:6">
      <c r="A11752" t="s">
        <v>11291</v>
      </c>
      <c r="B11752" t="str">
        <f t="shared" si="411"/>
        <v>0.00001%</v>
      </c>
      <c r="C11752" t="s">
        <v>10</v>
      </c>
      <c r="D11752" t="s">
        <v>10</v>
      </c>
      <c r="E11752" t="str">
        <f>"$ 97"</f>
        <v>$ 97</v>
      </c>
      <c r="F11752">
        <v>36</v>
      </c>
    </row>
    <row r="11753" spans="1:6">
      <c r="A11753" t="s">
        <v>11292</v>
      </c>
      <c r="B11753" t="str">
        <f t="shared" si="411"/>
        <v>0.00001%</v>
      </c>
      <c r="C11753" t="s">
        <v>10</v>
      </c>
      <c r="D11753" t="s">
        <v>10</v>
      </c>
      <c r="E11753" t="str">
        <f>"$ 101"</f>
        <v>$ 101</v>
      </c>
      <c r="F11753">
        <v>128</v>
      </c>
    </row>
    <row r="11754" spans="1:6">
      <c r="A11754" t="s">
        <v>11293</v>
      </c>
      <c r="B11754" t="str">
        <f t="shared" si="411"/>
        <v>0.00001%</v>
      </c>
      <c r="C11754" t="s">
        <v>10</v>
      </c>
      <c r="D11754" t="s">
        <v>10</v>
      </c>
      <c r="E11754" t="str">
        <f>"$ 93"</f>
        <v>$ 93</v>
      </c>
      <c r="F11754">
        <v>110</v>
      </c>
    </row>
    <row r="11755" spans="1:6">
      <c r="A11755" t="s">
        <v>11293</v>
      </c>
      <c r="B11755" t="str">
        <f t="shared" si="411"/>
        <v>0.00001%</v>
      </c>
      <c r="C11755" t="s">
        <v>10</v>
      </c>
      <c r="D11755" t="s">
        <v>10</v>
      </c>
      <c r="E11755" t="str">
        <f>"$ 83"</f>
        <v>$ 83</v>
      </c>
      <c r="F11755">
        <v>99</v>
      </c>
    </row>
    <row r="11756" spans="1:6">
      <c r="A11756" t="s">
        <v>11070</v>
      </c>
      <c r="B11756" t="str">
        <f t="shared" si="411"/>
        <v>0.00001%</v>
      </c>
      <c r="C11756" t="s">
        <v>10</v>
      </c>
      <c r="D11756" t="s">
        <v>10</v>
      </c>
      <c r="E11756" t="str">
        <f>"$ 58"</f>
        <v>$ 58</v>
      </c>
      <c r="F11756">
        <v>33</v>
      </c>
    </row>
    <row r="11757" spans="1:6">
      <c r="A11757" t="s">
        <v>11294</v>
      </c>
      <c r="B11757" t="str">
        <f t="shared" si="411"/>
        <v>0.00001%</v>
      </c>
      <c r="C11757" t="s">
        <v>10</v>
      </c>
      <c r="D11757" t="s">
        <v>10</v>
      </c>
      <c r="E11757" t="str">
        <f>"$ 79"</f>
        <v>$ 79</v>
      </c>
      <c r="F11757">
        <v>226</v>
      </c>
    </row>
    <row r="11758" spans="1:6">
      <c r="A11758" t="s">
        <v>11295</v>
      </c>
      <c r="B11758" t="str">
        <f t="shared" si="411"/>
        <v>0.00001%</v>
      </c>
      <c r="C11758" t="s">
        <v>10</v>
      </c>
      <c r="D11758" t="s">
        <v>10</v>
      </c>
      <c r="E11758" t="str">
        <f>"$ 105"</f>
        <v>$ 105</v>
      </c>
      <c r="F11758">
        <v>146</v>
      </c>
    </row>
    <row r="11759" spans="1:6">
      <c r="A11759" t="s">
        <v>10796</v>
      </c>
      <c r="B11759" t="str">
        <f t="shared" si="411"/>
        <v>0.00001%</v>
      </c>
      <c r="C11759" t="s">
        <v>10</v>
      </c>
      <c r="D11759" t="s">
        <v>10</v>
      </c>
      <c r="E11759" t="str">
        <f>"$ 89"</f>
        <v>$ 89</v>
      </c>
      <c r="F11759">
        <v>74</v>
      </c>
    </row>
    <row r="11760" spans="1:6">
      <c r="A11760" t="s">
        <v>11296</v>
      </c>
      <c r="B11760" t="str">
        <f t="shared" si="411"/>
        <v>0.00001%</v>
      </c>
      <c r="C11760" t="s">
        <v>10</v>
      </c>
      <c r="D11760" t="s">
        <v>10</v>
      </c>
      <c r="E11760" t="str">
        <f>"$ 101"</f>
        <v>$ 101</v>
      </c>
      <c r="F11760">
        <v>2</v>
      </c>
    </row>
    <row r="11761" spans="1:6">
      <c r="A11761" t="s">
        <v>10298</v>
      </c>
      <c r="B11761" t="str">
        <f t="shared" si="411"/>
        <v>0.00001%</v>
      </c>
      <c r="C11761" t="s">
        <v>10</v>
      </c>
      <c r="D11761" t="s">
        <v>10</v>
      </c>
      <c r="E11761" t="str">
        <f>"$ 104"</f>
        <v>$ 104</v>
      </c>
      <c r="F11761">
        <v>71</v>
      </c>
    </row>
    <row r="11762" spans="1:6">
      <c r="A11762" t="s">
        <v>11297</v>
      </c>
      <c r="B11762" t="str">
        <f t="shared" si="411"/>
        <v>0.00001%</v>
      </c>
      <c r="C11762" t="s">
        <v>10</v>
      </c>
      <c r="D11762" t="s">
        <v>10</v>
      </c>
      <c r="E11762" t="str">
        <f>"$ 104"</f>
        <v>$ 104</v>
      </c>
      <c r="F11762">
        <v>54</v>
      </c>
    </row>
    <row r="11763" spans="1:6">
      <c r="A11763" t="s">
        <v>11298</v>
      </c>
      <c r="B11763" t="str">
        <f t="shared" si="411"/>
        <v>0.00001%</v>
      </c>
      <c r="C11763" t="s">
        <v>10</v>
      </c>
      <c r="D11763" t="s">
        <v>10</v>
      </c>
      <c r="E11763" t="str">
        <f>"$ 57"</f>
        <v>$ 57</v>
      </c>
      <c r="F11763">
        <v>51</v>
      </c>
    </row>
    <row r="11764" spans="1:6">
      <c r="A11764" t="s">
        <v>11299</v>
      </c>
      <c r="B11764" t="str">
        <f t="shared" si="411"/>
        <v>0.00001%</v>
      </c>
      <c r="C11764" t="s">
        <v>10</v>
      </c>
      <c r="D11764" t="s">
        <v>10</v>
      </c>
      <c r="E11764" t="str">
        <f>"$ 41"</f>
        <v>$ 41</v>
      </c>
      <c r="F11764">
        <v>180</v>
      </c>
    </row>
    <row r="11765" spans="1:6">
      <c r="A11765" t="s">
        <v>10809</v>
      </c>
      <c r="B11765" t="str">
        <f t="shared" si="411"/>
        <v>0.00001%</v>
      </c>
      <c r="C11765" t="s">
        <v>10</v>
      </c>
      <c r="D11765" t="s">
        <v>10</v>
      </c>
      <c r="E11765" t="str">
        <f>"$ 51"</f>
        <v>$ 51</v>
      </c>
      <c r="F11765">
        <v>51</v>
      </c>
    </row>
    <row r="11766" spans="1:6">
      <c r="A11766" t="s">
        <v>10811</v>
      </c>
      <c r="B11766" t="str">
        <f t="shared" si="411"/>
        <v>0.00001%</v>
      </c>
      <c r="C11766" t="s">
        <v>10</v>
      </c>
      <c r="D11766" t="s">
        <v>10</v>
      </c>
      <c r="E11766" t="str">
        <f>"$ 60"</f>
        <v>$ 60</v>
      </c>
      <c r="F11766">
        <v>47</v>
      </c>
    </row>
    <row r="11767" spans="1:6">
      <c r="A11767" t="s">
        <v>11300</v>
      </c>
      <c r="B11767" t="str">
        <f t="shared" si="411"/>
        <v>0.00001%</v>
      </c>
      <c r="C11767" t="s">
        <v>10</v>
      </c>
      <c r="D11767" t="s">
        <v>10</v>
      </c>
      <c r="E11767" t="str">
        <f>"$ 64"</f>
        <v>$ 64</v>
      </c>
      <c r="F11767">
        <v>44</v>
      </c>
    </row>
    <row r="11768" spans="1:6">
      <c r="A11768" t="s">
        <v>11301</v>
      </c>
      <c r="B11768" t="str">
        <f t="shared" si="411"/>
        <v>0.00001%</v>
      </c>
      <c r="C11768" t="s">
        <v>10</v>
      </c>
      <c r="D11768" t="s">
        <v>10</v>
      </c>
      <c r="E11768" t="str">
        <f>"$ 93"</f>
        <v>$ 93</v>
      </c>
      <c r="F11768">
        <v>57</v>
      </c>
    </row>
    <row r="11769" spans="1:6">
      <c r="A11769" t="s">
        <v>11077</v>
      </c>
      <c r="B11769" t="str">
        <f t="shared" si="411"/>
        <v>0.00001%</v>
      </c>
      <c r="C11769" t="s">
        <v>10</v>
      </c>
      <c r="D11769" t="s">
        <v>10</v>
      </c>
      <c r="E11769" t="str">
        <f>"$ 92"</f>
        <v>$ 92</v>
      </c>
      <c r="F11769">
        <v>46</v>
      </c>
    </row>
    <row r="11770" spans="1:6">
      <c r="A11770" t="s">
        <v>11302</v>
      </c>
      <c r="B11770" t="str">
        <f t="shared" si="411"/>
        <v>0.00001%</v>
      </c>
      <c r="C11770" t="s">
        <v>10</v>
      </c>
      <c r="D11770" t="s">
        <v>10</v>
      </c>
      <c r="E11770" t="str">
        <f>"$ 100"</f>
        <v>$ 100</v>
      </c>
      <c r="F11770">
        <v>3</v>
      </c>
    </row>
    <row r="11771" spans="1:6">
      <c r="A11771" t="s">
        <v>10034</v>
      </c>
      <c r="B11771" t="str">
        <f t="shared" si="411"/>
        <v>0.00001%</v>
      </c>
      <c r="C11771" t="s">
        <v>10</v>
      </c>
      <c r="D11771" t="s">
        <v>10</v>
      </c>
      <c r="E11771" t="str">
        <f>"$ 74"</f>
        <v>$ 74</v>
      </c>
      <c r="F11771">
        <v>22</v>
      </c>
    </row>
    <row r="11772" spans="1:6">
      <c r="A11772" t="s">
        <v>10813</v>
      </c>
      <c r="B11772" t="str">
        <f t="shared" si="411"/>
        <v>0.00001%</v>
      </c>
      <c r="C11772" t="s">
        <v>10</v>
      </c>
      <c r="D11772" t="s">
        <v>10</v>
      </c>
      <c r="E11772" t="str">
        <f>"$ 69"</f>
        <v>$ 69</v>
      </c>
      <c r="F11772">
        <v>19</v>
      </c>
    </row>
    <row r="11773" spans="1:6">
      <c r="A11773" t="s">
        <v>11297</v>
      </c>
      <c r="B11773" t="str">
        <f t="shared" si="411"/>
        <v>0.00001%</v>
      </c>
      <c r="C11773" t="s">
        <v>10</v>
      </c>
      <c r="D11773" t="s">
        <v>10</v>
      </c>
      <c r="E11773" t="str">
        <f>"$ 75"</f>
        <v>$ 75</v>
      </c>
      <c r="F11773">
        <v>39</v>
      </c>
    </row>
    <row r="11774" spans="1:6">
      <c r="A11774" t="s">
        <v>11303</v>
      </c>
      <c r="B11774" t="str">
        <f t="shared" si="411"/>
        <v>0.00001%</v>
      </c>
      <c r="C11774" t="s">
        <v>10</v>
      </c>
      <c r="D11774" t="s">
        <v>10</v>
      </c>
      <c r="E11774" t="str">
        <f>"$ 65"</f>
        <v>$ 65</v>
      </c>
      <c r="F11774">
        <v>291</v>
      </c>
    </row>
    <row r="11775" spans="1:6">
      <c r="A11775" t="s">
        <v>11087</v>
      </c>
      <c r="B11775" t="str">
        <f t="shared" si="411"/>
        <v>0.00001%</v>
      </c>
      <c r="C11775" t="s">
        <v>10</v>
      </c>
      <c r="D11775" t="s">
        <v>10</v>
      </c>
      <c r="E11775" t="str">
        <f>"$ 56"</f>
        <v>$ 56</v>
      </c>
      <c r="F11775">
        <v>88</v>
      </c>
    </row>
    <row r="11776" spans="1:6">
      <c r="A11776" t="s">
        <v>11304</v>
      </c>
      <c r="B11776" t="str">
        <f t="shared" si="411"/>
        <v>0.00001%</v>
      </c>
      <c r="C11776" t="s">
        <v>10</v>
      </c>
      <c r="D11776" t="s">
        <v>10</v>
      </c>
      <c r="E11776" t="str">
        <f>"$ 77"</f>
        <v>$ 77</v>
      </c>
      <c r="F11776">
        <v>56</v>
      </c>
    </row>
    <row r="11777" spans="1:6">
      <c r="A11777" t="s">
        <v>11305</v>
      </c>
      <c r="B11777" t="str">
        <f t="shared" si="411"/>
        <v>0.00001%</v>
      </c>
      <c r="C11777" t="s">
        <v>10</v>
      </c>
      <c r="D11777" t="s">
        <v>10</v>
      </c>
      <c r="E11777" t="str">
        <f>"$ 84"</f>
        <v>$ 84</v>
      </c>
      <c r="F11777">
        <v>124</v>
      </c>
    </row>
    <row r="11778" spans="1:6">
      <c r="A11778" t="s">
        <v>10820</v>
      </c>
      <c r="B11778" t="str">
        <f t="shared" si="411"/>
        <v>0.00001%</v>
      </c>
      <c r="C11778" t="s">
        <v>10</v>
      </c>
      <c r="D11778" t="s">
        <v>10</v>
      </c>
      <c r="E11778" t="str">
        <f>"$ 110"</f>
        <v>$ 110</v>
      </c>
      <c r="F11778">
        <v>69</v>
      </c>
    </row>
    <row r="11779" spans="1:6">
      <c r="A11779" t="s">
        <v>11088</v>
      </c>
      <c r="B11779" t="str">
        <f t="shared" si="411"/>
        <v>0.00001%</v>
      </c>
      <c r="C11779" t="s">
        <v>10</v>
      </c>
      <c r="D11779" t="s">
        <v>10</v>
      </c>
      <c r="E11779" t="str">
        <f>"$ 42"</f>
        <v>$ 42</v>
      </c>
      <c r="F11779">
        <v>33</v>
      </c>
    </row>
    <row r="11780" spans="1:6">
      <c r="A11780" t="s">
        <v>9816</v>
      </c>
      <c r="B11780" t="str">
        <f t="shared" si="411"/>
        <v>0.00001%</v>
      </c>
      <c r="C11780" t="s">
        <v>10</v>
      </c>
      <c r="D11780" t="s">
        <v>10</v>
      </c>
      <c r="E11780" t="str">
        <f>"$ 87"</f>
        <v>$ 87</v>
      </c>
      <c r="F11780">
        <v>103</v>
      </c>
    </row>
    <row r="11781" spans="1:6">
      <c r="A11781" t="s">
        <v>9213</v>
      </c>
      <c r="B11781" t="str">
        <f t="shared" si="411"/>
        <v>0.00001%</v>
      </c>
      <c r="C11781" t="s">
        <v>10</v>
      </c>
      <c r="D11781" t="s">
        <v>10</v>
      </c>
      <c r="E11781" t="str">
        <f>"$ 85"</f>
        <v>$ 85</v>
      </c>
      <c r="F11781">
        <v>143</v>
      </c>
    </row>
    <row r="11782" spans="1:6">
      <c r="A11782" t="s">
        <v>11306</v>
      </c>
      <c r="B11782" t="str">
        <f t="shared" si="411"/>
        <v>0.00001%</v>
      </c>
      <c r="C11782" t="s">
        <v>10</v>
      </c>
      <c r="D11782" t="s">
        <v>10</v>
      </c>
      <c r="E11782" t="str">
        <f>"$ 102"</f>
        <v>$ 102</v>
      </c>
      <c r="F11782">
        <v>51</v>
      </c>
    </row>
    <row r="11783" spans="1:6">
      <c r="A11783" t="s">
        <v>11307</v>
      </c>
      <c r="B11783" t="str">
        <f t="shared" si="411"/>
        <v>0.00001%</v>
      </c>
      <c r="C11783" t="s">
        <v>10</v>
      </c>
      <c r="D11783" t="s">
        <v>10</v>
      </c>
      <c r="E11783" t="str">
        <f>"$ 50"</f>
        <v>$ 50</v>
      </c>
      <c r="F11783">
        <v>8</v>
      </c>
    </row>
    <row r="11784" spans="1:6">
      <c r="A11784" t="s">
        <v>11308</v>
      </c>
      <c r="B11784" t="str">
        <f t="shared" si="411"/>
        <v>0.00001%</v>
      </c>
      <c r="C11784" t="s">
        <v>10</v>
      </c>
      <c r="D11784" t="s">
        <v>10</v>
      </c>
      <c r="E11784" t="str">
        <f>"$ 102"</f>
        <v>$ 102</v>
      </c>
      <c r="F11784">
        <v>31</v>
      </c>
    </row>
    <row r="11785" spans="1:6">
      <c r="A11785" t="s">
        <v>10833</v>
      </c>
      <c r="B11785" t="str">
        <f t="shared" si="411"/>
        <v>0.00001%</v>
      </c>
      <c r="C11785" t="s">
        <v>10</v>
      </c>
      <c r="D11785" t="s">
        <v>10</v>
      </c>
      <c r="E11785" t="str">
        <f>"$ 100"</f>
        <v>$ 100</v>
      </c>
      <c r="F11785">
        <v>40</v>
      </c>
    </row>
    <row r="11786" spans="1:6">
      <c r="A11786" t="s">
        <v>11096</v>
      </c>
      <c r="B11786" t="str">
        <f t="shared" si="411"/>
        <v>0.00001%</v>
      </c>
      <c r="C11786" t="s">
        <v>10</v>
      </c>
      <c r="D11786" t="s">
        <v>10</v>
      </c>
      <c r="E11786" t="str">
        <f>"$ 113"</f>
        <v>$ 113</v>
      </c>
      <c r="F11786">
        <v>85</v>
      </c>
    </row>
    <row r="11787" spans="1:6">
      <c r="A11787" t="s">
        <v>10568</v>
      </c>
      <c r="B11787" t="str">
        <f t="shared" si="411"/>
        <v>0.00001%</v>
      </c>
      <c r="C11787" t="s">
        <v>10</v>
      </c>
      <c r="D11787" t="s">
        <v>10</v>
      </c>
      <c r="E11787" t="str">
        <f>"$ 60"</f>
        <v>$ 60</v>
      </c>
      <c r="F11787">
        <v>38</v>
      </c>
    </row>
    <row r="11788" spans="1:6">
      <c r="A11788" t="s">
        <v>11095</v>
      </c>
      <c r="B11788" t="str">
        <f t="shared" si="411"/>
        <v>0.00001%</v>
      </c>
      <c r="C11788" t="s">
        <v>10</v>
      </c>
      <c r="D11788" t="s">
        <v>10</v>
      </c>
      <c r="E11788" t="str">
        <f>"$ 98"</f>
        <v>$ 98</v>
      </c>
      <c r="F11788">
        <v>36</v>
      </c>
    </row>
    <row r="11789" spans="1:6">
      <c r="A11789" t="s">
        <v>11309</v>
      </c>
      <c r="B11789" t="str">
        <f t="shared" si="411"/>
        <v>0.00001%</v>
      </c>
      <c r="C11789" t="s">
        <v>10</v>
      </c>
      <c r="D11789" t="s">
        <v>10</v>
      </c>
      <c r="E11789" t="str">
        <f>"$ 87"</f>
        <v>$ 87</v>
      </c>
      <c r="F11789">
        <v>41</v>
      </c>
    </row>
    <row r="11790" spans="1:6">
      <c r="A11790" t="s">
        <v>10838</v>
      </c>
      <c r="B11790" t="str">
        <f t="shared" si="411"/>
        <v>0.00001%</v>
      </c>
      <c r="C11790" t="s">
        <v>10</v>
      </c>
      <c r="D11790" t="s">
        <v>10</v>
      </c>
      <c r="E11790" t="str">
        <f>"$ 91"</f>
        <v>$ 91</v>
      </c>
      <c r="F11790">
        <v>37</v>
      </c>
    </row>
    <row r="11791" spans="1:6">
      <c r="A11791" t="s">
        <v>11310</v>
      </c>
      <c r="B11791" t="str">
        <f t="shared" si="411"/>
        <v>0.00001%</v>
      </c>
      <c r="C11791" t="s">
        <v>10</v>
      </c>
      <c r="D11791" t="s">
        <v>10</v>
      </c>
      <c r="E11791" t="str">
        <f>"$ 64"</f>
        <v>$ 64</v>
      </c>
      <c r="F11791">
        <v>44</v>
      </c>
    </row>
    <row r="11792" spans="1:6">
      <c r="A11792" t="s">
        <v>10048</v>
      </c>
      <c r="B11792" t="str">
        <f t="shared" si="411"/>
        <v>0.00001%</v>
      </c>
      <c r="C11792" t="s">
        <v>10</v>
      </c>
      <c r="D11792" t="s">
        <v>10</v>
      </c>
      <c r="E11792" t="str">
        <f>"$ 90"</f>
        <v>$ 90</v>
      </c>
      <c r="F11792">
        <v>31</v>
      </c>
    </row>
    <row r="11793" spans="1:6">
      <c r="A11793" t="s">
        <v>11311</v>
      </c>
      <c r="B11793" t="str">
        <f t="shared" si="411"/>
        <v>0.00001%</v>
      </c>
      <c r="C11793" t="s">
        <v>10</v>
      </c>
      <c r="D11793" t="s">
        <v>10</v>
      </c>
      <c r="E11793" t="str">
        <f>"$ 113"</f>
        <v>$ 113</v>
      </c>
      <c r="F11793">
        <v>189</v>
      </c>
    </row>
    <row r="11794" spans="1:6">
      <c r="A11794" t="s">
        <v>10847</v>
      </c>
      <c r="B11794" t="str">
        <f t="shared" si="411"/>
        <v>0.00001%</v>
      </c>
      <c r="C11794" t="s">
        <v>10</v>
      </c>
      <c r="D11794" t="s">
        <v>10</v>
      </c>
      <c r="E11794" t="str">
        <f>"$ 100"</f>
        <v>$ 100</v>
      </c>
      <c r="F11794">
        <v>28</v>
      </c>
    </row>
    <row r="11795" spans="1:6">
      <c r="A11795" t="s">
        <v>8229</v>
      </c>
      <c r="B11795" t="str">
        <f t="shared" ref="B11795:B11858" si="412">"0.00001%"</f>
        <v>0.00001%</v>
      </c>
      <c r="C11795" t="s">
        <v>10</v>
      </c>
      <c r="D11795" t="s">
        <v>10</v>
      </c>
      <c r="E11795" t="str">
        <f>"$ 81"</f>
        <v>$ 81</v>
      </c>
      <c r="F11795">
        <v>15</v>
      </c>
    </row>
    <row r="11796" spans="1:6">
      <c r="A11796" t="s">
        <v>10577</v>
      </c>
      <c r="B11796" t="str">
        <f t="shared" si="412"/>
        <v>0.00001%</v>
      </c>
      <c r="C11796" t="s">
        <v>10</v>
      </c>
      <c r="D11796" t="s">
        <v>10</v>
      </c>
      <c r="E11796" t="str">
        <f>"$ 72"</f>
        <v>$ 72</v>
      </c>
      <c r="F11796">
        <v>36</v>
      </c>
    </row>
    <row r="11797" spans="1:6">
      <c r="A11797" t="s">
        <v>11312</v>
      </c>
      <c r="B11797" t="str">
        <f t="shared" si="412"/>
        <v>0.00001%</v>
      </c>
      <c r="C11797" t="s">
        <v>10</v>
      </c>
      <c r="D11797" t="s">
        <v>10</v>
      </c>
      <c r="E11797" t="str">
        <f>"$ 113"</f>
        <v>$ 113</v>
      </c>
      <c r="F11797">
        <v>41</v>
      </c>
    </row>
    <row r="11798" spans="1:6">
      <c r="A11798" t="s">
        <v>9578</v>
      </c>
      <c r="B11798" t="str">
        <f t="shared" si="412"/>
        <v>0.00001%</v>
      </c>
      <c r="C11798" t="s">
        <v>10</v>
      </c>
      <c r="D11798" t="s">
        <v>10</v>
      </c>
      <c r="E11798" t="str">
        <f>"$ 49"</f>
        <v>$ 49</v>
      </c>
      <c r="F11798">
        <v>4</v>
      </c>
    </row>
    <row r="11799" spans="1:6">
      <c r="A11799" t="s">
        <v>11313</v>
      </c>
      <c r="B11799" t="str">
        <f t="shared" si="412"/>
        <v>0.00001%</v>
      </c>
      <c r="C11799" t="s">
        <v>10</v>
      </c>
      <c r="D11799" t="s">
        <v>10</v>
      </c>
      <c r="E11799" t="str">
        <f>"$ 65"</f>
        <v>$ 65</v>
      </c>
      <c r="F11799">
        <v>281</v>
      </c>
    </row>
    <row r="11800" spans="1:6">
      <c r="A11800" t="s">
        <v>11314</v>
      </c>
      <c r="B11800" t="str">
        <f t="shared" si="412"/>
        <v>0.00001%</v>
      </c>
      <c r="C11800" t="s">
        <v>10</v>
      </c>
      <c r="D11800" t="s">
        <v>10</v>
      </c>
      <c r="E11800" t="str">
        <f>"$ 90"</f>
        <v>$ 90</v>
      </c>
      <c r="F11800">
        <v>64</v>
      </c>
    </row>
    <row r="11801" spans="1:6">
      <c r="A11801" t="s">
        <v>11315</v>
      </c>
      <c r="B11801" t="str">
        <f t="shared" si="412"/>
        <v>0.00001%</v>
      </c>
      <c r="C11801" t="s">
        <v>10</v>
      </c>
      <c r="D11801" t="s">
        <v>10</v>
      </c>
      <c r="E11801" t="str">
        <f>"$ 91"</f>
        <v>$ 91</v>
      </c>
      <c r="F11801">
        <v>2</v>
      </c>
    </row>
    <row r="11802" spans="1:6">
      <c r="A11802" t="s">
        <v>11316</v>
      </c>
      <c r="B11802" t="str">
        <f t="shared" si="412"/>
        <v>0.00001%</v>
      </c>
      <c r="C11802" t="s">
        <v>10</v>
      </c>
      <c r="D11802" t="s">
        <v>10</v>
      </c>
      <c r="E11802" t="str">
        <f>"$ 54"</f>
        <v>$ 54</v>
      </c>
      <c r="F11802">
        <v>46</v>
      </c>
    </row>
    <row r="11803" spans="1:6">
      <c r="A11803" t="s">
        <v>10585</v>
      </c>
      <c r="B11803" t="str">
        <f t="shared" si="412"/>
        <v>0.00001%</v>
      </c>
      <c r="C11803" t="s">
        <v>10</v>
      </c>
      <c r="D11803" t="s">
        <v>10</v>
      </c>
      <c r="E11803" t="str">
        <f>"$ 74"</f>
        <v>$ 74</v>
      </c>
      <c r="F11803">
        <v>99</v>
      </c>
    </row>
    <row r="11804" spans="1:6">
      <c r="A11804" t="s">
        <v>10590</v>
      </c>
      <c r="B11804" t="str">
        <f t="shared" si="412"/>
        <v>0.00001%</v>
      </c>
      <c r="C11804" t="s">
        <v>10</v>
      </c>
      <c r="D11804" t="s">
        <v>10</v>
      </c>
      <c r="E11804" t="str">
        <f>"$ 83"</f>
        <v>$ 83</v>
      </c>
      <c r="F11804">
        <v>74</v>
      </c>
    </row>
    <row r="11805" spans="1:6">
      <c r="A11805" t="s">
        <v>11317</v>
      </c>
      <c r="B11805" t="str">
        <f t="shared" si="412"/>
        <v>0.00001%</v>
      </c>
      <c r="C11805" t="s">
        <v>10</v>
      </c>
      <c r="D11805" t="s">
        <v>10</v>
      </c>
      <c r="E11805" t="str">
        <f>"$ 64"</f>
        <v>$ 64</v>
      </c>
      <c r="F11805">
        <v>143</v>
      </c>
    </row>
    <row r="11806" spans="1:6">
      <c r="A11806" t="s">
        <v>11318</v>
      </c>
      <c r="B11806" t="str">
        <f t="shared" si="412"/>
        <v>0.00001%</v>
      </c>
      <c r="C11806" t="s">
        <v>10</v>
      </c>
      <c r="D11806" t="s">
        <v>10</v>
      </c>
      <c r="E11806" t="str">
        <f>"$ 49"</f>
        <v>$ 49</v>
      </c>
      <c r="F11806">
        <v>4</v>
      </c>
    </row>
    <row r="11807" spans="1:6">
      <c r="A11807" t="s">
        <v>11319</v>
      </c>
      <c r="B11807" t="str">
        <f t="shared" si="412"/>
        <v>0.00001%</v>
      </c>
      <c r="C11807" t="s">
        <v>10</v>
      </c>
      <c r="D11807" t="s">
        <v>10</v>
      </c>
      <c r="E11807" t="str">
        <f>"$ 72"</f>
        <v>$ 72</v>
      </c>
      <c r="F11807">
        <v>39</v>
      </c>
    </row>
    <row r="11808" spans="1:6">
      <c r="A11808" t="s">
        <v>5549</v>
      </c>
      <c r="B11808" t="str">
        <f t="shared" si="412"/>
        <v>0.00001%</v>
      </c>
      <c r="C11808" t="s">
        <v>10</v>
      </c>
      <c r="D11808" t="s">
        <v>10</v>
      </c>
      <c r="E11808" t="str">
        <f>"$ 94"</f>
        <v>$ 94</v>
      </c>
      <c r="F11808">
        <v>27</v>
      </c>
    </row>
    <row r="11809" spans="1:6">
      <c r="A11809" t="s">
        <v>11320</v>
      </c>
      <c r="B11809" t="str">
        <f t="shared" si="412"/>
        <v>0.00001%</v>
      </c>
      <c r="C11809" t="s">
        <v>10</v>
      </c>
      <c r="D11809" t="s">
        <v>10</v>
      </c>
      <c r="E11809" t="str">
        <f>"$ 57"</f>
        <v>$ 57</v>
      </c>
      <c r="F11809">
        <v>3</v>
      </c>
    </row>
    <row r="11810" spans="1:6">
      <c r="A11810" t="s">
        <v>6982</v>
      </c>
      <c r="B11810" t="str">
        <f t="shared" si="412"/>
        <v>0.00001%</v>
      </c>
      <c r="C11810" t="s">
        <v>10</v>
      </c>
      <c r="D11810" t="s">
        <v>10</v>
      </c>
      <c r="E11810" t="str">
        <f>"$ 76"</f>
        <v>$ 76</v>
      </c>
      <c r="F11810">
        <v>392</v>
      </c>
    </row>
    <row r="11811" spans="1:6">
      <c r="A11811" t="s">
        <v>11125</v>
      </c>
      <c r="B11811" t="str">
        <f t="shared" si="412"/>
        <v>0.00001%</v>
      </c>
      <c r="C11811" t="s">
        <v>10</v>
      </c>
      <c r="D11811" t="s">
        <v>10</v>
      </c>
      <c r="E11811" t="str">
        <f>"$ 69"</f>
        <v>$ 69</v>
      </c>
      <c r="F11811">
        <v>44</v>
      </c>
    </row>
    <row r="11812" spans="1:6">
      <c r="A11812" t="s">
        <v>11321</v>
      </c>
      <c r="B11812" t="str">
        <f t="shared" si="412"/>
        <v>0.00001%</v>
      </c>
      <c r="C11812" t="s">
        <v>10</v>
      </c>
      <c r="D11812" t="s">
        <v>10</v>
      </c>
      <c r="E11812" t="str">
        <f>"$ 99"</f>
        <v>$ 99</v>
      </c>
      <c r="F11812">
        <v>69</v>
      </c>
    </row>
    <row r="11813" spans="1:6">
      <c r="A11813" t="s">
        <v>11322</v>
      </c>
      <c r="B11813" t="str">
        <f t="shared" si="412"/>
        <v>0.00001%</v>
      </c>
      <c r="C11813" t="s">
        <v>10</v>
      </c>
      <c r="D11813" t="s">
        <v>10</v>
      </c>
      <c r="E11813" t="str">
        <f>"$ 106"</f>
        <v>$ 106</v>
      </c>
      <c r="F11813">
        <v>30</v>
      </c>
    </row>
    <row r="11814" spans="1:6">
      <c r="A11814" t="s">
        <v>11323</v>
      </c>
      <c r="B11814" t="str">
        <f t="shared" si="412"/>
        <v>0.00001%</v>
      </c>
      <c r="C11814" t="s">
        <v>10</v>
      </c>
      <c r="D11814" t="s">
        <v>10</v>
      </c>
      <c r="E11814" t="str">
        <f>"$ 52"</f>
        <v>$ 52</v>
      </c>
      <c r="F11814">
        <v>19</v>
      </c>
    </row>
    <row r="11815" spans="1:6">
      <c r="A11815" t="s">
        <v>11324</v>
      </c>
      <c r="B11815" t="str">
        <f t="shared" si="412"/>
        <v>0.00001%</v>
      </c>
      <c r="C11815" t="s">
        <v>10</v>
      </c>
      <c r="D11815" t="s">
        <v>10</v>
      </c>
      <c r="E11815" t="str">
        <f>"$ 43"</f>
        <v>$ 43</v>
      </c>
      <c r="F11815">
        <v>2</v>
      </c>
    </row>
    <row r="11816" spans="1:6">
      <c r="A11816" t="s">
        <v>11132</v>
      </c>
      <c r="B11816" t="str">
        <f t="shared" si="412"/>
        <v>0.00001%</v>
      </c>
      <c r="C11816" t="s">
        <v>10</v>
      </c>
      <c r="D11816" t="s">
        <v>10</v>
      </c>
      <c r="E11816" t="str">
        <f>"$ 107"</f>
        <v>$ 107</v>
      </c>
      <c r="F11816">
        <v>71</v>
      </c>
    </row>
    <row r="11817" spans="1:6">
      <c r="A11817" t="s">
        <v>10597</v>
      </c>
      <c r="B11817" t="str">
        <f t="shared" si="412"/>
        <v>0.00001%</v>
      </c>
      <c r="C11817" t="s">
        <v>10</v>
      </c>
      <c r="D11817" t="s">
        <v>10</v>
      </c>
      <c r="E11817" t="str">
        <f>"$ 93"</f>
        <v>$ 93</v>
      </c>
      <c r="F11817">
        <v>92</v>
      </c>
    </row>
    <row r="11818" spans="1:6">
      <c r="A11818" t="s">
        <v>11325</v>
      </c>
      <c r="B11818" t="str">
        <f t="shared" si="412"/>
        <v>0.00001%</v>
      </c>
      <c r="C11818" t="s">
        <v>10</v>
      </c>
      <c r="D11818" t="s">
        <v>10</v>
      </c>
      <c r="E11818" t="str">
        <f>"$ 69"</f>
        <v>$ 69</v>
      </c>
      <c r="F11818">
        <v>67</v>
      </c>
    </row>
    <row r="11819" spans="1:6">
      <c r="A11819" t="s">
        <v>11326</v>
      </c>
      <c r="B11819" t="str">
        <f t="shared" si="412"/>
        <v>0.00001%</v>
      </c>
      <c r="C11819" t="s">
        <v>10</v>
      </c>
      <c r="D11819" t="s">
        <v>10</v>
      </c>
      <c r="E11819" t="str">
        <f>"$ 77"</f>
        <v>$ 77</v>
      </c>
      <c r="F11819">
        <v>8</v>
      </c>
    </row>
    <row r="11820" spans="1:6">
      <c r="A11820" t="s">
        <v>11327</v>
      </c>
      <c r="B11820" t="str">
        <f t="shared" si="412"/>
        <v>0.00001%</v>
      </c>
      <c r="C11820" t="s">
        <v>10</v>
      </c>
      <c r="D11820" t="s">
        <v>10</v>
      </c>
      <c r="E11820" t="str">
        <f>"$ 53"</f>
        <v>$ 53</v>
      </c>
      <c r="F11820">
        <v>55</v>
      </c>
    </row>
    <row r="11821" spans="1:6">
      <c r="A11821" t="s">
        <v>11135</v>
      </c>
      <c r="B11821" t="str">
        <f t="shared" si="412"/>
        <v>0.00001%</v>
      </c>
      <c r="C11821" t="s">
        <v>10</v>
      </c>
      <c r="D11821" t="s">
        <v>10</v>
      </c>
      <c r="E11821" t="str">
        <f>"$ 60"</f>
        <v>$ 60</v>
      </c>
      <c r="F11821">
        <v>90</v>
      </c>
    </row>
    <row r="11822" spans="1:6">
      <c r="A11822" t="s">
        <v>11328</v>
      </c>
      <c r="B11822" t="str">
        <f t="shared" si="412"/>
        <v>0.00001%</v>
      </c>
      <c r="C11822" t="s">
        <v>10</v>
      </c>
      <c r="D11822" t="s">
        <v>10</v>
      </c>
      <c r="E11822" t="str">
        <f>"$ 49"</f>
        <v>$ 49</v>
      </c>
      <c r="F11822">
        <v>50</v>
      </c>
    </row>
    <row r="11823" spans="1:6">
      <c r="A11823" t="s">
        <v>11329</v>
      </c>
      <c r="B11823" t="str">
        <f t="shared" si="412"/>
        <v>0.00001%</v>
      </c>
      <c r="C11823" t="s">
        <v>10</v>
      </c>
      <c r="D11823" t="s">
        <v>10</v>
      </c>
      <c r="E11823" t="str">
        <f>"$ 65"</f>
        <v>$ 65</v>
      </c>
      <c r="F11823">
        <v>37</v>
      </c>
    </row>
    <row r="11824" spans="1:6">
      <c r="A11824" t="s">
        <v>11330</v>
      </c>
      <c r="B11824" t="str">
        <f t="shared" si="412"/>
        <v>0.00001%</v>
      </c>
      <c r="C11824" t="s">
        <v>10</v>
      </c>
      <c r="D11824" t="s">
        <v>10</v>
      </c>
      <c r="E11824" t="str">
        <f>"$ 50"</f>
        <v>$ 50</v>
      </c>
      <c r="F11824">
        <v>50</v>
      </c>
    </row>
    <row r="11825" spans="1:6">
      <c r="A11825" t="s">
        <v>11331</v>
      </c>
      <c r="B11825" t="str">
        <f t="shared" si="412"/>
        <v>0.00001%</v>
      </c>
      <c r="C11825" t="s">
        <v>10</v>
      </c>
      <c r="D11825" t="s">
        <v>10</v>
      </c>
      <c r="E11825" t="str">
        <f>"$ 55"</f>
        <v>$ 55</v>
      </c>
      <c r="F11825">
        <v>18</v>
      </c>
    </row>
    <row r="11826" spans="1:6">
      <c r="A11826" t="s">
        <v>11332</v>
      </c>
      <c r="B11826" t="str">
        <f t="shared" si="412"/>
        <v>0.00001%</v>
      </c>
      <c r="C11826" t="s">
        <v>10</v>
      </c>
      <c r="D11826" t="s">
        <v>10</v>
      </c>
      <c r="E11826" t="str">
        <f>"$ 96"</f>
        <v>$ 96</v>
      </c>
      <c r="F11826">
        <v>167</v>
      </c>
    </row>
    <row r="11827" spans="1:6">
      <c r="A11827" t="s">
        <v>11333</v>
      </c>
      <c r="B11827" t="str">
        <f t="shared" si="412"/>
        <v>0.00001%</v>
      </c>
      <c r="C11827" t="s">
        <v>10</v>
      </c>
      <c r="D11827" t="s">
        <v>10</v>
      </c>
      <c r="E11827" t="str">
        <f>"$ 91"</f>
        <v>$ 91</v>
      </c>
      <c r="F11827">
        <v>34</v>
      </c>
    </row>
    <row r="11828" spans="1:6">
      <c r="A11828" t="s">
        <v>11334</v>
      </c>
      <c r="B11828" t="str">
        <f t="shared" si="412"/>
        <v>0.00001%</v>
      </c>
      <c r="C11828" t="s">
        <v>10</v>
      </c>
      <c r="D11828" t="s">
        <v>10</v>
      </c>
      <c r="E11828" t="str">
        <f>"$ 100"</f>
        <v>$ 100</v>
      </c>
      <c r="F11828">
        <v>33</v>
      </c>
    </row>
    <row r="11829" spans="1:6">
      <c r="A11829" t="s">
        <v>11335</v>
      </c>
      <c r="B11829" t="str">
        <f t="shared" si="412"/>
        <v>0.00001%</v>
      </c>
      <c r="C11829" t="s">
        <v>10</v>
      </c>
      <c r="D11829" t="s">
        <v>10</v>
      </c>
      <c r="E11829" t="str">
        <f>"$ 49"</f>
        <v>$ 49</v>
      </c>
      <c r="F11829">
        <v>44</v>
      </c>
    </row>
    <row r="11830" spans="1:6">
      <c r="A11830" t="s">
        <v>11336</v>
      </c>
      <c r="B11830" t="str">
        <f t="shared" si="412"/>
        <v>0.00001%</v>
      </c>
      <c r="C11830" t="s">
        <v>10</v>
      </c>
      <c r="D11830" t="s">
        <v>10</v>
      </c>
      <c r="E11830" t="str">
        <f>"$ 41"</f>
        <v>$ 41</v>
      </c>
      <c r="F11830">
        <v>5</v>
      </c>
    </row>
    <row r="11831" spans="1:6">
      <c r="A11831" t="s">
        <v>11337</v>
      </c>
      <c r="B11831" t="str">
        <f t="shared" si="412"/>
        <v>0.00001%</v>
      </c>
      <c r="C11831" t="s">
        <v>10</v>
      </c>
      <c r="D11831" t="s">
        <v>10</v>
      </c>
      <c r="E11831" t="str">
        <f>"$ 39"</f>
        <v>$ 39</v>
      </c>
      <c r="F11831">
        <v>6</v>
      </c>
    </row>
    <row r="11832" spans="1:6">
      <c r="A11832" t="s">
        <v>11338</v>
      </c>
      <c r="B11832" t="str">
        <f t="shared" si="412"/>
        <v>0.00001%</v>
      </c>
      <c r="C11832" t="s">
        <v>10</v>
      </c>
      <c r="D11832" t="s">
        <v>10</v>
      </c>
      <c r="E11832" t="str">
        <f>"$ 54"</f>
        <v>$ 54</v>
      </c>
      <c r="F11832">
        <v>56</v>
      </c>
    </row>
    <row r="11833" spans="1:6">
      <c r="A11833" t="s">
        <v>11339</v>
      </c>
      <c r="B11833" t="str">
        <f t="shared" si="412"/>
        <v>0.00001%</v>
      </c>
      <c r="C11833" t="s">
        <v>10</v>
      </c>
      <c r="D11833" t="s">
        <v>10</v>
      </c>
      <c r="E11833" t="str">
        <f>"$ 65"</f>
        <v>$ 65</v>
      </c>
      <c r="F11833">
        <v>39</v>
      </c>
    </row>
    <row r="11834" spans="1:6">
      <c r="A11834" t="s">
        <v>11340</v>
      </c>
      <c r="B11834" t="str">
        <f t="shared" si="412"/>
        <v>0.00001%</v>
      </c>
      <c r="C11834" t="s">
        <v>10</v>
      </c>
      <c r="D11834" t="s">
        <v>10</v>
      </c>
      <c r="E11834" t="str">
        <f>"$ 63"</f>
        <v>$ 63</v>
      </c>
      <c r="F11834">
        <v>30</v>
      </c>
    </row>
    <row r="11835" spans="1:6">
      <c r="A11835" t="s">
        <v>11341</v>
      </c>
      <c r="B11835" t="str">
        <f t="shared" si="412"/>
        <v>0.00001%</v>
      </c>
      <c r="C11835" t="s">
        <v>10</v>
      </c>
      <c r="D11835" t="s">
        <v>10</v>
      </c>
      <c r="E11835" t="str">
        <f>"$ 62"</f>
        <v>$ 62</v>
      </c>
      <c r="F11835">
        <v>82</v>
      </c>
    </row>
    <row r="11836" spans="1:6">
      <c r="A11836" t="s">
        <v>11342</v>
      </c>
      <c r="B11836" t="str">
        <f t="shared" si="412"/>
        <v>0.00001%</v>
      </c>
      <c r="C11836" t="s">
        <v>10</v>
      </c>
      <c r="D11836" t="s">
        <v>10</v>
      </c>
      <c r="E11836" t="str">
        <f>"$ 101"</f>
        <v>$ 101</v>
      </c>
      <c r="F11836">
        <v>12</v>
      </c>
    </row>
    <row r="11837" spans="1:6">
      <c r="A11837" t="s">
        <v>11343</v>
      </c>
      <c r="B11837" t="str">
        <f t="shared" si="412"/>
        <v>0.00001%</v>
      </c>
      <c r="C11837" t="s">
        <v>10</v>
      </c>
      <c r="D11837" t="s">
        <v>10</v>
      </c>
      <c r="E11837" t="str">
        <f>"$ 109"</f>
        <v>$ 109</v>
      </c>
      <c r="F11837">
        <v>68</v>
      </c>
    </row>
    <row r="11838" spans="1:6">
      <c r="A11838" t="s">
        <v>11344</v>
      </c>
      <c r="B11838" t="str">
        <f t="shared" si="412"/>
        <v>0.00001%</v>
      </c>
      <c r="C11838" t="s">
        <v>10</v>
      </c>
      <c r="D11838" t="s">
        <v>10</v>
      </c>
      <c r="E11838" t="str">
        <f>"$ 107"</f>
        <v>$ 107</v>
      </c>
      <c r="F11838">
        <v>26</v>
      </c>
    </row>
    <row r="11839" spans="1:6">
      <c r="A11839" t="s">
        <v>11345</v>
      </c>
      <c r="B11839" t="str">
        <f t="shared" si="412"/>
        <v>0.00001%</v>
      </c>
      <c r="C11839" t="s">
        <v>10</v>
      </c>
      <c r="D11839" t="s">
        <v>10</v>
      </c>
      <c r="E11839" t="str">
        <f>"$ 111"</f>
        <v>$ 111</v>
      </c>
      <c r="F11839">
        <v>13</v>
      </c>
    </row>
    <row r="11840" spans="1:6">
      <c r="A11840" t="s">
        <v>11346</v>
      </c>
      <c r="B11840" t="str">
        <f t="shared" si="412"/>
        <v>0.00001%</v>
      </c>
      <c r="C11840" t="s">
        <v>10</v>
      </c>
      <c r="D11840" t="s">
        <v>10</v>
      </c>
      <c r="E11840" t="str">
        <f>"$ 114"</f>
        <v>$ 114</v>
      </c>
      <c r="F11840">
        <v>167</v>
      </c>
    </row>
    <row r="11841" spans="1:6">
      <c r="A11841" t="s">
        <v>11347</v>
      </c>
      <c r="B11841" t="str">
        <f t="shared" si="412"/>
        <v>0.00001%</v>
      </c>
      <c r="C11841" t="s">
        <v>10</v>
      </c>
      <c r="D11841" t="s">
        <v>10</v>
      </c>
      <c r="E11841" t="str">
        <f>"$ 96"</f>
        <v>$ 96</v>
      </c>
      <c r="F11841">
        <v>175</v>
      </c>
    </row>
    <row r="11842" spans="1:6">
      <c r="A11842" t="s">
        <v>11348</v>
      </c>
      <c r="B11842" t="str">
        <f t="shared" si="412"/>
        <v>0.00001%</v>
      </c>
      <c r="C11842" t="s">
        <v>10</v>
      </c>
      <c r="D11842" t="s">
        <v>10</v>
      </c>
      <c r="E11842" t="str">
        <f>"$ 79"</f>
        <v>$ 79</v>
      </c>
      <c r="F11842">
        <v>47</v>
      </c>
    </row>
    <row r="11843" spans="1:6">
      <c r="A11843" t="s">
        <v>11349</v>
      </c>
      <c r="B11843" t="str">
        <f t="shared" si="412"/>
        <v>0.00001%</v>
      </c>
      <c r="C11843" t="s">
        <v>10</v>
      </c>
      <c r="D11843" t="s">
        <v>10</v>
      </c>
      <c r="E11843" t="str">
        <f>"$ 69"</f>
        <v>$ 69</v>
      </c>
      <c r="F11843">
        <v>10</v>
      </c>
    </row>
    <row r="11844" spans="1:6">
      <c r="A11844" t="s">
        <v>11350</v>
      </c>
      <c r="B11844" t="str">
        <f t="shared" si="412"/>
        <v>0.00001%</v>
      </c>
      <c r="C11844" t="s">
        <v>10</v>
      </c>
      <c r="D11844" t="s">
        <v>10</v>
      </c>
      <c r="E11844" t="str">
        <f>"$ 67"</f>
        <v>$ 67</v>
      </c>
      <c r="F11844">
        <v>51</v>
      </c>
    </row>
    <row r="11845" spans="1:6">
      <c r="A11845" t="s">
        <v>11351</v>
      </c>
      <c r="B11845" t="str">
        <f t="shared" si="412"/>
        <v>0.00001%</v>
      </c>
      <c r="C11845" t="s">
        <v>10</v>
      </c>
      <c r="D11845" t="s">
        <v>10</v>
      </c>
      <c r="E11845" t="str">
        <f>"$ 70"</f>
        <v>$ 70</v>
      </c>
      <c r="F11845">
        <v>21</v>
      </c>
    </row>
    <row r="11846" spans="1:6">
      <c r="A11846" t="s">
        <v>11352</v>
      </c>
      <c r="B11846" t="str">
        <f t="shared" si="412"/>
        <v>0.00001%</v>
      </c>
      <c r="C11846" t="s">
        <v>10</v>
      </c>
      <c r="D11846" t="s">
        <v>10</v>
      </c>
      <c r="E11846" t="str">
        <f>"$ 70"</f>
        <v>$ 70</v>
      </c>
      <c r="F11846">
        <v>52</v>
      </c>
    </row>
    <row r="11847" spans="1:6">
      <c r="A11847" t="s">
        <v>11353</v>
      </c>
      <c r="B11847" t="str">
        <f t="shared" si="412"/>
        <v>0.00001%</v>
      </c>
      <c r="C11847" t="s">
        <v>10</v>
      </c>
      <c r="D11847" t="s">
        <v>10</v>
      </c>
      <c r="E11847" t="str">
        <f>"$ 75"</f>
        <v>$ 75</v>
      </c>
      <c r="F11847">
        <v>57</v>
      </c>
    </row>
    <row r="11848" spans="1:6">
      <c r="A11848" t="s">
        <v>10372</v>
      </c>
      <c r="B11848" t="str">
        <f t="shared" si="412"/>
        <v>0.00001%</v>
      </c>
      <c r="C11848" t="s">
        <v>10</v>
      </c>
      <c r="D11848" t="s">
        <v>10</v>
      </c>
      <c r="E11848" t="str">
        <f>"$ 63"</f>
        <v>$ 63</v>
      </c>
      <c r="F11848">
        <v>30</v>
      </c>
    </row>
    <row r="11849" spans="1:6">
      <c r="A11849" t="s">
        <v>11354</v>
      </c>
      <c r="B11849" t="str">
        <f t="shared" si="412"/>
        <v>0.00001%</v>
      </c>
      <c r="C11849" t="s">
        <v>10</v>
      </c>
      <c r="D11849" t="s">
        <v>10</v>
      </c>
      <c r="E11849" t="str">
        <f>"$ 49"</f>
        <v>$ 49</v>
      </c>
      <c r="F11849">
        <v>7</v>
      </c>
    </row>
    <row r="11850" spans="1:6">
      <c r="A11850" t="s">
        <v>11355</v>
      </c>
      <c r="B11850" t="str">
        <f t="shared" si="412"/>
        <v>0.00001%</v>
      </c>
      <c r="C11850" t="s">
        <v>10</v>
      </c>
      <c r="D11850" t="s">
        <v>10</v>
      </c>
      <c r="E11850" t="str">
        <f>"$ 84"</f>
        <v>$ 84</v>
      </c>
      <c r="F11850">
        <v>65</v>
      </c>
    </row>
    <row r="11851" spans="1:6">
      <c r="A11851" t="s">
        <v>11355</v>
      </c>
      <c r="B11851" t="str">
        <f t="shared" si="412"/>
        <v>0.00001%</v>
      </c>
      <c r="C11851" t="s">
        <v>10</v>
      </c>
      <c r="D11851" t="s">
        <v>10</v>
      </c>
      <c r="E11851" t="str">
        <f>"$ 111"</f>
        <v>$ 111</v>
      </c>
      <c r="F11851">
        <v>86</v>
      </c>
    </row>
    <row r="11852" spans="1:6">
      <c r="A11852" t="s">
        <v>11356</v>
      </c>
      <c r="B11852" t="str">
        <f t="shared" si="412"/>
        <v>0.00001%</v>
      </c>
      <c r="C11852" t="s">
        <v>10</v>
      </c>
      <c r="D11852" t="s">
        <v>10</v>
      </c>
      <c r="E11852" t="str">
        <f>"$ 104"</f>
        <v>$ 104</v>
      </c>
      <c r="F11852" s="1">
        <v>5097</v>
      </c>
    </row>
    <row r="11853" spans="1:6">
      <c r="A11853" t="s">
        <v>11357</v>
      </c>
      <c r="B11853" t="str">
        <f t="shared" si="412"/>
        <v>0.00001%</v>
      </c>
      <c r="C11853" t="s">
        <v>10</v>
      </c>
      <c r="D11853" t="s">
        <v>10</v>
      </c>
      <c r="E11853" t="str">
        <f>"$ 108"</f>
        <v>$ 108</v>
      </c>
      <c r="F11853">
        <v>238</v>
      </c>
    </row>
    <row r="11854" spans="1:6">
      <c r="A11854" t="s">
        <v>11358</v>
      </c>
      <c r="B11854" t="str">
        <f t="shared" si="412"/>
        <v>0.00001%</v>
      </c>
      <c r="C11854" t="s">
        <v>10</v>
      </c>
      <c r="D11854" t="s">
        <v>10</v>
      </c>
      <c r="E11854" t="str">
        <f>"$ 112"</f>
        <v>$ 112</v>
      </c>
      <c r="F11854">
        <v>76</v>
      </c>
    </row>
    <row r="11855" spans="1:6">
      <c r="A11855" t="s">
        <v>11359</v>
      </c>
      <c r="B11855" t="str">
        <f t="shared" si="412"/>
        <v>0.00001%</v>
      </c>
      <c r="C11855" t="s">
        <v>10</v>
      </c>
      <c r="D11855" t="s">
        <v>10</v>
      </c>
      <c r="E11855" t="str">
        <f>"$ 85"</f>
        <v>$ 85</v>
      </c>
      <c r="F11855">
        <v>49</v>
      </c>
    </row>
    <row r="11856" spans="1:6">
      <c r="A11856" t="s">
        <v>11360</v>
      </c>
      <c r="B11856" t="str">
        <f t="shared" si="412"/>
        <v>0.00001%</v>
      </c>
      <c r="C11856" t="s">
        <v>10</v>
      </c>
      <c r="D11856" t="s">
        <v>10</v>
      </c>
      <c r="E11856" t="str">
        <f>"$ 101"</f>
        <v>$ 101</v>
      </c>
      <c r="F11856">
        <v>56</v>
      </c>
    </row>
    <row r="11857" spans="1:6">
      <c r="A11857" t="s">
        <v>11361</v>
      </c>
      <c r="B11857" t="str">
        <f t="shared" si="412"/>
        <v>0.00001%</v>
      </c>
      <c r="C11857" t="s">
        <v>10</v>
      </c>
      <c r="D11857" t="s">
        <v>10</v>
      </c>
      <c r="E11857" t="str">
        <f>"$ 93"</f>
        <v>$ 93</v>
      </c>
      <c r="F11857">
        <v>351</v>
      </c>
    </row>
    <row r="11858" spans="1:6">
      <c r="A11858" t="s">
        <v>11362</v>
      </c>
      <c r="B11858" t="str">
        <f t="shared" si="412"/>
        <v>0.00001%</v>
      </c>
      <c r="C11858" t="s">
        <v>10</v>
      </c>
      <c r="D11858" t="s">
        <v>10</v>
      </c>
      <c r="E11858" t="str">
        <f>"$ 87"</f>
        <v>$ 87</v>
      </c>
      <c r="F11858">
        <v>70</v>
      </c>
    </row>
    <row r="11859" spans="1:6">
      <c r="A11859" t="s">
        <v>11363</v>
      </c>
      <c r="B11859" t="str">
        <f t="shared" ref="B11859:B11922" si="413">"0.00001%"</f>
        <v>0.00001%</v>
      </c>
      <c r="C11859" t="s">
        <v>10</v>
      </c>
      <c r="D11859" t="s">
        <v>10</v>
      </c>
      <c r="E11859" t="str">
        <f>"$ 107"</f>
        <v>$ 107</v>
      </c>
      <c r="F11859">
        <v>87</v>
      </c>
    </row>
    <row r="11860" spans="1:6">
      <c r="A11860" t="s">
        <v>11364</v>
      </c>
      <c r="B11860" t="str">
        <f t="shared" si="413"/>
        <v>0.00001%</v>
      </c>
      <c r="C11860" t="s">
        <v>10</v>
      </c>
      <c r="D11860" t="s">
        <v>10</v>
      </c>
      <c r="E11860" t="str">
        <f>"$ 114"</f>
        <v>$ 114</v>
      </c>
      <c r="F11860">
        <v>123</v>
      </c>
    </row>
    <row r="11861" spans="1:6">
      <c r="A11861" t="s">
        <v>11365</v>
      </c>
      <c r="B11861" t="str">
        <f t="shared" si="413"/>
        <v>0.00001%</v>
      </c>
      <c r="C11861" t="s">
        <v>10</v>
      </c>
      <c r="D11861" t="s">
        <v>10</v>
      </c>
      <c r="E11861" t="str">
        <f>"$ 42"</f>
        <v>$ 42</v>
      </c>
      <c r="F11861">
        <v>30</v>
      </c>
    </row>
    <row r="11862" spans="1:6">
      <c r="A11862" t="s">
        <v>9097</v>
      </c>
      <c r="B11862" t="str">
        <f t="shared" si="413"/>
        <v>0.00001%</v>
      </c>
      <c r="C11862" t="s">
        <v>10</v>
      </c>
      <c r="D11862" t="s">
        <v>10</v>
      </c>
      <c r="E11862" t="str">
        <f>"$ 101"</f>
        <v>$ 101</v>
      </c>
      <c r="F11862">
        <v>46</v>
      </c>
    </row>
    <row r="11863" spans="1:6">
      <c r="A11863" t="s">
        <v>10636</v>
      </c>
      <c r="B11863" t="str">
        <f t="shared" si="413"/>
        <v>0.00001%</v>
      </c>
      <c r="C11863" t="s">
        <v>10</v>
      </c>
      <c r="D11863" t="s">
        <v>10</v>
      </c>
      <c r="E11863" t="str">
        <f>"$ 101"</f>
        <v>$ 101</v>
      </c>
      <c r="F11863">
        <v>89</v>
      </c>
    </row>
    <row r="11864" spans="1:6">
      <c r="A11864" t="s">
        <v>10914</v>
      </c>
      <c r="B11864" t="str">
        <f t="shared" si="413"/>
        <v>0.00001%</v>
      </c>
      <c r="C11864" t="s">
        <v>10</v>
      </c>
      <c r="D11864" t="s">
        <v>10</v>
      </c>
      <c r="E11864" t="str">
        <f>"$ 112"</f>
        <v>$ 112</v>
      </c>
      <c r="F11864">
        <v>130</v>
      </c>
    </row>
    <row r="11865" spans="1:6">
      <c r="A11865" t="s">
        <v>10122</v>
      </c>
      <c r="B11865" t="str">
        <f t="shared" si="413"/>
        <v>0.00001%</v>
      </c>
      <c r="C11865" t="s">
        <v>10</v>
      </c>
      <c r="D11865" t="s">
        <v>10</v>
      </c>
      <c r="E11865" t="str">
        <f>"$ 43"</f>
        <v>$ 43</v>
      </c>
      <c r="F11865">
        <v>34</v>
      </c>
    </row>
    <row r="11866" spans="1:6">
      <c r="A11866" t="s">
        <v>11172</v>
      </c>
      <c r="B11866" t="str">
        <f t="shared" si="413"/>
        <v>0.00001%</v>
      </c>
      <c r="C11866" t="s">
        <v>10</v>
      </c>
      <c r="D11866" t="s">
        <v>10</v>
      </c>
      <c r="E11866" t="str">
        <f>"$ 78"</f>
        <v>$ 78</v>
      </c>
      <c r="F11866">
        <v>55</v>
      </c>
    </row>
    <row r="11867" spans="1:6">
      <c r="A11867" t="s">
        <v>11366</v>
      </c>
      <c r="B11867" t="str">
        <f t="shared" si="413"/>
        <v>0.00001%</v>
      </c>
      <c r="C11867" t="s">
        <v>10</v>
      </c>
      <c r="D11867" t="s">
        <v>10</v>
      </c>
      <c r="E11867" t="str">
        <f>"$ 68"</f>
        <v>$ 68</v>
      </c>
      <c r="F11867">
        <v>633</v>
      </c>
    </row>
    <row r="11868" spans="1:6">
      <c r="A11868" t="s">
        <v>11367</v>
      </c>
      <c r="B11868" t="str">
        <f t="shared" si="413"/>
        <v>0.00001%</v>
      </c>
      <c r="C11868" t="s">
        <v>10</v>
      </c>
      <c r="D11868" t="s">
        <v>10</v>
      </c>
      <c r="E11868" t="str">
        <f>"$ 76"</f>
        <v>$ 76</v>
      </c>
      <c r="F11868">
        <v>36</v>
      </c>
    </row>
    <row r="11869" spans="1:6">
      <c r="A11869" t="s">
        <v>11368</v>
      </c>
      <c r="B11869" t="str">
        <f t="shared" si="413"/>
        <v>0.00001%</v>
      </c>
      <c r="C11869" t="s">
        <v>10</v>
      </c>
      <c r="D11869" t="s">
        <v>10</v>
      </c>
      <c r="E11869" t="str">
        <f>"$ 75"</f>
        <v>$ 75</v>
      </c>
      <c r="F11869">
        <v>39</v>
      </c>
    </row>
    <row r="11870" spans="1:6">
      <c r="A11870" t="s">
        <v>11369</v>
      </c>
      <c r="B11870" t="str">
        <f t="shared" si="413"/>
        <v>0.00001%</v>
      </c>
      <c r="C11870" t="s">
        <v>10</v>
      </c>
      <c r="D11870" t="s">
        <v>10</v>
      </c>
      <c r="E11870" t="str">
        <f>"$ 49"</f>
        <v>$ 49</v>
      </c>
      <c r="F11870">
        <v>6</v>
      </c>
    </row>
    <row r="11871" spans="1:6">
      <c r="A11871" t="s">
        <v>10640</v>
      </c>
      <c r="B11871" t="str">
        <f t="shared" si="413"/>
        <v>0.00001%</v>
      </c>
      <c r="C11871" t="s">
        <v>10</v>
      </c>
      <c r="D11871" t="s">
        <v>10</v>
      </c>
      <c r="E11871" t="str">
        <f>"$ 90"</f>
        <v>$ 90</v>
      </c>
      <c r="F11871">
        <v>82</v>
      </c>
    </row>
    <row r="11872" spans="1:6">
      <c r="A11872" t="s">
        <v>11174</v>
      </c>
      <c r="B11872" t="str">
        <f t="shared" si="413"/>
        <v>0.00001%</v>
      </c>
      <c r="C11872" t="s">
        <v>10</v>
      </c>
      <c r="D11872" t="s">
        <v>10</v>
      </c>
      <c r="E11872" t="str">
        <f>"$ 90"</f>
        <v>$ 90</v>
      </c>
      <c r="F11872">
        <v>304</v>
      </c>
    </row>
    <row r="11873" spans="1:6">
      <c r="A11873" t="s">
        <v>11370</v>
      </c>
      <c r="B11873" t="str">
        <f t="shared" si="413"/>
        <v>0.00001%</v>
      </c>
      <c r="C11873" t="s">
        <v>10</v>
      </c>
      <c r="D11873" t="s">
        <v>10</v>
      </c>
      <c r="E11873" t="str">
        <f>"$ 54"</f>
        <v>$ 54</v>
      </c>
      <c r="F11873">
        <v>45</v>
      </c>
    </row>
    <row r="11874" spans="1:6">
      <c r="A11874" t="s">
        <v>10642</v>
      </c>
      <c r="B11874" t="str">
        <f t="shared" si="413"/>
        <v>0.00001%</v>
      </c>
      <c r="C11874" t="s">
        <v>10</v>
      </c>
      <c r="D11874" t="s">
        <v>10</v>
      </c>
      <c r="E11874" t="str">
        <f>"$ 113"</f>
        <v>$ 113</v>
      </c>
      <c r="F11874">
        <v>54</v>
      </c>
    </row>
    <row r="11875" spans="1:6">
      <c r="A11875" t="s">
        <v>11371</v>
      </c>
      <c r="B11875" t="str">
        <f t="shared" si="413"/>
        <v>0.00001%</v>
      </c>
      <c r="C11875" t="s">
        <v>10</v>
      </c>
      <c r="D11875" t="s">
        <v>10</v>
      </c>
      <c r="E11875" t="str">
        <f>"$ 66"</f>
        <v>$ 66</v>
      </c>
      <c r="F11875">
        <v>14</v>
      </c>
    </row>
    <row r="11876" spans="1:6">
      <c r="A11876" t="s">
        <v>11372</v>
      </c>
      <c r="B11876" t="str">
        <f t="shared" si="413"/>
        <v>0.00001%</v>
      </c>
      <c r="C11876" t="s">
        <v>10</v>
      </c>
      <c r="D11876" t="s">
        <v>10</v>
      </c>
      <c r="E11876" t="str">
        <f>"$ 64"</f>
        <v>$ 64</v>
      </c>
      <c r="F11876">
        <v>15</v>
      </c>
    </row>
    <row r="11877" spans="1:6">
      <c r="A11877" t="s">
        <v>11373</v>
      </c>
      <c r="B11877" t="str">
        <f t="shared" si="413"/>
        <v>0.00001%</v>
      </c>
      <c r="C11877" t="s">
        <v>10</v>
      </c>
      <c r="D11877" t="s">
        <v>10</v>
      </c>
      <c r="E11877" t="str">
        <f>"$ 41"</f>
        <v>$ 41</v>
      </c>
      <c r="F11877">
        <v>34</v>
      </c>
    </row>
    <row r="11878" spans="1:6">
      <c r="A11878" t="s">
        <v>10930</v>
      </c>
      <c r="B11878" t="str">
        <f t="shared" si="413"/>
        <v>0.00001%</v>
      </c>
      <c r="C11878" t="s">
        <v>10</v>
      </c>
      <c r="D11878" t="s">
        <v>10</v>
      </c>
      <c r="E11878" t="str">
        <f>"$ 111"</f>
        <v>$ 111</v>
      </c>
      <c r="F11878">
        <v>83</v>
      </c>
    </row>
    <row r="11879" spans="1:6">
      <c r="A11879" t="s">
        <v>11374</v>
      </c>
      <c r="B11879" t="str">
        <f t="shared" si="413"/>
        <v>0.00001%</v>
      </c>
      <c r="C11879" t="s">
        <v>10</v>
      </c>
      <c r="D11879" t="s">
        <v>10</v>
      </c>
      <c r="E11879" t="str">
        <f>"$ 68"</f>
        <v>$ 68</v>
      </c>
      <c r="F11879">
        <v>2</v>
      </c>
    </row>
    <row r="11880" spans="1:6">
      <c r="A11880" t="s">
        <v>11375</v>
      </c>
      <c r="B11880" t="str">
        <f t="shared" si="413"/>
        <v>0.00001%</v>
      </c>
      <c r="C11880" t="s">
        <v>10</v>
      </c>
      <c r="D11880" t="s">
        <v>10</v>
      </c>
      <c r="E11880" t="str">
        <f>"$ 78"</f>
        <v>$ 78</v>
      </c>
      <c r="F11880">
        <v>195</v>
      </c>
    </row>
    <row r="11881" spans="1:6">
      <c r="A11881" t="s">
        <v>11376</v>
      </c>
      <c r="B11881" t="str">
        <f t="shared" si="413"/>
        <v>0.00001%</v>
      </c>
      <c r="C11881" t="s">
        <v>10</v>
      </c>
      <c r="D11881" t="s">
        <v>10</v>
      </c>
      <c r="E11881" t="str">
        <f>"$ 58"</f>
        <v>$ 58</v>
      </c>
      <c r="F11881">
        <v>44</v>
      </c>
    </row>
    <row r="11882" spans="1:6">
      <c r="A11882" t="s">
        <v>11194</v>
      </c>
      <c r="B11882" t="str">
        <f t="shared" si="413"/>
        <v>0.00001%</v>
      </c>
      <c r="C11882" t="s">
        <v>10</v>
      </c>
      <c r="D11882" t="s">
        <v>10</v>
      </c>
      <c r="E11882" t="str">
        <f>"$ 65"</f>
        <v>$ 65</v>
      </c>
      <c r="F11882">
        <v>73</v>
      </c>
    </row>
    <row r="11883" spans="1:6">
      <c r="A11883" t="s">
        <v>11377</v>
      </c>
      <c r="B11883" t="str">
        <f t="shared" si="413"/>
        <v>0.00001%</v>
      </c>
      <c r="C11883" t="s">
        <v>10</v>
      </c>
      <c r="D11883" t="s">
        <v>10</v>
      </c>
      <c r="E11883" t="str">
        <f>"$ 67"</f>
        <v>$ 67</v>
      </c>
      <c r="F11883">
        <v>61</v>
      </c>
    </row>
    <row r="11884" spans="1:6">
      <c r="A11884" t="s">
        <v>11377</v>
      </c>
      <c r="B11884" t="str">
        <f t="shared" si="413"/>
        <v>0.00001%</v>
      </c>
      <c r="C11884" t="s">
        <v>10</v>
      </c>
      <c r="D11884" t="s">
        <v>10</v>
      </c>
      <c r="E11884" t="str">
        <f>"$ 101"</f>
        <v>$ 101</v>
      </c>
      <c r="F11884">
        <v>91</v>
      </c>
    </row>
    <row r="11885" spans="1:6">
      <c r="A11885" t="s">
        <v>11378</v>
      </c>
      <c r="B11885" t="str">
        <f t="shared" si="413"/>
        <v>0.00001%</v>
      </c>
      <c r="C11885" t="s">
        <v>10</v>
      </c>
      <c r="D11885" t="s">
        <v>10</v>
      </c>
      <c r="E11885" t="str">
        <f>"$ 59"</f>
        <v>$ 59</v>
      </c>
      <c r="F11885">
        <v>27</v>
      </c>
    </row>
    <row r="11886" spans="1:6">
      <c r="A11886" t="s">
        <v>11379</v>
      </c>
      <c r="B11886" t="str">
        <f t="shared" si="413"/>
        <v>0.00001%</v>
      </c>
      <c r="C11886" t="s">
        <v>10</v>
      </c>
      <c r="D11886" t="s">
        <v>10</v>
      </c>
      <c r="E11886" t="str">
        <f>"$ 59"</f>
        <v>$ 59</v>
      </c>
      <c r="F11886">
        <v>139</v>
      </c>
    </row>
    <row r="11887" spans="1:6">
      <c r="A11887" t="s">
        <v>11380</v>
      </c>
      <c r="B11887" t="str">
        <f t="shared" si="413"/>
        <v>0.00001%</v>
      </c>
      <c r="C11887" t="s">
        <v>10</v>
      </c>
      <c r="D11887" t="s">
        <v>10</v>
      </c>
      <c r="E11887" t="str">
        <f>"$ 42"</f>
        <v>$ 42</v>
      </c>
      <c r="F11887">
        <v>333</v>
      </c>
    </row>
    <row r="11888" spans="1:6">
      <c r="A11888" t="s">
        <v>8408</v>
      </c>
      <c r="B11888" t="str">
        <f t="shared" si="413"/>
        <v>0.00001%</v>
      </c>
      <c r="C11888" t="s">
        <v>10</v>
      </c>
      <c r="D11888" t="s">
        <v>10</v>
      </c>
      <c r="E11888" t="str">
        <f>"$ 62"</f>
        <v>$ 62</v>
      </c>
      <c r="F11888">
        <v>92</v>
      </c>
    </row>
    <row r="11889" spans="1:6">
      <c r="A11889" t="s">
        <v>11381</v>
      </c>
      <c r="B11889" t="str">
        <f t="shared" si="413"/>
        <v>0.00001%</v>
      </c>
      <c r="C11889" t="s">
        <v>10</v>
      </c>
      <c r="D11889" t="s">
        <v>10</v>
      </c>
      <c r="E11889" t="str">
        <f>"$ 58"</f>
        <v>$ 58</v>
      </c>
      <c r="F11889">
        <v>45</v>
      </c>
    </row>
    <row r="11890" spans="1:6">
      <c r="A11890" t="s">
        <v>10399</v>
      </c>
      <c r="B11890" t="str">
        <f t="shared" si="413"/>
        <v>0.00001%</v>
      </c>
      <c r="C11890" t="s">
        <v>10</v>
      </c>
      <c r="D11890" t="s">
        <v>10</v>
      </c>
      <c r="E11890" t="str">
        <f>"$ 47"</f>
        <v>$ 47</v>
      </c>
      <c r="F11890">
        <v>82</v>
      </c>
    </row>
    <row r="11891" spans="1:6">
      <c r="A11891" t="s">
        <v>11382</v>
      </c>
      <c r="B11891" t="str">
        <f t="shared" si="413"/>
        <v>0.00001%</v>
      </c>
      <c r="C11891" t="s">
        <v>10</v>
      </c>
      <c r="D11891" t="s">
        <v>10</v>
      </c>
      <c r="E11891" t="str">
        <f>"$ 90"</f>
        <v>$ 90</v>
      </c>
      <c r="F11891">
        <v>43</v>
      </c>
    </row>
    <row r="11892" spans="1:6">
      <c r="A11892" t="s">
        <v>11383</v>
      </c>
      <c r="B11892" t="str">
        <f t="shared" si="413"/>
        <v>0.00001%</v>
      </c>
      <c r="C11892" t="s">
        <v>10</v>
      </c>
      <c r="D11892" t="s">
        <v>10</v>
      </c>
      <c r="E11892" t="str">
        <f>"$ 47"</f>
        <v>$ 47</v>
      </c>
      <c r="F11892">
        <v>5</v>
      </c>
    </row>
    <row r="11893" spans="1:6">
      <c r="A11893" t="s">
        <v>11384</v>
      </c>
      <c r="B11893" t="str">
        <f t="shared" si="413"/>
        <v>0.00001%</v>
      </c>
      <c r="C11893" t="s">
        <v>10</v>
      </c>
      <c r="D11893" t="s">
        <v>10</v>
      </c>
      <c r="E11893" t="str">
        <f>"$ 41"</f>
        <v>$ 41</v>
      </c>
      <c r="F11893">
        <v>2</v>
      </c>
    </row>
    <row r="11894" spans="1:6">
      <c r="A11894" t="s">
        <v>11385</v>
      </c>
      <c r="B11894" t="str">
        <f t="shared" si="413"/>
        <v>0.00001%</v>
      </c>
      <c r="C11894" t="s">
        <v>10</v>
      </c>
      <c r="D11894" t="s">
        <v>10</v>
      </c>
      <c r="E11894" t="str">
        <f>"$ 60"</f>
        <v>$ 60</v>
      </c>
      <c r="F11894">
        <v>3</v>
      </c>
    </row>
    <row r="11895" spans="1:6">
      <c r="A11895" t="s">
        <v>11386</v>
      </c>
      <c r="B11895" t="str">
        <f t="shared" si="413"/>
        <v>0.00001%</v>
      </c>
      <c r="C11895" t="s">
        <v>10</v>
      </c>
      <c r="D11895" t="s">
        <v>10</v>
      </c>
      <c r="E11895" t="str">
        <f>"$ 87"</f>
        <v>$ 87</v>
      </c>
      <c r="F11895">
        <v>4</v>
      </c>
    </row>
    <row r="11896" spans="1:6">
      <c r="A11896" t="s">
        <v>11387</v>
      </c>
      <c r="B11896" t="str">
        <f t="shared" si="413"/>
        <v>0.00001%</v>
      </c>
      <c r="C11896" t="s">
        <v>10</v>
      </c>
      <c r="D11896" t="s">
        <v>10</v>
      </c>
      <c r="E11896" t="str">
        <f>"$ 114"</f>
        <v>$ 114</v>
      </c>
      <c r="F11896">
        <v>67</v>
      </c>
    </row>
    <row r="11897" spans="1:6">
      <c r="A11897" t="s">
        <v>11388</v>
      </c>
      <c r="B11897" t="str">
        <f t="shared" si="413"/>
        <v>0.00001%</v>
      </c>
      <c r="C11897" t="s">
        <v>10</v>
      </c>
      <c r="D11897" t="s">
        <v>10</v>
      </c>
      <c r="E11897" t="str">
        <f>"$ 116"</f>
        <v>$ 116</v>
      </c>
      <c r="F11897">
        <v>4</v>
      </c>
    </row>
    <row r="11898" spans="1:6">
      <c r="A11898" t="s">
        <v>11389</v>
      </c>
      <c r="B11898" t="str">
        <f t="shared" si="413"/>
        <v>0.00001%</v>
      </c>
      <c r="C11898" t="s">
        <v>10</v>
      </c>
      <c r="D11898" t="s">
        <v>10</v>
      </c>
      <c r="E11898" t="str">
        <f>"$ 72"</f>
        <v>$ 72</v>
      </c>
      <c r="F11898">
        <v>5</v>
      </c>
    </row>
    <row r="11899" spans="1:6">
      <c r="A11899" t="s">
        <v>11390</v>
      </c>
      <c r="B11899" t="str">
        <f t="shared" si="413"/>
        <v>0.00001%</v>
      </c>
      <c r="C11899" t="s">
        <v>10</v>
      </c>
      <c r="D11899" t="s">
        <v>10</v>
      </c>
      <c r="E11899" t="str">
        <f>"$ 50"</f>
        <v>$ 50</v>
      </c>
      <c r="F11899">
        <v>7</v>
      </c>
    </row>
    <row r="11900" spans="1:6">
      <c r="A11900" t="s">
        <v>11391</v>
      </c>
      <c r="B11900" t="str">
        <f t="shared" si="413"/>
        <v>0.00001%</v>
      </c>
      <c r="C11900" t="s">
        <v>10</v>
      </c>
      <c r="D11900" t="s">
        <v>10</v>
      </c>
      <c r="E11900" t="str">
        <f>"$ 78"</f>
        <v>$ 78</v>
      </c>
      <c r="F11900">
        <v>45</v>
      </c>
    </row>
    <row r="11901" spans="1:6">
      <c r="A11901" t="s">
        <v>10414</v>
      </c>
      <c r="B11901" t="str">
        <f t="shared" si="413"/>
        <v>0.00001%</v>
      </c>
      <c r="C11901" t="s">
        <v>10</v>
      </c>
      <c r="D11901" t="s">
        <v>10</v>
      </c>
      <c r="E11901" t="str">
        <f>"$ 113"</f>
        <v>$ 113</v>
      </c>
      <c r="F11901">
        <v>125</v>
      </c>
    </row>
    <row r="11902" spans="1:6">
      <c r="A11902" t="s">
        <v>10164</v>
      </c>
      <c r="B11902" t="str">
        <f t="shared" si="413"/>
        <v>0.00001%</v>
      </c>
      <c r="C11902" t="s">
        <v>10</v>
      </c>
      <c r="D11902" t="s">
        <v>10</v>
      </c>
      <c r="E11902" t="str">
        <f>"$ 108"</f>
        <v>$ 108</v>
      </c>
      <c r="F11902">
        <v>82</v>
      </c>
    </row>
    <row r="11903" spans="1:6">
      <c r="A11903" t="s">
        <v>11214</v>
      </c>
      <c r="B11903" t="str">
        <f t="shared" si="413"/>
        <v>0.00001%</v>
      </c>
      <c r="C11903" t="s">
        <v>10</v>
      </c>
      <c r="D11903" t="s">
        <v>10</v>
      </c>
      <c r="E11903" t="str">
        <f>"$ 52"</f>
        <v>$ 52</v>
      </c>
      <c r="F11903">
        <v>98</v>
      </c>
    </row>
    <row r="11904" spans="1:6">
      <c r="A11904" t="s">
        <v>11392</v>
      </c>
      <c r="B11904" t="str">
        <f t="shared" si="413"/>
        <v>0.00001%</v>
      </c>
      <c r="C11904" t="s">
        <v>10</v>
      </c>
      <c r="D11904" t="s">
        <v>10</v>
      </c>
      <c r="E11904" t="str">
        <f>"$ 44"</f>
        <v>$ 44</v>
      </c>
      <c r="F11904">
        <v>1</v>
      </c>
    </row>
    <row r="11905" spans="1:6">
      <c r="A11905" t="s">
        <v>11393</v>
      </c>
      <c r="B11905" t="str">
        <f t="shared" si="413"/>
        <v>0.00001%</v>
      </c>
      <c r="C11905" t="s">
        <v>10</v>
      </c>
      <c r="D11905" t="s">
        <v>10</v>
      </c>
      <c r="E11905" t="str">
        <f>"$ 40"</f>
        <v>$ 40</v>
      </c>
      <c r="F11905">
        <v>229</v>
      </c>
    </row>
    <row r="11906" spans="1:6">
      <c r="A11906" t="s">
        <v>11394</v>
      </c>
      <c r="B11906" t="str">
        <f t="shared" si="413"/>
        <v>0.00001%</v>
      </c>
      <c r="C11906" t="s">
        <v>10</v>
      </c>
      <c r="D11906" t="s">
        <v>10</v>
      </c>
      <c r="E11906" t="str">
        <f>"$ 40"</f>
        <v>$ 40</v>
      </c>
      <c r="F11906">
        <v>1</v>
      </c>
    </row>
    <row r="11907" spans="1:6">
      <c r="A11907" t="s">
        <v>11395</v>
      </c>
      <c r="B11907" t="str">
        <f t="shared" si="413"/>
        <v>0.00001%</v>
      </c>
      <c r="C11907" t="s">
        <v>10</v>
      </c>
      <c r="D11907" t="s">
        <v>10</v>
      </c>
      <c r="E11907" t="str">
        <f>"$ 43"</f>
        <v>$ 43</v>
      </c>
      <c r="F11907">
        <v>3</v>
      </c>
    </row>
    <row r="11908" spans="1:6">
      <c r="A11908" t="s">
        <v>11396</v>
      </c>
      <c r="B11908" t="str">
        <f t="shared" si="413"/>
        <v>0.00001%</v>
      </c>
      <c r="C11908" t="s">
        <v>10</v>
      </c>
      <c r="D11908" t="s">
        <v>10</v>
      </c>
      <c r="E11908" t="str">
        <f>"$ 45"</f>
        <v>$ 45</v>
      </c>
      <c r="F11908" s="1">
        <v>1020</v>
      </c>
    </row>
    <row r="11909" spans="1:6">
      <c r="A11909" t="s">
        <v>11397</v>
      </c>
      <c r="B11909" t="str">
        <f t="shared" si="413"/>
        <v>0.00001%</v>
      </c>
      <c r="C11909" t="s">
        <v>10</v>
      </c>
      <c r="D11909" t="s">
        <v>10</v>
      </c>
      <c r="E11909" t="str">
        <f>"$ 52"</f>
        <v>$ 52</v>
      </c>
      <c r="F11909">
        <v>10</v>
      </c>
    </row>
    <row r="11910" spans="1:6">
      <c r="A11910" t="s">
        <v>11216</v>
      </c>
      <c r="B11910" t="str">
        <f t="shared" si="413"/>
        <v>0.00001%</v>
      </c>
      <c r="C11910" t="s">
        <v>10</v>
      </c>
      <c r="D11910" t="s">
        <v>10</v>
      </c>
      <c r="E11910" t="str">
        <f>"$ 55"</f>
        <v>$ 55</v>
      </c>
      <c r="F11910">
        <v>38</v>
      </c>
    </row>
    <row r="11911" spans="1:6">
      <c r="A11911" t="s">
        <v>10160</v>
      </c>
      <c r="B11911" t="str">
        <f t="shared" si="413"/>
        <v>0.00001%</v>
      </c>
      <c r="C11911" t="s">
        <v>10</v>
      </c>
      <c r="D11911" t="s">
        <v>10</v>
      </c>
      <c r="E11911" t="str">
        <f>"$ 64"</f>
        <v>$ 64</v>
      </c>
      <c r="F11911">
        <v>34</v>
      </c>
    </row>
    <row r="11912" spans="1:6">
      <c r="A11912" t="s">
        <v>10960</v>
      </c>
      <c r="B11912" t="str">
        <f t="shared" si="413"/>
        <v>0.00001%</v>
      </c>
      <c r="C11912" t="s">
        <v>10</v>
      </c>
      <c r="D11912" t="s">
        <v>10</v>
      </c>
      <c r="E11912" t="str">
        <f>"$ 76"</f>
        <v>$ 76</v>
      </c>
      <c r="F11912">
        <v>80</v>
      </c>
    </row>
    <row r="11913" spans="1:6">
      <c r="A11913" t="s">
        <v>11398</v>
      </c>
      <c r="B11913" t="str">
        <f t="shared" si="413"/>
        <v>0.00001%</v>
      </c>
      <c r="C11913" t="s">
        <v>10</v>
      </c>
      <c r="D11913" t="s">
        <v>10</v>
      </c>
      <c r="E11913" t="str">
        <f>"$ 87"</f>
        <v>$ 87</v>
      </c>
      <c r="F11913">
        <v>111</v>
      </c>
    </row>
    <row r="11914" spans="1:6">
      <c r="A11914" t="s">
        <v>8547</v>
      </c>
      <c r="B11914" t="str">
        <f t="shared" si="413"/>
        <v>0.00001%</v>
      </c>
      <c r="C11914" t="s">
        <v>10</v>
      </c>
      <c r="D11914" t="s">
        <v>10</v>
      </c>
      <c r="E11914" t="str">
        <f>"$ 95"</f>
        <v>$ 95</v>
      </c>
      <c r="F11914">
        <v>160</v>
      </c>
    </row>
    <row r="11915" spans="1:6">
      <c r="A11915" t="s">
        <v>9685</v>
      </c>
      <c r="B11915" t="str">
        <f t="shared" si="413"/>
        <v>0.00001%</v>
      </c>
      <c r="C11915" t="s">
        <v>10</v>
      </c>
      <c r="D11915" t="s">
        <v>10</v>
      </c>
      <c r="E11915" t="str">
        <f>"$ 99"</f>
        <v>$ 99</v>
      </c>
      <c r="F11915">
        <v>99</v>
      </c>
    </row>
    <row r="11916" spans="1:6">
      <c r="A11916" t="s">
        <v>9915</v>
      </c>
      <c r="B11916" t="str">
        <f t="shared" si="413"/>
        <v>0.00001%</v>
      </c>
      <c r="C11916" t="s">
        <v>10</v>
      </c>
      <c r="D11916" t="s">
        <v>10</v>
      </c>
      <c r="E11916" t="str">
        <f>"$ 73"</f>
        <v>$ 73</v>
      </c>
      <c r="F11916">
        <v>90</v>
      </c>
    </row>
    <row r="11917" spans="1:6">
      <c r="A11917" t="s">
        <v>11221</v>
      </c>
      <c r="B11917" t="str">
        <f t="shared" si="413"/>
        <v>0.00001%</v>
      </c>
      <c r="C11917" t="s">
        <v>10</v>
      </c>
      <c r="D11917" t="s">
        <v>10</v>
      </c>
      <c r="E11917" t="str">
        <f>"$ 79"</f>
        <v>$ 79</v>
      </c>
      <c r="F11917">
        <v>94</v>
      </c>
    </row>
    <row r="11918" spans="1:6">
      <c r="A11918" t="s">
        <v>11399</v>
      </c>
      <c r="B11918" t="str">
        <f t="shared" si="413"/>
        <v>0.00001%</v>
      </c>
      <c r="C11918" t="s">
        <v>10</v>
      </c>
      <c r="D11918" t="s">
        <v>10</v>
      </c>
      <c r="E11918" t="str">
        <f>"$ 81"</f>
        <v>$ 81</v>
      </c>
      <c r="F11918" s="1">
        <v>4433</v>
      </c>
    </row>
    <row r="11919" spans="1:6">
      <c r="A11919" t="s">
        <v>8962</v>
      </c>
      <c r="B11919" t="str">
        <f t="shared" si="413"/>
        <v>0.00001%</v>
      </c>
      <c r="C11919" t="s">
        <v>10</v>
      </c>
      <c r="D11919" t="s">
        <v>10</v>
      </c>
      <c r="E11919" t="str">
        <f>"$ 84"</f>
        <v>$ 84</v>
      </c>
      <c r="F11919">
        <v>165</v>
      </c>
    </row>
    <row r="11920" spans="1:6">
      <c r="A11920" t="s">
        <v>9303</v>
      </c>
      <c r="B11920" t="str">
        <f t="shared" si="413"/>
        <v>0.00001%</v>
      </c>
      <c r="C11920" t="s">
        <v>10</v>
      </c>
      <c r="D11920" t="s">
        <v>10</v>
      </c>
      <c r="E11920" t="str">
        <f>"$ 83"</f>
        <v>$ 83</v>
      </c>
      <c r="F11920">
        <v>23</v>
      </c>
    </row>
    <row r="11921" spans="1:6">
      <c r="A11921" t="s">
        <v>11400</v>
      </c>
      <c r="B11921" t="str">
        <f t="shared" si="413"/>
        <v>0.00001%</v>
      </c>
      <c r="C11921" t="s">
        <v>10</v>
      </c>
      <c r="D11921" t="s">
        <v>10</v>
      </c>
      <c r="E11921" t="str">
        <f>"$ 108"</f>
        <v>$ 108</v>
      </c>
      <c r="F11921">
        <v>191</v>
      </c>
    </row>
    <row r="11922" spans="1:6">
      <c r="A11922" t="s">
        <v>11401</v>
      </c>
      <c r="B11922" t="str">
        <f t="shared" si="413"/>
        <v>0.00001%</v>
      </c>
      <c r="C11922" t="s">
        <v>10</v>
      </c>
      <c r="D11922" t="s">
        <v>10</v>
      </c>
      <c r="E11922" t="str">
        <f>"$ 42"</f>
        <v>$ 42</v>
      </c>
      <c r="F11922">
        <v>13</v>
      </c>
    </row>
    <row r="11923" spans="1:6">
      <c r="A11923" t="s">
        <v>4162</v>
      </c>
      <c r="B11923" t="str">
        <f t="shared" ref="B11923:B11938" si="414">"0.00001%"</f>
        <v>0.00001%</v>
      </c>
      <c r="C11923" t="s">
        <v>10</v>
      </c>
      <c r="D11923" t="s">
        <v>10</v>
      </c>
      <c r="E11923" t="str">
        <f>"$ 43"</f>
        <v>$ 43</v>
      </c>
      <c r="F11923">
        <v>10</v>
      </c>
    </row>
    <row r="11924" spans="1:6">
      <c r="A11924" t="s">
        <v>11402</v>
      </c>
      <c r="B11924" t="str">
        <f t="shared" si="414"/>
        <v>0.00001%</v>
      </c>
      <c r="C11924" t="s">
        <v>10</v>
      </c>
      <c r="D11924" t="s">
        <v>10</v>
      </c>
      <c r="E11924" t="str">
        <f>"$ 43"</f>
        <v>$ 43</v>
      </c>
      <c r="F11924">
        <v>38</v>
      </c>
    </row>
    <row r="11925" spans="1:6">
      <c r="A11925" t="s">
        <v>11403</v>
      </c>
      <c r="B11925" t="str">
        <f t="shared" si="414"/>
        <v>0.00001%</v>
      </c>
      <c r="C11925" t="s">
        <v>10</v>
      </c>
      <c r="D11925" t="s">
        <v>10</v>
      </c>
      <c r="E11925" t="str">
        <f>"$ 98"</f>
        <v>$ 98</v>
      </c>
      <c r="F11925">
        <v>22</v>
      </c>
    </row>
    <row r="11926" spans="1:6">
      <c r="A11926" t="s">
        <v>11404</v>
      </c>
      <c r="B11926" t="str">
        <f t="shared" si="414"/>
        <v>0.00001%</v>
      </c>
      <c r="C11926" t="s">
        <v>10</v>
      </c>
      <c r="D11926" t="s">
        <v>10</v>
      </c>
      <c r="E11926" t="str">
        <f>"$ 47"</f>
        <v>$ 47</v>
      </c>
      <c r="F11926">
        <v>25</v>
      </c>
    </row>
    <row r="11927" spans="1:6">
      <c r="A11927" t="s">
        <v>11405</v>
      </c>
      <c r="B11927" t="str">
        <f t="shared" si="414"/>
        <v>0.00001%</v>
      </c>
      <c r="C11927" t="s">
        <v>10</v>
      </c>
      <c r="D11927" t="s">
        <v>10</v>
      </c>
      <c r="E11927" t="str">
        <f>"$ 77"</f>
        <v>$ 77</v>
      </c>
      <c r="F11927">
        <v>18</v>
      </c>
    </row>
    <row r="11928" spans="1:6">
      <c r="A11928" t="s">
        <v>11406</v>
      </c>
      <c r="B11928" t="str">
        <f t="shared" si="414"/>
        <v>0.00001%</v>
      </c>
      <c r="C11928" t="s">
        <v>10</v>
      </c>
      <c r="D11928" t="s">
        <v>10</v>
      </c>
      <c r="E11928" t="str">
        <f>"$ 50"</f>
        <v>$ 50</v>
      </c>
      <c r="F11928">
        <v>8</v>
      </c>
    </row>
    <row r="11929" spans="1:6">
      <c r="A11929" t="s">
        <v>11407</v>
      </c>
      <c r="B11929" t="str">
        <f t="shared" si="414"/>
        <v>0.00001%</v>
      </c>
      <c r="C11929" t="s">
        <v>10</v>
      </c>
      <c r="D11929" t="s">
        <v>10</v>
      </c>
      <c r="E11929" t="str">
        <f>"$ 76"</f>
        <v>$ 76</v>
      </c>
      <c r="F11929">
        <v>66</v>
      </c>
    </row>
    <row r="11930" spans="1:6">
      <c r="A11930" t="s">
        <v>10985</v>
      </c>
      <c r="B11930" t="str">
        <f t="shared" si="414"/>
        <v>0.00001%</v>
      </c>
      <c r="C11930" t="s">
        <v>10</v>
      </c>
      <c r="D11930" t="s">
        <v>10</v>
      </c>
      <c r="E11930" t="str">
        <f>"$ 68"</f>
        <v>$ 68</v>
      </c>
      <c r="F11930">
        <v>33</v>
      </c>
    </row>
    <row r="11931" spans="1:6">
      <c r="A11931" t="s">
        <v>9936</v>
      </c>
      <c r="B11931" t="str">
        <f t="shared" si="414"/>
        <v>0.00001%</v>
      </c>
      <c r="C11931" t="s">
        <v>10</v>
      </c>
      <c r="D11931" t="s">
        <v>10</v>
      </c>
      <c r="E11931" t="str">
        <f>"$ 110"</f>
        <v>$ 110</v>
      </c>
      <c r="F11931">
        <v>24</v>
      </c>
    </row>
    <row r="11932" spans="1:6">
      <c r="A11932" t="s">
        <v>11408</v>
      </c>
      <c r="B11932" t="str">
        <f t="shared" si="414"/>
        <v>0.00001%</v>
      </c>
      <c r="C11932" t="s">
        <v>10</v>
      </c>
      <c r="D11932" t="s">
        <v>10</v>
      </c>
      <c r="E11932" t="str">
        <f>"$ 71"</f>
        <v>$ 71</v>
      </c>
      <c r="F11932">
        <v>44</v>
      </c>
    </row>
    <row r="11933" spans="1:6">
      <c r="A11933" t="s">
        <v>11409</v>
      </c>
      <c r="B11933" t="str">
        <f t="shared" si="414"/>
        <v>0.00001%</v>
      </c>
      <c r="C11933" t="s">
        <v>10</v>
      </c>
      <c r="D11933" t="s">
        <v>10</v>
      </c>
      <c r="E11933" t="str">
        <f>"$ 102"</f>
        <v>$ 102</v>
      </c>
      <c r="F11933">
        <v>44</v>
      </c>
    </row>
    <row r="11934" spans="1:6">
      <c r="A11934" t="s">
        <v>11410</v>
      </c>
      <c r="B11934" t="str">
        <f t="shared" si="414"/>
        <v>0.00001%</v>
      </c>
      <c r="C11934" t="s">
        <v>10</v>
      </c>
      <c r="D11934" t="s">
        <v>10</v>
      </c>
      <c r="E11934" t="str">
        <f>"$ 63"</f>
        <v>$ 63</v>
      </c>
      <c r="F11934">
        <v>20</v>
      </c>
    </row>
    <row r="11935" spans="1:6">
      <c r="A11935" t="s">
        <v>9330</v>
      </c>
      <c r="B11935" t="str">
        <f t="shared" si="414"/>
        <v>0.00001%</v>
      </c>
      <c r="C11935" t="s">
        <v>10</v>
      </c>
      <c r="D11935" t="s">
        <v>10</v>
      </c>
      <c r="E11935" t="str">
        <f>"$ 97"</f>
        <v>$ 97</v>
      </c>
      <c r="F11935">
        <v>40</v>
      </c>
    </row>
    <row r="11936" spans="1:6">
      <c r="A11936" t="s">
        <v>11411</v>
      </c>
      <c r="B11936" t="str">
        <f t="shared" si="414"/>
        <v>0.00001%</v>
      </c>
      <c r="C11936" t="s">
        <v>10</v>
      </c>
      <c r="D11936" t="s">
        <v>10</v>
      </c>
      <c r="E11936" t="str">
        <f>"$ 51"</f>
        <v>$ 51</v>
      </c>
      <c r="F11936">
        <v>398</v>
      </c>
    </row>
    <row r="11937" spans="1:6">
      <c r="A11937" t="s">
        <v>11412</v>
      </c>
      <c r="B11937" t="str">
        <f t="shared" si="414"/>
        <v>0.00001%</v>
      </c>
      <c r="C11937" t="s">
        <v>10</v>
      </c>
      <c r="D11937" t="s">
        <v>10</v>
      </c>
      <c r="E11937" t="str">
        <f>"$ 92"</f>
        <v>$ 92</v>
      </c>
      <c r="F11937">
        <v>14</v>
      </c>
    </row>
    <row r="11938" spans="1:6">
      <c r="A11938" t="s">
        <v>11413</v>
      </c>
      <c r="B11938" t="str">
        <f t="shared" si="414"/>
        <v>0.00001%</v>
      </c>
      <c r="C11938" t="s">
        <v>10</v>
      </c>
      <c r="D11938" t="s">
        <v>10</v>
      </c>
      <c r="E11938" t="str">
        <f>"$ 78"</f>
        <v>$ 78</v>
      </c>
      <c r="F11938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Holding_details_Growth_ETF_Port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jianmin chen</dc:creator>
  <cp:lastModifiedBy>jianmin chen</cp:lastModifiedBy>
  <dcterms:created xsi:type="dcterms:W3CDTF">2019-06-02T16:49:54Z</dcterms:created>
  <dcterms:modified xsi:type="dcterms:W3CDTF">2019-06-02T16:50:21Z</dcterms:modified>
</cp:coreProperties>
</file>