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bde\Documents\GitHub\TimetablePO\code\SeqMex\Results\archive\"/>
    </mc:Choice>
  </mc:AlternateContent>
  <bookViews>
    <workbookView xWindow="3288" yWindow="0" windowWidth="12288" windowHeight="7032" activeTab="1"/>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52511"/>
</workbook>
</file>

<file path=xl/calcChain.xml><?xml version="1.0" encoding="utf-8"?>
<calcChain xmlns="http://schemas.openxmlformats.org/spreadsheetml/2006/main">
  <c r="AB3" i="3" l="1"/>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B128" i="7" l="1"/>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4" i="7"/>
  <c r="B43" i="7"/>
  <c r="B46" i="7"/>
  <c r="B45" i="7"/>
  <c r="T45" i="7"/>
  <c r="T2"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E45" i="7" s="1"/>
  <c r="D2" i="7"/>
  <c r="U45" i="7"/>
  <c r="Q3" i="7" l="1"/>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Tony</author>
  </authors>
  <commentList>
    <comment ref="A2" authorId="0" shape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family val="2"/>
          </rPr>
          <t xml:space="preserve">
</t>
        </r>
      </text>
    </comment>
    <comment ref="G2" authorId="1" shapeId="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L2" authorId="1" shapeId="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family val="2"/>
          </rPr>
          <t xml:space="preserve">
</t>
        </r>
        <r>
          <rPr>
            <sz val="9"/>
            <color indexed="81"/>
            <rFont val="Tahoma"/>
            <family val="2"/>
          </rPr>
          <t xml:space="preserve">
</t>
        </r>
      </text>
    </comment>
  </commentList>
</comments>
</file>

<file path=xl/comments5.xml><?xml version="1.0" encoding="utf-8"?>
<comments xmlns="http://schemas.openxmlformats.org/spreadsheetml/2006/main">
  <authors>
    <author>TonyAdmin</author>
  </authors>
  <commentList>
    <comment ref="A1" authorId="0" shape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<sst xmlns="http://schemas.openxmlformats.org/spreadsheetml/2006/main" count="455" uniqueCount="230">
  <si>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</si>
  <si>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</si>
  <si>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</si>
  <si>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</si>
  <si>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</si>
  <si>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</si>
  <si>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</si>
  <si>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</si>
  <si>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</si>
  <si>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</si>
  <si>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</si>
  <si>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</si>
  <si>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</si>
  <si>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</si>
  <si>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</si>
  <si>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</si>
  <si>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</si>
  <si>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</si>
  <si>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</si>
  <si>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</si>
  <si>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</si>
  <si>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</si>
  <si>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</si>
  <si>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</si>
  <si>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</si>
  <si>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</si>
  <si>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</si>
  <si>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</si>
  <si>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</si>
  <si>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</si>
  <si>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</si>
  <si>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</si>
  <si>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</si>
  <si>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</si>
  <si>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</si>
  <si>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</si>
  <si>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</si>
  <si>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</si>
  <si>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</si>
  <si>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</si>
  <si>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</si>
  <si>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</si>
  <si>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</si>
  <si>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</si>
  <si>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</si>
  <si>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</si>
  <si>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</si>
  <si>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</si>
  <si>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</si>
  <si>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</si>
  <si>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</si>
  <si>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</si>
  <si>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</si>
  <si>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</si>
  <si>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</si>
  <si>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</si>
  <si>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</si>
  <si>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</si>
  <si>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</si>
  <si>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</si>
  <si>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</si>
  <si>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</si>
  <si>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</si>
  <si>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</si>
  <si>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</si>
  <si>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</si>
  <si>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</si>
  <si>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</si>
  <si>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</si>
  <si>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</si>
  <si>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</si>
  <si>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</si>
  <si>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</si>
  <si>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</si>
  <si>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</si>
  <si>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</si>
  <si>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</si>
  <si>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</si>
  <si>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</si>
  <si>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</si>
  <si>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</si>
  <si>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</si>
  <si>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</si>
  <si>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</si>
  <si>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</si>
  <si>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</si>
  <si>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</si>
  <si>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</si>
  <si>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</si>
  <si>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</si>
  <si>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</si>
  <si>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</si>
  <si>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</si>
  <si>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</si>
  <si>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</si>
  <si>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</si>
  <si>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</si>
  <si>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</si>
  <si>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</si>
  <si>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</si>
  <si>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</si>
  <si>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</si>
  <si>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</si>
  <si>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</si>
  <si>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</si>
  <si>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</si>
  <si>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</si>
  <si>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</si>
  <si>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</si>
  <si>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</si>
  <si>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</si>
  <si>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</si>
  <si>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</si>
  <si>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</si>
  <si>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</si>
  <si>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</si>
  <si>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</si>
  <si>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</si>
  <si>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</si>
  <si>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</si>
  <si>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</si>
  <si>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</si>
  <si>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</si>
  <si>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</si>
  <si>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</si>
  <si>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</si>
  <si>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</si>
  <si>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</si>
  <si>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</si>
  <si>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</si>
  <si>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</si>
  <si>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</si>
  <si>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</si>
  <si>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</si>
  <si>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</si>
  <si>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</si>
  <si>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</si>
  <si>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</si>
  <si>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</si>
  <si>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</si>
  <si>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</si>
  <si>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</si>
  <si>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</si>
  <si>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</si>
  <si>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</si>
  <si>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</si>
  <si>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</si>
  <si>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</si>
  <si>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</si>
  <si>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</si>
  <si>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</si>
  <si>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</si>
  <si>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</si>
  <si>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</si>
  <si>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</si>
  <si>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</si>
  <si>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</si>
  <si>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</si>
  <si>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</si>
  <si>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</si>
  <si>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</si>
  <si>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</si>
  <si>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</si>
  <si>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</si>
  <si>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</si>
  <si>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</si>
  <si>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</si>
  <si>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</si>
  <si>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</si>
  <si>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</si>
  <si>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</si>
  <si>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</si>
  <si>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</si>
  <si>
    <t>Workbook Settings Cell Count</t>
  </si>
  <si>
    <t>AK</t>
  </si>
  <si>
    <t>AKT</t>
  </si>
  <si>
    <t>AK_285</t>
  </si>
  <si>
    <t>BLN_323</t>
  </si>
  <si>
    <t>AK_283</t>
  </si>
  <si>
    <t>SOA</t>
  </si>
  <si>
    <t>BFS</t>
  </si>
  <si>
    <t>BFS_185</t>
  </si>
  <si>
    <t>TNK_203</t>
  </si>
  <si>
    <t>BFS_183</t>
  </si>
  <si>
    <t>RSN</t>
  </si>
  <si>
    <t>BJF</t>
  </si>
  <si>
    <t>NO.SÖS</t>
  </si>
  <si>
    <t>RGN</t>
  </si>
  <si>
    <t>BJF_383</t>
  </si>
  <si>
    <t>KJÅ</t>
  </si>
  <si>
    <t>VJ</t>
  </si>
  <si>
    <t>BJF_385</t>
  </si>
  <si>
    <t>BLN</t>
  </si>
  <si>
    <t>KÅ_343</t>
  </si>
  <si>
    <t>KMB</t>
  </si>
  <si>
    <t>PEA2</t>
  </si>
  <si>
    <t>KPE</t>
  </si>
  <si>
    <t>KPE_245</t>
  </si>
  <si>
    <t>SOA_263</t>
  </si>
  <si>
    <t>KPE_243</t>
  </si>
  <si>
    <t>SBK</t>
  </si>
  <si>
    <t>KV</t>
  </si>
  <si>
    <t>KV_125</t>
  </si>
  <si>
    <t>RUT_143</t>
  </si>
  <si>
    <t>PEA</t>
  </si>
  <si>
    <t>KÅ</t>
  </si>
  <si>
    <t>VJ_363</t>
  </si>
  <si>
    <t>LÅK</t>
  </si>
  <si>
    <t>VJ_365</t>
  </si>
  <si>
    <t>NO.DJU</t>
  </si>
  <si>
    <t>NO.NK</t>
  </si>
  <si>
    <t>NO.SMS</t>
  </si>
  <si>
    <t>NO.FGL</t>
  </si>
  <si>
    <t>NO.KAT</t>
  </si>
  <si>
    <t>NO.ROML3</t>
  </si>
  <si>
    <t>NO.ORN</t>
  </si>
  <si>
    <t>NO.ROM</t>
  </si>
  <si>
    <t>RSN_165</t>
  </si>
  <si>
    <t>RSN_163</t>
  </si>
  <si>
    <t>RUT</t>
  </si>
  <si>
    <t>RUT_145</t>
  </si>
  <si>
    <t>SBK_225</t>
  </si>
  <si>
    <t>SBK_223</t>
  </si>
  <si>
    <t>TNK</t>
  </si>
  <si>
    <t>SOA_265</t>
  </si>
  <si>
    <t>TNK_205</t>
  </si>
  <si>
    <t>Graph History</t>
  </si>
  <si>
    <t>LayoutAlgorithm░The graph was laid out using the Harel-Koren Fast Multiscale layout algorithm.▓GraphDirectedness░The graph is undirected.</t>
  </si>
  <si>
    <t>Vertices[Y]</t>
  </si>
  <si>
    <t>&lt;?xml version="1.0" encoding="utf-8"?&gt;_x000D_
&lt;configuration&gt;_x000D_
  &lt;configSections&gt;_x000D_
    &lt;sectionGroup name="userSettings" type="System.Configuration.UserSettingsGroup, System, Version=2.0.0.0, Culture=neutral, PublicKeyToken=b77a5c561934e089"&gt;_x000D_
      &lt;section name="GeneralUserSettings4"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 name="DynamicFiltersUserSettings"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&lt;/sectionGroup&gt;_x000D_
  &lt;/configSections&gt;_x000D_
  &lt;userSettings&gt;_x000D_
    &lt;GeneralUserSettings4&gt;_x000D_
      &lt;setting name="ShowGraphLegend" serializeAs="String"&gt;_x000D_
        &lt;value&gt;False&lt;/value&gt;_x000D_
      &lt;/setting&gt;_x000D_
      &lt;setting name="ReadVertexLabels" serializeAs="String"&gt;_x000D_
        &lt;value&gt;True&lt;/value&gt;_x000D_
      &lt;/setting&gt;_x000D_
      &lt;setting name="ReadEdgeLabels" serializeAs="String"&gt;_x000D_
        &lt;value&gt;True&lt;/value&gt;_x000D_
      &lt;/setting&gt;_x000D_
      &lt;setting name="ReadGroupLabels" serializeAs="String"&gt;_x000D_
        &lt;value&gt;True&lt;/value&gt;_x000D_
      &lt;/setting&gt;_x000D_
      &lt;setting name="ShowGraphAxes" serializeAs="String"&gt;_x000D_
        &lt;value&gt;False&lt;/value&gt;_x000D_
      &lt;/setting&gt;_x000D_
    &lt;/GeneralUserSettings4&gt;_x000D_
    &lt;GraphZoomAndScaleUserSettings&gt;_x000D_
      &lt;setting name="GraphScale" serializeAs="String"&gt;_x000D_
        &lt;value&gt;1&lt;/value&gt;_x000D_
      &lt;/setting&gt;_x000D_
    &lt;/GraphZoomAndScaleUserSettings&gt;_x000D_
    &lt;DynamicFiltersUserSettings&gt;_x000D_
      &lt;setting name="FilterNonNumericCells" serializeAs="String"&gt;_x000D_
        &lt;value&gt;False&lt;/value&gt;_x000D_
      &lt;/setting&gt;_x000D_
      &lt;setting name="FilteredAlpha" serializeAs="String"&gt;_x000D_
        &lt;value&gt;0&lt;/value&gt;_x000D_
      &lt;/setting&gt;_x000D_
    &lt;/DynamicFiltersUserSettings&gt;_x000D_
    &lt;LayoutUserSettings&gt;_x000D_
      &lt;setting name="Layout" serializeAs="String"&gt;_x000D_
        &lt;value&gt;HarelKorenFastMultiscale&lt;/value&gt;_x000D_
      &lt;/setting&gt;_x000D_
    &lt;/LayoutUserSettings&gt;_x000D_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</si>
</sst>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000"/>
  </numFmts>
  <fonts count="11"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family val="2"/>
    </font>
    <font>
      <sz val="9"/>
      <color indexed="81"/>
      <name val="Tahoma"/>
      <family val="2"/>
    </font>
    <font>
      <sz val="11"/>
      <color theme="1"/>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1">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84">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167" fontId="5" fillId="4" borderId="1" xfId="5" applyNumberFormat="1" applyAlignment="1"/>
    <xf numFmtId="0" fontId="0" fillId="5" borderId="1" xfId="4" applyNumberFormat="1" applyFont="1" applyAlignment="1">
      <alignment wrapText="1"/>
    </xf>
    <xf numFmtId="164"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64" fontId="0" fillId="3" borderId="1" xfId="7" applyNumberFormat="1" applyFont="1" applyAlignment="1">
      <alignment wrapText="1"/>
    </xf>
    <xf numFmtId="165" fontId="0" fillId="3" borderId="1" xfId="7" applyNumberFormat="1" applyFont="1" applyAlignment="1">
      <alignment wrapText="1"/>
    </xf>
    <xf numFmtId="166"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5" fillId="2" borderId="1" xfId="1" applyNumberFormat="1"/>
    <xf numFmtId="0" fontId="6" fillId="6" borderId="1" xfId="6"/>
    <xf numFmtId="0" fontId="10"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0" fontId="0" fillId="2" borderId="1" xfId="1" applyNumberFormat="1" applyFont="1"/>
    <xf numFmtId="164" fontId="0" fillId="3" borderId="1" xfId="7" applyNumberFormat="1" applyFont="1"/>
    <xf numFmtId="165" fontId="0" fillId="3" borderId="1" xfId="7" applyNumberFormat="1" applyFont="1"/>
    <xf numFmtId="166" fontId="0" fillId="3" borderId="1" xfId="7" applyNumberFormat="1" applyFont="1"/>
    <xf numFmtId="1" fontId="0" fillId="4" borderId="1" xfId="5" applyNumberFormat="1" applyFont="1" applyAlignment="1"/>
    <xf numFmtId="167" fontId="0" fillId="4" borderId="1" xfId="5" applyNumberFormat="1" applyFont="1" applyAlignment="1"/>
    <xf numFmtId="0" fontId="0" fillId="0" borderId="0" xfId="2" applyNumberFormat="1" applyFont="1"/>
  </cellXfs>
  <cellStyles count="9">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98">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numFmt numFmtId="166" formatCode="#,##0.000"/>
    </dxf>
    <dxf>
      <numFmt numFmtId="166" formatCode="#,##0.000"/>
    </dxf>
    <dxf>
      <numFmt numFmtId="0" formatCode="General"/>
    </dxf>
    <dxf>
      <numFmt numFmtId="165" formatCode="#,##0.0"/>
    </dxf>
    <dxf>
      <numFmt numFmtId="165" formatCode="#,##0.0"/>
    </dxf>
    <dxf>
      <numFmt numFmtId="164" formatCode="0.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tableStyleElement type="wholeTable" dxfId="97"/>
      <tableStyleElement type="headerRow" dxfId="96"/>
    </tableStyle>
    <tableStyle name="NodeXL Table" pivot="0" count="1">
      <tableStyleElement type="headerRow" dxfId="9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Metrics'!$E$2:$E$45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1544"/>
        <c:axId val="327811936"/>
      </c:barChart>
      <c:catAx>
        <c:axId val="327811544"/>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327811936"/>
        <c:crosses val="autoZero"/>
        <c:auto val="1"/>
        <c:lblAlgn val="ctr"/>
        <c:lblOffset val="100"/>
        <c:noMultiLvlLbl val="0"/>
      </c:catAx>
      <c:valAx>
        <c:axId val="32781193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15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2720"/>
        <c:axId val="327813112"/>
      </c:barChart>
      <c:catAx>
        <c:axId val="327812720"/>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327813112"/>
        <c:crosses val="autoZero"/>
        <c:auto val="1"/>
        <c:lblAlgn val="ctr"/>
        <c:lblOffset val="100"/>
        <c:noMultiLvlLbl val="0"/>
      </c:catAx>
      <c:valAx>
        <c:axId val="32781311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272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3896"/>
        <c:axId val="327814288"/>
      </c:barChart>
      <c:catAx>
        <c:axId val="327813896"/>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327814288"/>
        <c:crosses val="autoZero"/>
        <c:auto val="1"/>
        <c:lblAlgn val="ctr"/>
        <c:lblOffset val="100"/>
        <c:noMultiLvlLbl val="0"/>
      </c:catAx>
      <c:valAx>
        <c:axId val="32781428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389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5072"/>
        <c:axId val="327815464"/>
      </c:barChart>
      <c:catAx>
        <c:axId val="327815072"/>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327815464"/>
        <c:crosses val="autoZero"/>
        <c:auto val="1"/>
        <c:lblAlgn val="ctr"/>
        <c:lblOffset val="100"/>
        <c:noMultiLvlLbl val="0"/>
      </c:catAx>
      <c:valAx>
        <c:axId val="32781546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507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6248"/>
        <c:axId val="327816640"/>
      </c:barChart>
      <c:catAx>
        <c:axId val="327816248"/>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327816640"/>
        <c:crosses val="autoZero"/>
        <c:auto val="1"/>
        <c:lblAlgn val="ctr"/>
        <c:lblOffset val="100"/>
        <c:noMultiLvlLbl val="0"/>
      </c:catAx>
      <c:valAx>
        <c:axId val="32781664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62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7424"/>
        <c:axId val="327817816"/>
      </c:barChart>
      <c:catAx>
        <c:axId val="327817424"/>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327817816"/>
        <c:crosses val="autoZero"/>
        <c:auto val="1"/>
        <c:lblAlgn val="ctr"/>
        <c:lblOffset val="100"/>
        <c:noMultiLvlLbl val="0"/>
      </c:catAx>
      <c:valAx>
        <c:axId val="3278178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74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7818600"/>
        <c:axId val="325996512"/>
      </c:barChart>
      <c:catAx>
        <c:axId val="32781860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325996512"/>
        <c:crosses val="autoZero"/>
        <c:auto val="1"/>
        <c:lblAlgn val="ctr"/>
        <c:lblOffset val="100"/>
        <c:noMultiLvlLbl val="0"/>
      </c:catAx>
      <c:valAx>
        <c:axId val="32599651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78186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325997296"/>
        <c:axId val="325997688"/>
      </c:barChart>
      <c:catAx>
        <c:axId val="325997296"/>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325997688"/>
        <c:crosses val="autoZero"/>
        <c:auto val="1"/>
        <c:lblAlgn val="ctr"/>
        <c:lblOffset val="100"/>
        <c:noMultiLvlLbl val="0"/>
      </c:catAx>
      <c:valAx>
        <c:axId val="32599768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2599729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2</c:v>
                </c:pt>
              </c:strCache>
            </c:strRef>
          </c:tx>
          <c:spPr>
            <a:solidFill>
              <a:schemeClr val="accent1"/>
            </a:solidFill>
          </c:spPr>
          <c:invertIfNegative val="0"/>
          <c:cat>
            <c:numRef>
              <c:f>'Overall Metrics'!$T$2:$T$45</c:f>
              <c:numCache>
                <c:formatCode>#,##0.00</c:formatCode>
                <c:ptCount val="44"/>
                <c:pt idx="0">
                  <c:v>136.95504760742187</c:v>
                </c:pt>
                <c:pt idx="1">
                  <c:v>363.04804886219114</c:v>
                </c:pt>
                <c:pt idx="2">
                  <c:v>589.1410501169604</c:v>
                </c:pt>
                <c:pt idx="3">
                  <c:v>815.23405137172972</c:v>
                </c:pt>
                <c:pt idx="4">
                  <c:v>1041.3270526264989</c:v>
                </c:pt>
                <c:pt idx="5">
                  <c:v>1267.4200538812681</c:v>
                </c:pt>
                <c:pt idx="6">
                  <c:v>1493.5130551360373</c:v>
                </c:pt>
                <c:pt idx="7">
                  <c:v>1719.6060563908065</c:v>
                </c:pt>
                <c:pt idx="8">
                  <c:v>1945.6990576455757</c:v>
                </c:pt>
                <c:pt idx="9">
                  <c:v>2171.7920589003452</c:v>
                </c:pt>
                <c:pt idx="10">
                  <c:v>2397.8850601551144</c:v>
                </c:pt>
                <c:pt idx="11">
                  <c:v>2623.9780614098836</c:v>
                </c:pt>
                <c:pt idx="12">
                  <c:v>2850.0710626646528</c:v>
                </c:pt>
                <c:pt idx="13">
                  <c:v>3076.164063919422</c:v>
                </c:pt>
                <c:pt idx="14">
                  <c:v>3302.2570651741912</c:v>
                </c:pt>
                <c:pt idx="15">
                  <c:v>3528.3500664289604</c:v>
                </c:pt>
                <c:pt idx="16">
                  <c:v>3754.4430676837296</c:v>
                </c:pt>
                <c:pt idx="17">
                  <c:v>3980.5360689384988</c:v>
                </c:pt>
                <c:pt idx="18">
                  <c:v>4206.6290701932685</c:v>
                </c:pt>
                <c:pt idx="19">
                  <c:v>4432.7220714480382</c:v>
                </c:pt>
                <c:pt idx="20">
                  <c:v>4658.8150727028078</c:v>
                </c:pt>
                <c:pt idx="21">
                  <c:v>4884.9080739575775</c:v>
                </c:pt>
                <c:pt idx="22">
                  <c:v>5111.0010752123471</c:v>
                </c:pt>
                <c:pt idx="23">
                  <c:v>5337.0940764671168</c:v>
                </c:pt>
                <c:pt idx="24">
                  <c:v>5563.1870777218865</c:v>
                </c:pt>
                <c:pt idx="25">
                  <c:v>5789.2800789766561</c:v>
                </c:pt>
                <c:pt idx="26">
                  <c:v>6015.3730802314258</c:v>
                </c:pt>
                <c:pt idx="27">
                  <c:v>6241.4660814861954</c:v>
                </c:pt>
                <c:pt idx="28">
                  <c:v>6467.5590827409651</c:v>
                </c:pt>
                <c:pt idx="29">
                  <c:v>6693.6520839957348</c:v>
                </c:pt>
                <c:pt idx="30">
                  <c:v>6919.7450852505044</c:v>
                </c:pt>
                <c:pt idx="31">
                  <c:v>7145.8380865052741</c:v>
                </c:pt>
                <c:pt idx="32">
                  <c:v>7371.9310877600437</c:v>
                </c:pt>
                <c:pt idx="33">
                  <c:v>7598.0240890148134</c:v>
                </c:pt>
                <c:pt idx="34">
                  <c:v>7824.1170902695831</c:v>
                </c:pt>
                <c:pt idx="35">
                  <c:v>8050.2100915243527</c:v>
                </c:pt>
                <c:pt idx="36">
                  <c:v>8276.3030927791224</c:v>
                </c:pt>
                <c:pt idx="37">
                  <c:v>8502.3960940338911</c:v>
                </c:pt>
                <c:pt idx="38">
                  <c:v>8728.4890952886599</c:v>
                </c:pt>
                <c:pt idx="39">
                  <c:v>8954.5820965434286</c:v>
                </c:pt>
                <c:pt idx="40">
                  <c:v>9180.6750977981974</c:v>
                </c:pt>
                <c:pt idx="41">
                  <c:v>9406.7680990529661</c:v>
                </c:pt>
                <c:pt idx="42">
                  <c:v>9632.8611003077349</c:v>
                </c:pt>
                <c:pt idx="43">
                  <c:v>9858.9541015625</c:v>
                </c:pt>
              </c:numCache>
            </c:numRef>
          </c:cat>
          <c:val>
            <c:numRef>
              <c:f>'Overall Metrics'!$U$2:$U$45</c:f>
              <c:numCache>
                <c:formatCode>General</c:formatCode>
                <c:ptCount val="44"/>
                <c:pt idx="0">
                  <c:v>2</c:v>
                </c:pt>
                <c:pt idx="1">
                  <c:v>0</c:v>
                </c:pt>
                <c:pt idx="2">
                  <c:v>1</c:v>
                </c:pt>
                <c:pt idx="3">
                  <c:v>1</c:v>
                </c:pt>
                <c:pt idx="4">
                  <c:v>1</c:v>
                </c:pt>
                <c:pt idx="5">
                  <c:v>1</c:v>
                </c:pt>
                <c:pt idx="6">
                  <c:v>1</c:v>
                </c:pt>
                <c:pt idx="7">
                  <c:v>1</c:v>
                </c:pt>
                <c:pt idx="8">
                  <c:v>0</c:v>
                </c:pt>
                <c:pt idx="9">
                  <c:v>1</c:v>
                </c:pt>
                <c:pt idx="10">
                  <c:v>1</c:v>
                </c:pt>
                <c:pt idx="11">
                  <c:v>1</c:v>
                </c:pt>
                <c:pt idx="12">
                  <c:v>0</c:v>
                </c:pt>
                <c:pt idx="13">
                  <c:v>1</c:v>
                </c:pt>
                <c:pt idx="14">
                  <c:v>0</c:v>
                </c:pt>
                <c:pt idx="15">
                  <c:v>1</c:v>
                </c:pt>
                <c:pt idx="16">
                  <c:v>1</c:v>
                </c:pt>
                <c:pt idx="17">
                  <c:v>1</c:v>
                </c:pt>
                <c:pt idx="18">
                  <c:v>1</c:v>
                </c:pt>
                <c:pt idx="19">
                  <c:v>1</c:v>
                </c:pt>
                <c:pt idx="20">
                  <c:v>2</c:v>
                </c:pt>
                <c:pt idx="21">
                  <c:v>1</c:v>
                </c:pt>
                <c:pt idx="22">
                  <c:v>0</c:v>
                </c:pt>
                <c:pt idx="23">
                  <c:v>0</c:v>
                </c:pt>
                <c:pt idx="24">
                  <c:v>0</c:v>
                </c:pt>
                <c:pt idx="25">
                  <c:v>1</c:v>
                </c:pt>
                <c:pt idx="26">
                  <c:v>2</c:v>
                </c:pt>
                <c:pt idx="27">
                  <c:v>0</c:v>
                </c:pt>
                <c:pt idx="28">
                  <c:v>0</c:v>
                </c:pt>
                <c:pt idx="29">
                  <c:v>0</c:v>
                </c:pt>
                <c:pt idx="30">
                  <c:v>0</c:v>
                </c:pt>
                <c:pt idx="31">
                  <c:v>0</c:v>
                </c:pt>
                <c:pt idx="32">
                  <c:v>1</c:v>
                </c:pt>
                <c:pt idx="33">
                  <c:v>1</c:v>
                </c:pt>
                <c:pt idx="34">
                  <c:v>1</c:v>
                </c:pt>
                <c:pt idx="35">
                  <c:v>0</c:v>
                </c:pt>
                <c:pt idx="36">
                  <c:v>0</c:v>
                </c:pt>
                <c:pt idx="37">
                  <c:v>0</c:v>
                </c:pt>
                <c:pt idx="38">
                  <c:v>0</c:v>
                </c:pt>
                <c:pt idx="39">
                  <c:v>1</c:v>
                </c:pt>
                <c:pt idx="40">
                  <c:v>1</c:v>
                </c:pt>
                <c:pt idx="41">
                  <c:v>0</c:v>
                </c:pt>
                <c:pt idx="42">
                  <c:v>0</c:v>
                </c:pt>
                <c:pt idx="43">
                  <c:v>1</c:v>
                </c:pt>
              </c:numCache>
            </c:numRef>
          </c:val>
        </c:ser>
        <c:dLbls>
          <c:showLegendKey val="0"/>
          <c:showVal val="0"/>
          <c:showCatName val="0"/>
          <c:showSerName val="0"/>
          <c:showPercent val="0"/>
          <c:showBubbleSize val="0"/>
        </c:dLbls>
        <c:gapWidth val="0"/>
        <c:axId val="325998472"/>
        <c:axId val="325998864"/>
      </c:barChart>
      <c:catAx>
        <c:axId val="325998472"/>
        <c:scaling>
          <c:orientation val="minMax"/>
        </c:scaling>
        <c:delete val="1"/>
        <c:axPos val="b"/>
        <c:numFmt formatCode="#,##0.00" sourceLinked="1"/>
        <c:majorTickMark val="out"/>
        <c:minorTickMark val="none"/>
        <c:tickLblPos val="none"/>
        <c:crossAx val="325998864"/>
        <c:crosses val="autoZero"/>
        <c:auto val="1"/>
        <c:lblAlgn val="ctr"/>
        <c:lblOffset val="100"/>
        <c:noMultiLvlLbl val="0"/>
      </c:catAx>
      <c:valAx>
        <c:axId val="325998864"/>
        <c:scaling>
          <c:orientation val="minMax"/>
        </c:scaling>
        <c:delete val="1"/>
        <c:axPos val="l"/>
        <c:numFmt formatCode="General" sourceLinked="1"/>
        <c:majorTickMark val="out"/>
        <c:minorTickMark val="none"/>
        <c:tickLblPos val="none"/>
        <c:crossAx val="32599847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N103" totalsRowShown="0" headerRowDxfId="94">
  <autoFilter ref="A2:N103"/>
  <tableColumns count="14">
    <tableColumn id="1" name="Vertex 1" dataDxfId="93" dataCellStyle="NodeXL Required"/>
    <tableColumn id="2" name="Vertex 2" dataDxfId="92" dataCellStyle="NodeXL Required"/>
    <tableColumn id="3" name="Color" dataDxfId="91" dataCellStyle="NodeXL Visual Property"/>
    <tableColumn id="4" name="Width" dataDxfId="90" dataCellStyle="NodeXL Visual Property"/>
    <tableColumn id="11" name="Style" dataDxfId="89" dataCellStyle="NodeXL Visual Property"/>
    <tableColumn id="5" name="Opacity" dataDxfId="88" dataCellStyle="NodeXL Visual Property"/>
    <tableColumn id="6" name="Visibility" dataDxfId="87" dataCellStyle="NodeXL Visual Property"/>
    <tableColumn id="10" name="Label" dataDxfId="86" dataCellStyle="NodeXL Label"/>
    <tableColumn id="12" name="Label Text Color" dataDxfId="85" dataCellStyle="NodeXL Label"/>
    <tableColumn id="13" name="Label Font Size" dataDxfId="84" dataCellStyle="NodeXL Label"/>
    <tableColumn id="14" name="Reciprocated?" dataDxfId="83" dataCellStyle="NodeXL Graph Metric"/>
    <tableColumn id="7" name="ID" dataDxfId="82" dataCellStyle="NodeXL Do Not Edit"/>
    <tableColumn id="9" name="Dynamic Filter" dataDxfId="81" dataCellStyle="NodeXL Do Not Edit"/>
    <tableColumn id="8" name="Add Your Own Columns Here" dataDxfId="80" dataCellStyle="NodeXL Other Column"/>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C31" totalsRowShown="0" headerRowDxfId="79" dataDxfId="78">
  <autoFilter ref="A2:AC31"/>
  <tableColumns count="29">
    <tableColumn id="1" name="Vertex" dataDxfId="77" dataCellStyle="NodeXL Required"/>
    <tableColumn id="2" name="Color" dataDxfId="76" dataCellStyle="NodeXL Visual Property"/>
    <tableColumn id="5" name="Shape" dataDxfId="75" dataCellStyle="NodeXL Visual Property"/>
    <tableColumn id="6" name="Size" dataDxfId="74" dataCellStyle="NodeXL Visual Property"/>
    <tableColumn id="4" name="Opacity" dataDxfId="73" dataCellStyle="NodeXL Visual Property"/>
    <tableColumn id="7" name="Image File" dataDxfId="72" dataCellStyle="NodeXL Visual Property"/>
    <tableColumn id="3" name="Visibility" dataDxfId="71" dataCellStyle="NodeXL Visual Property"/>
    <tableColumn id="10" name="Label" dataDxfId="70" dataCellStyle="NodeXL Label"/>
    <tableColumn id="16" name="Label Fill Color" dataDxfId="69" dataCellStyle="NodeXL Label"/>
    <tableColumn id="9" name="Label Position" dataDxfId="68" dataCellStyle="NodeXL Label"/>
    <tableColumn id="8" name="Tooltip" dataDxfId="67" dataCellStyle="NodeXL Label"/>
    <tableColumn id="18" name="Layout Order" dataDxfId="66" dataCellStyle="NodeXL Layout"/>
    <tableColumn id="13" name="X" dataDxfId="65" dataCellStyle="NodeXL Layout"/>
    <tableColumn id="14" name="Y" dataDxfId="64" dataCellStyle="NodeXL Layout"/>
    <tableColumn id="12" name="Locked?" dataDxfId="63" dataCellStyle="NodeXL Layout"/>
    <tableColumn id="19" name="Polar R" dataDxfId="62" dataCellStyle="NodeXL Layout"/>
    <tableColumn id="20" name="Polar Angle" dataDxfId="61" dataCellStyle="NodeXL Layout"/>
    <tableColumn id="21" name="Degree" dataDxfId="60" dataCellStyle="NodeXL Graph Metric"/>
    <tableColumn id="22" name="In-Degree" dataDxfId="59" dataCellStyle="NodeXL Graph Metric"/>
    <tableColumn id="23" name="Out-Degree" dataDxfId="58" dataCellStyle="NodeXL Graph Metric"/>
    <tableColumn id="24" name="Betweenness Centrality" dataDxfId="57" dataCellStyle="NodeXL Graph Metric"/>
    <tableColumn id="25" name="Closeness Centrality" dataDxfId="56" dataCellStyle="NodeXL Graph Metric"/>
    <tableColumn id="26" name="Eigenvector Centrality" dataDxfId="55" dataCellStyle="NodeXL Graph Metric"/>
    <tableColumn id="15" name="PageRank" dataDxfId="54" dataCellStyle="NodeXL Graph Metric"/>
    <tableColumn id="27" name="Clustering Coefficient" dataDxfId="53" dataCellStyle="NodeXL Graph Metric"/>
    <tableColumn id="29" name="Reciprocated Vertex Pair Ratio" dataDxfId="52" dataCellStyle="NodeXL Graph Metric"/>
    <tableColumn id="11" name="ID" dataDxfId="51" dataCellStyle="NodeXL Do Not Edit"/>
    <tableColumn id="28" name="Dynamic Filter" dataDxfId="50" dataCellStyle="NodeXL Do Not Edit">
      <calculatedColumnFormula xml:space="preserve"> IF(AND(OR(NOT(ISNUMBER(Vertices[X])), Vertices[X] &gt;= Misc!$O$2), OR(NOT(ISNUMBER(Vertices[X])), Vertices[X] &lt;= Misc!$P$2),OR(NOT(ISNUMBER(Vertices[Y])), Vertices[Y] &gt;= Misc!$O$3), OR(NOT(ISNUMBER(Vertices[Y])), Vertices[Y] &lt;= Misc!$P$3),TRUE), TRUE, FALSE)</calculatedColumnFormula>
    </tableColumn>
    <tableColumn id="17" name="Add Your Own Columns Here" dataDxfId="49" dataCellStyle="NodeXL Other Column"/>
  </tableColumns>
  <tableStyleInfo name="NodeXL Table" showFirstColumn="0" showLastColumn="0" showRowStripes="0" showColumnStripes="0"/>
</table>
</file>

<file path=xl/tables/table3.xml><?xml version="1.0" encoding="utf-8"?>
<table xmlns="http://schemas.openxmlformats.org/spreadsheetml/2006/main" id="4" name="Groups" displayName="Groups" ref="A2:X3" insertRow="1" totalsRowShown="0" headerRowDxfId="48">
  <autoFilter ref="A2:X3"/>
  <tableColumns count="24">
    <tableColumn id="1" name="Group" dataDxfId="47" dataCellStyle="NodeXL Required"/>
    <tableColumn id="2" name="Vertex Color" dataDxfId="46" dataCellStyle="NodeXL Visual Property"/>
    <tableColumn id="3" name="Vertex Shape" dataDxfId="45" dataCellStyle="NodeXL Visual Property"/>
    <tableColumn id="22" name="Visibility" dataDxfId="44" dataCellStyle="NodeXL Visual Property"/>
    <tableColumn id="4" name="Collapsed?" dataCellStyle="NodeXL Visual Property"/>
    <tableColumn id="18" name="Label" dataDxfId="43" dataCellStyle="NodeXL Label"/>
    <tableColumn id="20" name="Collapsed X" dataCellStyle="NodeXL Layout"/>
    <tableColumn id="21" name="Collapsed Y" dataCellStyle="NodeXL Layout"/>
    <tableColumn id="6" name="ID" dataDxfId="42" dataCellStyle="NodeXL Do Not Edit"/>
    <tableColumn id="19" name="Collapsed Properties" dataDxfId="41" dataCellStyle="NodeXL Do Not Edit"/>
    <tableColumn id="5" name="Vertices" dataDxfId="40" dataCellStyle="NodeXL Graph Metric"/>
    <tableColumn id="7" name="Unique Edges" dataDxfId="39" dataCellStyle="NodeXL Graph Metric"/>
    <tableColumn id="8" name="Edges With Duplicates" dataDxfId="38" dataCellStyle="NodeXL Graph Metric"/>
    <tableColumn id="9" name="Total Edges" dataDxfId="37" dataCellStyle="NodeXL Graph Metric"/>
    <tableColumn id="10" name="Self-Loops" dataDxfId="36" dataCellStyle="NodeXL Graph Metric"/>
    <tableColumn id="24" name="Reciprocated Vertex Pair Ratio" dataDxfId="35" dataCellStyle="NodeXL Graph Metric"/>
    <tableColumn id="25" name="Reciprocated Edge Ratio" dataDxfId="34" dataCellStyle="NodeXL Graph Metric"/>
    <tableColumn id="11" name="Connected Components" dataDxfId="33" dataCellStyle="NodeXL Graph Metric"/>
    <tableColumn id="12" name="Single-Vertex Connected Components" dataDxfId="32" dataCellStyle="NodeXL Graph Metric"/>
    <tableColumn id="13" name="Maximum Vertices in a Connected Component" dataDxfId="31" dataCellStyle="NodeXL Graph Metric"/>
    <tableColumn id="14" name="Maximum Edges in a Connected Component" dataDxfId="30" dataCellStyle="NodeXL Graph Metric"/>
    <tableColumn id="15" name="Maximum Geodesic Distance (Diameter)" dataDxfId="29" dataCellStyle="NodeXL Graph Metric"/>
    <tableColumn id="16" name="Average Geodesic Distance" dataDxfId="28" dataCellStyle="NodeXL Graph Metric"/>
    <tableColumn id="17" name="Graph Density" dataDxfId="27"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2" totalsRowShown="0" headerRowDxfId="26" dataDxfId="25">
  <autoFilter ref="A1:C2"/>
  <tableColumns count="3">
    <tableColumn id="1" name="Group" dataDxfId="24"/>
    <tableColumn id="2" name="Vertex" dataDxfId="23"/>
    <tableColumn id="3" name="Vertex ID" dataDxfId="22"/>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6" totalsRowShown="0" dataCellStyle="NodeXL Graph Metric">
  <autoFilter ref="A1:B26"/>
  <tableColumns count="2">
    <tableColumn id="1" name="Graph Metric" dataDxfId="21" dataCellStyle="NodeXL Graph Metric"/>
    <tableColumn id="2" name="Value" dataDxfId="20"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45" totalsRowShown="0">
  <autoFilter ref="D1:U45"/>
  <tableColumns count="18">
    <tableColumn id="1" name="Degree Bin" dataDxfId="19"/>
    <tableColumn id="2" name="Degree Frequency" dataDxfId="18">
      <calculatedColumnFormula>COUNTIF(Vertices[Degree], "&gt;= " &amp; D2) - COUNTIF(Vertices[Degree], "&gt;=" &amp; D3)</calculatedColumnFormula>
    </tableColumn>
    <tableColumn id="3" name="In-Degree Bin" dataDxfId="17"/>
    <tableColumn id="4" name="In-Degree Frequency" dataDxfId="16">
      <calculatedColumnFormula>COUNTIF(Vertices[In-Degree], "&gt;= " &amp; F2) - COUNTIF(Vertices[In-Degree], "&gt;=" &amp; F3)</calculatedColumnFormula>
    </tableColumn>
    <tableColumn id="5" name="Out-Degree Bin" dataDxfId="15"/>
    <tableColumn id="6" name="Out-Degree Frequency" dataDxfId="14">
      <calculatedColumnFormula>COUNTIF(Vertices[Out-Degree], "&gt;= " &amp; H2) - COUNTIF(Vertices[Out-Degree], "&gt;=" &amp; H3)</calculatedColumnFormula>
    </tableColumn>
    <tableColumn id="7" name="Betweenness Centrality Bin" dataDxfId="13"/>
    <tableColumn id="8" name="Betweenness Centrality Frequency" dataDxfId="12">
      <calculatedColumnFormula>COUNTIF(Vertices[Betweenness Centrality], "&gt;= " &amp; J2) - COUNTIF(Vertices[Betweenness Centrality], "&gt;=" &amp; J3)</calculatedColumnFormula>
    </tableColumn>
    <tableColumn id="9" name="Closeness Centrality Bin" dataDxfId="11"/>
    <tableColumn id="10" name="Closeness Centrality Frequency" dataDxfId="10">
      <calculatedColumnFormula>COUNTIF(Vertices[Closeness Centrality], "&gt;= " &amp; L2) - COUNTIF(Vertices[Closeness Centrality], "&gt;=" &amp; L3)</calculatedColumnFormula>
    </tableColumn>
    <tableColumn id="11" name="Eigenvector Centrality Bin" dataDxfId="9"/>
    <tableColumn id="12" name="Eigenvector Centrality Frequency" dataDxfId="8">
      <calculatedColumnFormula>COUNTIF(Vertices[Eigenvector Centrality], "&gt;= " &amp; N2) - COUNTIF(Vertices[Eigenvector Centrality], "&gt;=" &amp; N3)</calculatedColumnFormula>
    </tableColumn>
    <tableColumn id="18" name="PageRank Bin" dataDxfId="7"/>
    <tableColumn id="17" name="PageRank Frequency" dataDxfId="6">
      <calculatedColumnFormula>COUNTIF(Vertices[Eigenvector Centrality], "&gt;= " &amp; P2) - COUNTIF(Vertices[Eigenvector Centrality], "&gt;=" &amp; P3)</calculatedColumnFormula>
    </tableColumn>
    <tableColumn id="13" name="Clustering Coefficient Bin" dataDxfId="5"/>
    <tableColumn id="14" name="Clustering Coefficient Frequency" dataDxfId="4">
      <calculatedColumnFormula>COUNTIF(Vertices[Clustering Coefficient], "&gt;= " &amp; R2) - COUNTIF(Vertices[Clustering Coefficient], "&gt;=" &amp; R3)</calculatedColumnFormula>
    </tableColumn>
    <tableColumn id="15" name="Dynamic Filter Bin" dataDxfId="3"/>
    <tableColumn id="16" name="Dynamic Filter Frequency" dataDxfId="2">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29:B32" totalsRowShown="0" dataCellStyle="NodeXL Graph Metric">
  <autoFilter ref="A29:B32"/>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7" totalsRowShown="0" headerRowDxfId="1">
  <autoFilter ref="J1:K7"/>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3" totalsRowShown="0" headerRowDxfId="0">
  <autoFilter ref="M1:P3"/>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03"/>
  <sheetViews>
    <sheetView zoomScale="55" zoomScaleNormal="55" workbookViewId="0">
      <pane xSplit="2" ySplit="2" topLeftCell="C40" activePane="bottomRight" state="frozen"/>
      <selection pane="topRight" activeCell="C1" sqref="C1"/>
      <selection pane="bottomLeft" activeCell="A3" sqref="A3"/>
      <selection pane="bottomRight" activeCell="A3" sqref="A3:B103"/>
    </sheetView>
  </sheetViews>
  <sheetFormatPr defaultRowHeight="14.4" x14ac:dyDescent="0.3"/>
  <cols>
    <col min="1" max="2" width="10.44140625" style="1" customWidth="1"/>
    <col min="3" max="3" width="7.88671875" style="3" bestFit="1" customWidth="1"/>
    <col min="4" max="4" width="8.6640625" style="2" bestFit="1" customWidth="1"/>
    <col min="5" max="5" width="7.6640625" style="2" bestFit="1" customWidth="1"/>
    <col min="6" max="6" width="9.88671875" style="2" bestFit="1" customWidth="1"/>
    <col min="7" max="7" width="11" style="3" bestFit="1" customWidth="1"/>
    <col min="8" max="8" width="8" style="1" bestFit="1" customWidth="1"/>
    <col min="9" max="9" width="12.33203125" style="3" bestFit="1" customWidth="1"/>
    <col min="10" max="10" width="12.44140625" style="3" bestFit="1" customWidth="1"/>
    <col min="11" max="11" width="15.5546875" style="3" hidden="1" customWidth="1"/>
    <col min="12" max="12" width="11" hidden="1" customWidth="1"/>
    <col min="13" max="13" width="10.88671875" hidden="1" customWidth="1"/>
    <col min="14" max="14" width="16" bestFit="1" customWidth="1"/>
  </cols>
  <sheetData>
    <row r="1" spans="1:14" x14ac:dyDescent="0.3">
      <c r="C1" s="18" t="s">
        <v>40</v>
      </c>
      <c r="D1" s="19"/>
      <c r="E1" s="19"/>
      <c r="F1" s="19"/>
      <c r="G1" s="18"/>
      <c r="H1" s="16" t="s">
        <v>44</v>
      </c>
      <c r="I1" s="63"/>
      <c r="J1" s="63"/>
      <c r="K1" s="35" t="s">
        <v>43</v>
      </c>
      <c r="L1" s="20" t="s">
        <v>41</v>
      </c>
      <c r="M1" s="20"/>
      <c r="N1" s="17" t="s">
        <v>42</v>
      </c>
    </row>
    <row r="2" spans="1:14" ht="30" customHeight="1" x14ac:dyDescent="0.3">
      <c r="A2" s="11" t="s">
        <v>0</v>
      </c>
      <c r="B2" s="11" t="s">
        <v>1</v>
      </c>
      <c r="C2" s="13" t="s">
        <v>2</v>
      </c>
      <c r="D2" s="13" t="s">
        <v>3</v>
      </c>
      <c r="E2" s="13" t="s">
        <v>130</v>
      </c>
      <c r="F2" s="13" t="s">
        <v>4</v>
      </c>
      <c r="G2" s="13" t="s">
        <v>11</v>
      </c>
      <c r="H2" s="11" t="s">
        <v>47</v>
      </c>
      <c r="I2" s="13" t="s">
        <v>160</v>
      </c>
      <c r="J2" s="13" t="s">
        <v>161</v>
      </c>
      <c r="K2" s="13" t="s">
        <v>165</v>
      </c>
      <c r="L2" s="13" t="s">
        <v>12</v>
      </c>
      <c r="M2" s="13" t="s">
        <v>39</v>
      </c>
      <c r="N2" s="13" t="s">
        <v>26</v>
      </c>
    </row>
    <row r="3" spans="1:14" x14ac:dyDescent="0.3">
      <c r="A3" t="s">
        <v>174</v>
      </c>
      <c r="B3" t="s">
        <v>175</v>
      </c>
      <c r="C3" s="51"/>
      <c r="D3" s="52"/>
      <c r="E3" s="64"/>
      <c r="F3" s="53"/>
      <c r="G3" s="51"/>
      <c r="H3" s="55"/>
      <c r="I3" s="54"/>
      <c r="J3" s="54"/>
      <c r="K3" s="66"/>
      <c r="L3" s="60">
        <v>3</v>
      </c>
      <c r="M3" s="60"/>
      <c r="N3" s="61"/>
    </row>
    <row r="4" spans="1:14" x14ac:dyDescent="0.3">
      <c r="A4" t="s">
        <v>174</v>
      </c>
      <c r="B4" t="s">
        <v>176</v>
      </c>
      <c r="C4" s="51"/>
      <c r="D4" s="52"/>
      <c r="E4" s="51"/>
      <c r="F4" s="53"/>
      <c r="G4" s="51"/>
      <c r="H4" s="55"/>
      <c r="I4" s="54"/>
      <c r="J4" s="54"/>
      <c r="K4" s="66"/>
      <c r="L4" s="60">
        <v>4</v>
      </c>
      <c r="M4" s="60"/>
      <c r="N4" s="61"/>
    </row>
    <row r="5" spans="1:14" x14ac:dyDescent="0.3">
      <c r="A5" t="s">
        <v>175</v>
      </c>
      <c r="B5" t="s">
        <v>174</v>
      </c>
      <c r="C5" s="51"/>
      <c r="D5" s="52"/>
      <c r="E5" s="51"/>
      <c r="F5" s="53"/>
      <c r="G5" s="51"/>
      <c r="H5" s="55"/>
      <c r="I5" s="54"/>
      <c r="J5" s="54"/>
      <c r="K5" s="66"/>
      <c r="L5" s="60">
        <v>5</v>
      </c>
      <c r="M5" s="60"/>
      <c r="N5" s="61"/>
    </row>
    <row r="6" spans="1:14" x14ac:dyDescent="0.3">
      <c r="A6" t="s">
        <v>175</v>
      </c>
      <c r="B6" t="s">
        <v>177</v>
      </c>
      <c r="C6" s="51"/>
      <c r="D6" s="52"/>
      <c r="E6" s="51"/>
      <c r="F6" s="53"/>
      <c r="G6" s="51"/>
      <c r="H6" s="55"/>
      <c r="I6" s="54"/>
      <c r="J6" s="54"/>
      <c r="K6" s="66"/>
      <c r="L6" s="60">
        <v>6</v>
      </c>
      <c r="M6" s="60"/>
      <c r="N6" s="61"/>
    </row>
    <row r="7" spans="1:14" x14ac:dyDescent="0.3">
      <c r="A7" t="s">
        <v>178</v>
      </c>
      <c r="B7" t="s">
        <v>176</v>
      </c>
      <c r="C7" s="51"/>
      <c r="D7" s="52"/>
      <c r="E7" s="51"/>
      <c r="F7" s="53"/>
      <c r="G7" s="51"/>
      <c r="H7" s="55"/>
      <c r="I7" s="54"/>
      <c r="J7" s="54"/>
      <c r="K7" s="66"/>
      <c r="L7" s="60">
        <v>7</v>
      </c>
      <c r="M7" s="60"/>
      <c r="N7" s="61"/>
    </row>
    <row r="8" spans="1:14" x14ac:dyDescent="0.3">
      <c r="A8" t="s">
        <v>178</v>
      </c>
      <c r="B8" t="s">
        <v>179</v>
      </c>
      <c r="C8" s="51"/>
      <c r="D8" s="52"/>
      <c r="E8" s="51"/>
      <c r="F8" s="53"/>
      <c r="G8" s="51"/>
      <c r="H8" s="55"/>
      <c r="I8" s="54"/>
      <c r="J8" s="54"/>
      <c r="K8" s="66"/>
      <c r="L8" s="60">
        <v>8</v>
      </c>
      <c r="M8" s="60"/>
      <c r="N8" s="61"/>
    </row>
    <row r="9" spans="1:14" x14ac:dyDescent="0.3">
      <c r="A9" t="s">
        <v>176</v>
      </c>
      <c r="B9" t="s">
        <v>174</v>
      </c>
      <c r="C9" s="51"/>
      <c r="D9" s="52"/>
      <c r="E9" s="51"/>
      <c r="F9" s="53"/>
      <c r="G9" s="51"/>
      <c r="H9" s="55"/>
      <c r="I9" s="54"/>
      <c r="J9" s="54"/>
      <c r="K9" s="66"/>
      <c r="L9" s="60">
        <v>9</v>
      </c>
      <c r="M9" s="60"/>
      <c r="N9" s="61"/>
    </row>
    <row r="10" spans="1:14" x14ac:dyDescent="0.3">
      <c r="A10" t="s">
        <v>176</v>
      </c>
      <c r="B10" t="s">
        <v>178</v>
      </c>
      <c r="C10" s="51"/>
      <c r="D10" s="52"/>
      <c r="E10" s="51"/>
      <c r="F10" s="53"/>
      <c r="G10" s="51"/>
      <c r="H10" s="55"/>
      <c r="I10" s="54"/>
      <c r="J10" s="54"/>
      <c r="K10" s="66"/>
      <c r="L10" s="60">
        <v>10</v>
      </c>
      <c r="M10" s="60"/>
      <c r="N10" s="61"/>
    </row>
    <row r="11" spans="1:14" x14ac:dyDescent="0.3">
      <c r="A11" t="s">
        <v>180</v>
      </c>
      <c r="B11" t="s">
        <v>181</v>
      </c>
      <c r="C11" s="51"/>
      <c r="D11" s="52"/>
      <c r="E11" s="51"/>
      <c r="F11" s="53"/>
      <c r="G11" s="51"/>
      <c r="H11" s="55"/>
      <c r="I11" s="54"/>
      <c r="J11" s="54"/>
      <c r="K11" s="66"/>
      <c r="L11" s="60">
        <v>11</v>
      </c>
      <c r="M11" s="60"/>
      <c r="N11" s="61"/>
    </row>
    <row r="12" spans="1:14" x14ac:dyDescent="0.3">
      <c r="A12" t="s">
        <v>180</v>
      </c>
      <c r="B12" t="s">
        <v>182</v>
      </c>
      <c r="C12" s="51"/>
      <c r="D12" s="52"/>
      <c r="E12" s="51"/>
      <c r="F12" s="53"/>
      <c r="G12" s="51"/>
      <c r="H12" s="55"/>
      <c r="I12" s="54"/>
      <c r="J12" s="54"/>
      <c r="K12" s="66"/>
      <c r="L12" s="60">
        <v>12</v>
      </c>
      <c r="M12" s="60"/>
      <c r="N12" s="61"/>
    </row>
    <row r="13" spans="1:14" x14ac:dyDescent="0.3">
      <c r="A13" t="s">
        <v>183</v>
      </c>
      <c r="B13" t="s">
        <v>181</v>
      </c>
      <c r="C13" s="51"/>
      <c r="D13" s="52"/>
      <c r="E13" s="51"/>
      <c r="F13" s="53"/>
      <c r="G13" s="51"/>
      <c r="H13" s="55"/>
      <c r="I13" s="54"/>
      <c r="J13" s="54"/>
      <c r="K13" s="66"/>
      <c r="L13" s="60">
        <v>13</v>
      </c>
      <c r="M13" s="60"/>
      <c r="N13" s="61"/>
    </row>
    <row r="14" spans="1:14" x14ac:dyDescent="0.3">
      <c r="A14" t="s">
        <v>183</v>
      </c>
      <c r="B14" t="s">
        <v>184</v>
      </c>
      <c r="C14" s="51"/>
      <c r="D14" s="52"/>
      <c r="E14" s="51"/>
      <c r="F14" s="53"/>
      <c r="G14" s="51"/>
      <c r="H14" s="55"/>
      <c r="I14" s="54"/>
      <c r="J14" s="54"/>
      <c r="K14" s="66"/>
      <c r="L14" s="60">
        <v>14</v>
      </c>
      <c r="M14" s="60"/>
      <c r="N14" s="61"/>
    </row>
    <row r="15" spans="1:14" x14ac:dyDescent="0.3">
      <c r="A15" t="s">
        <v>181</v>
      </c>
      <c r="B15" t="s">
        <v>180</v>
      </c>
      <c r="C15" s="51"/>
      <c r="D15" s="52"/>
      <c r="E15" s="51"/>
      <c r="F15" s="53"/>
      <c r="G15" s="51"/>
      <c r="H15" s="55"/>
      <c r="I15" s="54"/>
      <c r="J15" s="54"/>
      <c r="K15" s="66"/>
      <c r="L15" s="60">
        <v>15</v>
      </c>
      <c r="M15" s="60"/>
      <c r="N15" s="61"/>
    </row>
    <row r="16" spans="1:14" x14ac:dyDescent="0.3">
      <c r="A16" t="s">
        <v>181</v>
      </c>
      <c r="B16" t="s">
        <v>183</v>
      </c>
      <c r="C16" s="51"/>
      <c r="D16" s="52"/>
      <c r="E16" s="51"/>
      <c r="F16" s="53"/>
      <c r="G16" s="51"/>
      <c r="H16" s="55"/>
      <c r="I16" s="54"/>
      <c r="J16" s="54"/>
      <c r="K16" s="66"/>
      <c r="L16" s="60">
        <v>16</v>
      </c>
      <c r="M16" s="60"/>
      <c r="N16" s="61"/>
    </row>
    <row r="17" spans="1:14" x14ac:dyDescent="0.3">
      <c r="A17" t="s">
        <v>185</v>
      </c>
      <c r="B17" t="s">
        <v>186</v>
      </c>
      <c r="C17" s="51"/>
      <c r="D17" s="52"/>
      <c r="E17" s="51"/>
      <c r="F17" s="53"/>
      <c r="G17" s="51"/>
      <c r="H17" s="55"/>
      <c r="I17" s="54"/>
      <c r="J17" s="54"/>
      <c r="K17" s="66"/>
      <c r="L17" s="60">
        <v>17</v>
      </c>
      <c r="M17" s="60"/>
      <c r="N17" s="61"/>
    </row>
    <row r="18" spans="1:14" x14ac:dyDescent="0.3">
      <c r="A18" t="s">
        <v>185</v>
      </c>
      <c r="B18" t="s">
        <v>187</v>
      </c>
      <c r="C18" s="51"/>
      <c r="D18" s="52"/>
      <c r="E18" s="51"/>
      <c r="F18" s="53"/>
      <c r="G18" s="51"/>
      <c r="H18" s="55"/>
      <c r="I18" s="54"/>
      <c r="J18" s="54"/>
      <c r="K18" s="66"/>
      <c r="L18" s="60">
        <v>18</v>
      </c>
      <c r="M18" s="60"/>
      <c r="N18" s="61"/>
    </row>
    <row r="19" spans="1:14" x14ac:dyDescent="0.3">
      <c r="A19" t="s">
        <v>188</v>
      </c>
      <c r="B19" t="s">
        <v>189</v>
      </c>
      <c r="C19" s="51"/>
      <c r="D19" s="52"/>
      <c r="E19" s="51"/>
      <c r="F19" s="53"/>
      <c r="G19" s="51"/>
      <c r="H19" s="55"/>
      <c r="I19" s="54"/>
      <c r="J19" s="54"/>
      <c r="K19" s="66"/>
      <c r="L19" s="60">
        <v>19</v>
      </c>
      <c r="M19" s="60"/>
      <c r="N19" s="61"/>
    </row>
    <row r="20" spans="1:14" x14ac:dyDescent="0.3">
      <c r="A20" t="s">
        <v>188</v>
      </c>
      <c r="B20" t="s">
        <v>190</v>
      </c>
      <c r="C20" s="51"/>
      <c r="D20" s="52"/>
      <c r="E20" s="51"/>
      <c r="F20" s="53"/>
      <c r="G20" s="51"/>
      <c r="H20" s="55"/>
      <c r="I20" s="54"/>
      <c r="J20" s="54"/>
      <c r="K20" s="66"/>
      <c r="L20" s="60">
        <v>20</v>
      </c>
      <c r="M20" s="60"/>
      <c r="N20" s="61"/>
    </row>
    <row r="21" spans="1:14" x14ac:dyDescent="0.3">
      <c r="A21" t="s">
        <v>191</v>
      </c>
      <c r="B21" t="s">
        <v>189</v>
      </c>
      <c r="C21" s="51"/>
      <c r="D21" s="52"/>
      <c r="E21" s="51"/>
      <c r="F21" s="53"/>
      <c r="G21" s="51"/>
      <c r="H21" s="55"/>
      <c r="I21" s="54"/>
      <c r="J21" s="54"/>
      <c r="K21" s="66"/>
      <c r="L21" s="60">
        <v>21</v>
      </c>
      <c r="M21" s="60"/>
      <c r="N21" s="61"/>
    </row>
    <row r="22" spans="1:14" x14ac:dyDescent="0.3">
      <c r="A22" t="s">
        <v>191</v>
      </c>
      <c r="B22" t="s">
        <v>187</v>
      </c>
      <c r="C22" s="51"/>
      <c r="D22" s="52"/>
      <c r="E22" s="51"/>
      <c r="F22" s="53"/>
      <c r="G22" s="51"/>
      <c r="H22" s="55"/>
      <c r="I22" s="54"/>
      <c r="J22" s="54"/>
      <c r="K22" s="66"/>
      <c r="L22" s="60">
        <v>22</v>
      </c>
      <c r="M22" s="60"/>
      <c r="N22" s="61"/>
    </row>
    <row r="23" spans="1:14" x14ac:dyDescent="0.3">
      <c r="A23" t="s">
        <v>192</v>
      </c>
      <c r="B23" t="s">
        <v>177</v>
      </c>
      <c r="C23" s="51"/>
      <c r="D23" s="52"/>
      <c r="E23" s="51"/>
      <c r="F23" s="53"/>
      <c r="G23" s="51"/>
      <c r="H23" s="55"/>
      <c r="I23" s="54"/>
      <c r="J23" s="54"/>
      <c r="K23" s="66"/>
      <c r="L23" s="60">
        <v>23</v>
      </c>
      <c r="M23" s="60"/>
      <c r="N23" s="61"/>
    </row>
    <row r="24" spans="1:14" x14ac:dyDescent="0.3">
      <c r="A24" t="s">
        <v>192</v>
      </c>
      <c r="B24" t="s">
        <v>193</v>
      </c>
      <c r="C24" s="51"/>
      <c r="D24" s="52"/>
      <c r="E24" s="51"/>
      <c r="F24" s="53"/>
      <c r="G24" s="51"/>
      <c r="H24" s="55"/>
      <c r="I24" s="54"/>
      <c r="J24" s="54"/>
      <c r="K24" s="66"/>
      <c r="L24" s="60">
        <v>24</v>
      </c>
      <c r="M24" s="60"/>
      <c r="N24" s="61"/>
    </row>
    <row r="25" spans="1:14" x14ac:dyDescent="0.3">
      <c r="A25" t="s">
        <v>177</v>
      </c>
      <c r="B25" t="s">
        <v>175</v>
      </c>
      <c r="C25" s="51"/>
      <c r="D25" s="52"/>
      <c r="E25" s="51"/>
      <c r="F25" s="53"/>
      <c r="G25" s="51"/>
      <c r="H25" s="55"/>
      <c r="I25" s="54"/>
      <c r="J25" s="54"/>
      <c r="K25" s="66"/>
      <c r="L25" s="60">
        <v>25</v>
      </c>
      <c r="M25" s="60"/>
      <c r="N25" s="61"/>
    </row>
    <row r="26" spans="1:14" x14ac:dyDescent="0.3">
      <c r="A26" t="s">
        <v>177</v>
      </c>
      <c r="B26" t="s">
        <v>192</v>
      </c>
      <c r="C26" s="51"/>
      <c r="D26" s="52"/>
      <c r="E26" s="51"/>
      <c r="F26" s="53"/>
      <c r="G26" s="51"/>
      <c r="H26" s="55"/>
      <c r="I26" s="54"/>
      <c r="J26" s="54"/>
      <c r="K26" s="66"/>
      <c r="L26" s="60">
        <v>26</v>
      </c>
      <c r="M26" s="60"/>
      <c r="N26" s="61"/>
    </row>
    <row r="27" spans="1:14" x14ac:dyDescent="0.3">
      <c r="A27" t="s">
        <v>189</v>
      </c>
      <c r="B27" t="s">
        <v>188</v>
      </c>
      <c r="C27" s="51"/>
      <c r="D27" s="52"/>
      <c r="E27" s="51"/>
      <c r="F27" s="53"/>
      <c r="G27" s="51"/>
      <c r="H27" s="55"/>
      <c r="I27" s="54"/>
      <c r="J27" s="54"/>
      <c r="K27" s="66"/>
      <c r="L27" s="60">
        <v>27</v>
      </c>
      <c r="M27" s="60"/>
      <c r="N27" s="61"/>
    </row>
    <row r="28" spans="1:14" x14ac:dyDescent="0.3">
      <c r="A28" t="s">
        <v>189</v>
      </c>
      <c r="B28" t="s">
        <v>191</v>
      </c>
      <c r="C28" s="51"/>
      <c r="D28" s="52"/>
      <c r="E28" s="51"/>
      <c r="F28" s="53"/>
      <c r="G28" s="51"/>
      <c r="H28" s="55"/>
      <c r="I28" s="54"/>
      <c r="J28" s="54"/>
      <c r="K28" s="66"/>
      <c r="L28" s="60">
        <v>28</v>
      </c>
      <c r="M28" s="60"/>
      <c r="N28" s="61"/>
    </row>
    <row r="29" spans="1:14" x14ac:dyDescent="0.3">
      <c r="A29" t="s">
        <v>194</v>
      </c>
      <c r="B29" t="s">
        <v>195</v>
      </c>
      <c r="C29" s="51"/>
      <c r="D29" s="52"/>
      <c r="E29" s="51"/>
      <c r="F29" s="53"/>
      <c r="G29" s="51"/>
      <c r="H29" s="55"/>
      <c r="I29" s="54"/>
      <c r="J29" s="54"/>
      <c r="K29" s="66"/>
      <c r="L29" s="60">
        <v>29</v>
      </c>
      <c r="M29" s="60"/>
      <c r="N29" s="61"/>
    </row>
    <row r="30" spans="1:14" x14ac:dyDescent="0.3">
      <c r="A30" t="s">
        <v>196</v>
      </c>
      <c r="B30" t="s">
        <v>197</v>
      </c>
      <c r="C30" s="51"/>
      <c r="D30" s="52"/>
      <c r="E30" s="51"/>
      <c r="F30" s="53"/>
      <c r="G30" s="51"/>
      <c r="H30" s="55"/>
      <c r="I30" s="54"/>
      <c r="J30" s="54"/>
      <c r="K30" s="66"/>
      <c r="L30" s="60">
        <v>30</v>
      </c>
      <c r="M30" s="60"/>
      <c r="N30" s="61"/>
    </row>
    <row r="31" spans="1:14" x14ac:dyDescent="0.3">
      <c r="A31" t="s">
        <v>196</v>
      </c>
      <c r="B31" t="s">
        <v>198</v>
      </c>
      <c r="C31" s="51"/>
      <c r="D31" s="52"/>
      <c r="E31" s="51"/>
      <c r="F31" s="53"/>
      <c r="G31" s="51"/>
      <c r="H31" s="55"/>
      <c r="I31" s="54"/>
      <c r="J31" s="54"/>
      <c r="K31" s="66"/>
      <c r="L31" s="60">
        <v>31</v>
      </c>
      <c r="M31" s="60"/>
      <c r="N31" s="61"/>
    </row>
    <row r="32" spans="1:14" x14ac:dyDescent="0.3">
      <c r="A32" t="s">
        <v>199</v>
      </c>
      <c r="B32" t="s">
        <v>197</v>
      </c>
      <c r="C32" s="51"/>
      <c r="D32" s="52"/>
      <c r="E32" s="51"/>
      <c r="F32" s="53"/>
      <c r="G32" s="51"/>
      <c r="H32" s="55"/>
      <c r="I32" s="54"/>
      <c r="J32" s="54"/>
      <c r="K32" s="66"/>
      <c r="L32" s="60">
        <v>32</v>
      </c>
      <c r="M32" s="60"/>
      <c r="N32" s="61"/>
    </row>
    <row r="33" spans="1:14" x14ac:dyDescent="0.3">
      <c r="A33" t="s">
        <v>199</v>
      </c>
      <c r="B33" t="s">
        <v>200</v>
      </c>
      <c r="C33" s="51"/>
      <c r="D33" s="52"/>
      <c r="E33" s="51"/>
      <c r="F33" s="53"/>
      <c r="G33" s="51"/>
      <c r="H33" s="55"/>
      <c r="I33" s="54"/>
      <c r="J33" s="54"/>
      <c r="K33" s="66"/>
      <c r="L33" s="60">
        <v>33</v>
      </c>
      <c r="M33" s="60"/>
      <c r="N33" s="61"/>
    </row>
    <row r="34" spans="1:14" x14ac:dyDescent="0.3">
      <c r="A34" t="s">
        <v>197</v>
      </c>
      <c r="B34" t="s">
        <v>196</v>
      </c>
      <c r="C34" s="51"/>
      <c r="D34" s="52"/>
      <c r="E34" s="51"/>
      <c r="F34" s="53"/>
      <c r="G34" s="51"/>
      <c r="H34" s="55"/>
      <c r="I34" s="54"/>
      <c r="J34" s="54"/>
      <c r="K34" s="66"/>
      <c r="L34" s="60">
        <v>34</v>
      </c>
      <c r="M34" s="60"/>
      <c r="N34" s="61"/>
    </row>
    <row r="35" spans="1:14" x14ac:dyDescent="0.3">
      <c r="A35" t="s">
        <v>197</v>
      </c>
      <c r="B35" t="s">
        <v>199</v>
      </c>
      <c r="C35" s="51"/>
      <c r="D35" s="52"/>
      <c r="E35" s="51"/>
      <c r="F35" s="53"/>
      <c r="G35" s="51"/>
      <c r="H35" s="55"/>
      <c r="I35" s="54"/>
      <c r="J35" s="54"/>
      <c r="K35" s="66"/>
      <c r="L35" s="60">
        <v>35</v>
      </c>
      <c r="M35" s="60"/>
      <c r="N35" s="61"/>
    </row>
    <row r="36" spans="1:14" x14ac:dyDescent="0.3">
      <c r="A36" t="s">
        <v>201</v>
      </c>
      <c r="B36" t="s">
        <v>202</v>
      </c>
      <c r="C36" s="51"/>
      <c r="D36" s="52"/>
      <c r="E36" s="51"/>
      <c r="F36" s="53"/>
      <c r="G36" s="51"/>
      <c r="H36" s="55"/>
      <c r="I36" s="54"/>
      <c r="J36" s="54"/>
      <c r="K36" s="66"/>
      <c r="L36" s="60">
        <v>36</v>
      </c>
      <c r="M36" s="60"/>
      <c r="N36" s="61"/>
    </row>
    <row r="37" spans="1:14" x14ac:dyDescent="0.3">
      <c r="A37" t="s">
        <v>201</v>
      </c>
      <c r="B37" t="s">
        <v>203</v>
      </c>
      <c r="C37" s="51"/>
      <c r="D37" s="52"/>
      <c r="E37" s="51"/>
      <c r="F37" s="53"/>
      <c r="G37" s="51"/>
      <c r="H37" s="55"/>
      <c r="I37" s="54"/>
      <c r="J37" s="54"/>
      <c r="K37" s="66"/>
      <c r="L37" s="60">
        <v>37</v>
      </c>
      <c r="M37" s="60"/>
      <c r="N37" s="61"/>
    </row>
    <row r="38" spans="1:14" x14ac:dyDescent="0.3">
      <c r="A38" t="s">
        <v>202</v>
      </c>
      <c r="B38" t="s">
        <v>201</v>
      </c>
      <c r="C38" s="51"/>
      <c r="D38" s="52"/>
      <c r="E38" s="51"/>
      <c r="F38" s="53"/>
      <c r="G38" s="51"/>
      <c r="H38" s="55"/>
      <c r="I38" s="54"/>
      <c r="J38" s="54"/>
      <c r="K38" s="66"/>
      <c r="L38" s="60">
        <v>38</v>
      </c>
      <c r="M38" s="60"/>
      <c r="N38" s="61"/>
    </row>
    <row r="39" spans="1:14" x14ac:dyDescent="0.3">
      <c r="A39" t="s">
        <v>202</v>
      </c>
      <c r="B39" t="s">
        <v>204</v>
      </c>
      <c r="C39" s="51"/>
      <c r="D39" s="52"/>
      <c r="E39" s="51"/>
      <c r="F39" s="53"/>
      <c r="G39" s="51"/>
      <c r="H39" s="55"/>
      <c r="I39" s="54"/>
      <c r="J39" s="54"/>
      <c r="K39" s="66"/>
      <c r="L39" s="60">
        <v>39</v>
      </c>
      <c r="M39" s="60"/>
      <c r="N39" s="61"/>
    </row>
    <row r="40" spans="1:14" x14ac:dyDescent="0.3">
      <c r="A40" t="s">
        <v>205</v>
      </c>
      <c r="B40" t="s">
        <v>193</v>
      </c>
      <c r="C40" s="51"/>
      <c r="D40" s="52"/>
      <c r="E40" s="51"/>
      <c r="F40" s="53"/>
      <c r="G40" s="51"/>
      <c r="H40" s="55"/>
      <c r="I40" s="54"/>
      <c r="J40" s="54"/>
      <c r="K40" s="66"/>
      <c r="L40" s="60">
        <v>40</v>
      </c>
      <c r="M40" s="60"/>
      <c r="N40" s="61"/>
    </row>
    <row r="41" spans="1:14" x14ac:dyDescent="0.3">
      <c r="A41" t="s">
        <v>205</v>
      </c>
      <c r="B41" t="s">
        <v>206</v>
      </c>
      <c r="C41" s="51"/>
      <c r="D41" s="52"/>
      <c r="E41" s="51"/>
      <c r="F41" s="53"/>
      <c r="G41" s="51"/>
      <c r="H41" s="55"/>
      <c r="I41" s="54"/>
      <c r="J41" s="54"/>
      <c r="K41" s="66"/>
      <c r="L41" s="60">
        <v>41</v>
      </c>
      <c r="M41" s="60"/>
      <c r="N41" s="61"/>
    </row>
    <row r="42" spans="1:14" x14ac:dyDescent="0.3">
      <c r="A42" t="s">
        <v>193</v>
      </c>
      <c r="B42" t="s">
        <v>192</v>
      </c>
      <c r="C42" s="51"/>
      <c r="D42" s="52"/>
      <c r="E42" s="51"/>
      <c r="F42" s="53"/>
      <c r="G42" s="51"/>
      <c r="H42" s="55"/>
      <c r="I42" s="54"/>
      <c r="J42" s="54"/>
      <c r="K42" s="66"/>
      <c r="L42" s="60">
        <v>42</v>
      </c>
      <c r="M42" s="60"/>
      <c r="N42" s="61"/>
    </row>
    <row r="43" spans="1:14" x14ac:dyDescent="0.3">
      <c r="A43" t="s">
        <v>193</v>
      </c>
      <c r="B43" t="s">
        <v>205</v>
      </c>
      <c r="C43" s="51"/>
      <c r="D43" s="52"/>
      <c r="E43" s="51"/>
      <c r="F43" s="53"/>
      <c r="G43" s="51"/>
      <c r="H43" s="55"/>
      <c r="I43" s="54"/>
      <c r="J43" s="54"/>
      <c r="K43" s="66"/>
      <c r="L43" s="60">
        <v>43</v>
      </c>
      <c r="M43" s="60"/>
      <c r="N43" s="61"/>
    </row>
    <row r="44" spans="1:14" x14ac:dyDescent="0.3">
      <c r="A44" t="s">
        <v>207</v>
      </c>
      <c r="B44" t="s">
        <v>190</v>
      </c>
      <c r="C44" s="51"/>
      <c r="D44" s="52"/>
      <c r="E44" s="51"/>
      <c r="F44" s="53"/>
      <c r="G44" s="51"/>
      <c r="H44" s="55"/>
      <c r="I44" s="54"/>
      <c r="J44" s="54"/>
      <c r="K44" s="66"/>
      <c r="L44" s="60">
        <v>44</v>
      </c>
      <c r="M44" s="60"/>
      <c r="N44" s="61"/>
    </row>
    <row r="45" spans="1:14" x14ac:dyDescent="0.3">
      <c r="A45" t="s">
        <v>207</v>
      </c>
      <c r="B45" t="s">
        <v>208</v>
      </c>
      <c r="C45" s="51"/>
      <c r="D45" s="52"/>
      <c r="E45" s="51"/>
      <c r="F45" s="53"/>
      <c r="G45" s="51"/>
      <c r="H45" s="55"/>
      <c r="I45" s="54"/>
      <c r="J45" s="54"/>
      <c r="K45" s="66"/>
      <c r="L45" s="60">
        <v>45</v>
      </c>
      <c r="M45" s="60"/>
      <c r="N45" s="61"/>
    </row>
    <row r="46" spans="1:14" x14ac:dyDescent="0.3">
      <c r="A46" t="s">
        <v>209</v>
      </c>
      <c r="B46" t="s">
        <v>210</v>
      </c>
      <c r="C46" s="51"/>
      <c r="D46" s="52"/>
      <c r="E46" s="51"/>
      <c r="F46" s="53"/>
      <c r="G46" s="51"/>
      <c r="H46" s="55"/>
      <c r="I46" s="54"/>
      <c r="J46" s="54"/>
      <c r="K46" s="66"/>
      <c r="L46" s="60">
        <v>46</v>
      </c>
      <c r="M46" s="60"/>
      <c r="N46" s="61"/>
    </row>
    <row r="47" spans="1:14" x14ac:dyDescent="0.3">
      <c r="A47" t="s">
        <v>209</v>
      </c>
      <c r="B47" t="s">
        <v>211</v>
      </c>
      <c r="C47" s="51"/>
      <c r="D47" s="52"/>
      <c r="E47" s="51"/>
      <c r="F47" s="53"/>
      <c r="G47" s="51"/>
      <c r="H47" s="55"/>
      <c r="I47" s="54"/>
      <c r="J47" s="54"/>
      <c r="K47" s="66"/>
      <c r="L47" s="60">
        <v>47</v>
      </c>
      <c r="M47" s="60"/>
      <c r="N47" s="61"/>
    </row>
    <row r="48" spans="1:14" x14ac:dyDescent="0.3">
      <c r="A48" t="s">
        <v>212</v>
      </c>
      <c r="B48" t="s">
        <v>213</v>
      </c>
      <c r="C48" s="51"/>
      <c r="D48" s="52"/>
      <c r="E48" s="51"/>
      <c r="F48" s="53"/>
      <c r="G48" s="51"/>
      <c r="H48" s="55"/>
      <c r="I48" s="54"/>
      <c r="J48" s="54"/>
      <c r="K48" s="66"/>
      <c r="L48" s="60">
        <v>48</v>
      </c>
      <c r="M48" s="60"/>
      <c r="N48" s="61"/>
    </row>
    <row r="49" spans="1:14" x14ac:dyDescent="0.3">
      <c r="A49" t="s">
        <v>212</v>
      </c>
      <c r="B49" t="s">
        <v>186</v>
      </c>
      <c r="C49" s="51"/>
      <c r="D49" s="52"/>
      <c r="E49" s="51"/>
      <c r="F49" s="53"/>
      <c r="G49" s="51"/>
      <c r="H49" s="55"/>
      <c r="I49" s="54"/>
      <c r="J49" s="54"/>
      <c r="K49" s="66"/>
      <c r="L49" s="60">
        <v>49</v>
      </c>
      <c r="M49" s="60"/>
      <c r="N49" s="61"/>
    </row>
    <row r="50" spans="1:14" x14ac:dyDescent="0.3">
      <c r="A50" t="s">
        <v>213</v>
      </c>
      <c r="B50" t="s">
        <v>212</v>
      </c>
      <c r="C50" s="51"/>
      <c r="D50" s="52"/>
      <c r="E50" s="51"/>
      <c r="F50" s="53"/>
      <c r="G50" s="51"/>
      <c r="H50" s="55"/>
      <c r="I50" s="54"/>
      <c r="J50" s="54"/>
      <c r="K50" s="66"/>
      <c r="L50" s="60">
        <v>50</v>
      </c>
      <c r="M50" s="60"/>
      <c r="N50" s="61"/>
    </row>
    <row r="51" spans="1:14" x14ac:dyDescent="0.3">
      <c r="A51" t="s">
        <v>213</v>
      </c>
      <c r="B51" t="s">
        <v>214</v>
      </c>
      <c r="C51" s="51"/>
      <c r="D51" s="52"/>
      <c r="E51" s="51"/>
      <c r="F51" s="53"/>
      <c r="G51" s="51"/>
      <c r="H51" s="55"/>
      <c r="I51" s="54"/>
      <c r="J51" s="54"/>
      <c r="K51" s="66"/>
      <c r="L51" s="60">
        <v>51</v>
      </c>
      <c r="M51" s="60"/>
      <c r="N51" s="61"/>
    </row>
    <row r="52" spans="1:14" x14ac:dyDescent="0.3">
      <c r="A52" t="s">
        <v>210</v>
      </c>
      <c r="B52" t="s">
        <v>209</v>
      </c>
      <c r="C52" s="51"/>
      <c r="D52" s="52"/>
      <c r="E52" s="51"/>
      <c r="F52" s="53"/>
      <c r="G52" s="51"/>
      <c r="H52" s="55"/>
      <c r="I52" s="54"/>
      <c r="J52" s="54"/>
      <c r="K52" s="66"/>
      <c r="L52" s="60">
        <v>52</v>
      </c>
      <c r="M52" s="60"/>
      <c r="N52" s="61"/>
    </row>
    <row r="53" spans="1:14" x14ac:dyDescent="0.3">
      <c r="A53" t="s">
        <v>215</v>
      </c>
      <c r="B53" t="s">
        <v>216</v>
      </c>
      <c r="C53" s="51"/>
      <c r="D53" s="52"/>
      <c r="E53" s="51"/>
      <c r="F53" s="53"/>
      <c r="G53" s="51"/>
      <c r="H53" s="55"/>
      <c r="I53" s="54"/>
      <c r="J53" s="54"/>
      <c r="K53" s="66"/>
      <c r="L53" s="60">
        <v>53</v>
      </c>
      <c r="M53" s="60"/>
      <c r="N53" s="61"/>
    </row>
    <row r="54" spans="1:14" x14ac:dyDescent="0.3">
      <c r="A54" t="s">
        <v>215</v>
      </c>
      <c r="B54" t="s">
        <v>211</v>
      </c>
      <c r="C54" s="51"/>
      <c r="D54" s="52"/>
      <c r="E54" s="51"/>
      <c r="F54" s="53"/>
      <c r="G54" s="51"/>
      <c r="H54" s="55"/>
      <c r="I54" s="54"/>
      <c r="J54" s="54"/>
      <c r="K54" s="66"/>
      <c r="L54" s="60">
        <v>54</v>
      </c>
      <c r="M54" s="60"/>
      <c r="N54" s="61"/>
    </row>
    <row r="55" spans="1:14" x14ac:dyDescent="0.3">
      <c r="A55" t="s">
        <v>216</v>
      </c>
      <c r="B55" t="s">
        <v>215</v>
      </c>
      <c r="C55" s="51"/>
      <c r="D55" s="52"/>
      <c r="E55" s="51"/>
      <c r="F55" s="53"/>
      <c r="G55" s="51"/>
      <c r="H55" s="55"/>
      <c r="I55" s="54"/>
      <c r="J55" s="54"/>
      <c r="K55" s="66"/>
      <c r="L55" s="60">
        <v>55</v>
      </c>
      <c r="M55" s="60"/>
      <c r="N55" s="61"/>
    </row>
    <row r="56" spans="1:14" x14ac:dyDescent="0.3">
      <c r="A56" t="s">
        <v>216</v>
      </c>
      <c r="B56" t="s">
        <v>214</v>
      </c>
      <c r="C56" s="51"/>
      <c r="D56" s="52"/>
      <c r="E56" s="51"/>
      <c r="F56" s="53"/>
      <c r="G56" s="51"/>
      <c r="H56" s="55"/>
      <c r="I56" s="54"/>
      <c r="J56" s="54"/>
      <c r="K56" s="66"/>
      <c r="L56" s="60">
        <v>56</v>
      </c>
      <c r="M56" s="60"/>
      <c r="N56" s="61"/>
    </row>
    <row r="57" spans="1:14" x14ac:dyDescent="0.3">
      <c r="A57" t="s">
        <v>214</v>
      </c>
      <c r="B57" t="s">
        <v>213</v>
      </c>
      <c r="C57" s="51"/>
      <c r="D57" s="52"/>
      <c r="E57" s="51"/>
      <c r="F57" s="53"/>
      <c r="G57" s="51"/>
      <c r="H57" s="55"/>
      <c r="I57" s="54"/>
      <c r="J57" s="54"/>
      <c r="K57" s="66"/>
      <c r="L57" s="60">
        <v>57</v>
      </c>
      <c r="M57" s="60"/>
      <c r="N57" s="61"/>
    </row>
    <row r="58" spans="1:14" x14ac:dyDescent="0.3">
      <c r="A58" t="s">
        <v>214</v>
      </c>
      <c r="B58" t="s">
        <v>216</v>
      </c>
      <c r="C58" s="51"/>
      <c r="D58" s="52"/>
      <c r="E58" s="51"/>
      <c r="F58" s="53"/>
      <c r="G58" s="51"/>
      <c r="H58" s="55"/>
      <c r="I58" s="54"/>
      <c r="J58" s="54"/>
      <c r="K58" s="66"/>
      <c r="L58" s="60">
        <v>58</v>
      </c>
      <c r="M58" s="60"/>
      <c r="N58" s="61"/>
    </row>
    <row r="59" spans="1:14" x14ac:dyDescent="0.3">
      <c r="A59" t="s">
        <v>211</v>
      </c>
      <c r="B59" t="s">
        <v>209</v>
      </c>
      <c r="C59" s="51"/>
      <c r="D59" s="52"/>
      <c r="E59" s="51"/>
      <c r="F59" s="53"/>
      <c r="G59" s="51"/>
      <c r="H59" s="55"/>
      <c r="I59" s="54"/>
      <c r="J59" s="54"/>
      <c r="K59" s="66"/>
      <c r="L59" s="60">
        <v>59</v>
      </c>
      <c r="M59" s="60"/>
      <c r="N59" s="61"/>
    </row>
    <row r="60" spans="1:14" x14ac:dyDescent="0.3">
      <c r="A60" t="s">
        <v>211</v>
      </c>
      <c r="B60" t="s">
        <v>215</v>
      </c>
      <c r="C60" s="51"/>
      <c r="D60" s="52"/>
      <c r="E60" s="51"/>
      <c r="F60" s="53"/>
      <c r="G60" s="51"/>
      <c r="H60" s="55"/>
      <c r="I60" s="54"/>
      <c r="J60" s="54"/>
      <c r="K60" s="66"/>
      <c r="L60" s="60">
        <v>60</v>
      </c>
      <c r="M60" s="60"/>
      <c r="N60" s="61"/>
    </row>
    <row r="61" spans="1:14" x14ac:dyDescent="0.3">
      <c r="A61" t="s">
        <v>186</v>
      </c>
      <c r="B61" t="s">
        <v>185</v>
      </c>
      <c r="C61" s="51"/>
      <c r="D61" s="52"/>
      <c r="E61" s="51"/>
      <c r="F61" s="53"/>
      <c r="G61" s="51"/>
      <c r="H61" s="55"/>
      <c r="I61" s="54"/>
      <c r="J61" s="54"/>
      <c r="K61" s="66"/>
      <c r="L61" s="60">
        <v>61</v>
      </c>
      <c r="M61" s="60"/>
      <c r="N61" s="61"/>
    </row>
    <row r="62" spans="1:14" x14ac:dyDescent="0.3">
      <c r="A62" t="s">
        <v>186</v>
      </c>
      <c r="B62" t="s">
        <v>212</v>
      </c>
      <c r="C62" s="51"/>
      <c r="D62" s="52"/>
      <c r="E62" s="51"/>
      <c r="F62" s="53"/>
      <c r="G62" s="51"/>
      <c r="H62" s="55"/>
      <c r="I62" s="54"/>
      <c r="J62" s="54"/>
      <c r="K62" s="66"/>
      <c r="L62" s="60">
        <v>62</v>
      </c>
      <c r="M62" s="60"/>
      <c r="N62" s="61"/>
    </row>
    <row r="63" spans="1:14" x14ac:dyDescent="0.3">
      <c r="A63" t="s">
        <v>204</v>
      </c>
      <c r="B63" t="s">
        <v>202</v>
      </c>
      <c r="C63" s="51"/>
      <c r="D63" s="52"/>
      <c r="E63" s="51"/>
      <c r="F63" s="53"/>
      <c r="G63" s="51"/>
      <c r="H63" s="55"/>
      <c r="I63" s="54"/>
      <c r="J63" s="54"/>
      <c r="K63" s="66"/>
      <c r="L63" s="60">
        <v>63</v>
      </c>
      <c r="M63" s="60"/>
      <c r="N63" s="61"/>
    </row>
    <row r="64" spans="1:14" x14ac:dyDescent="0.3">
      <c r="A64" t="s">
        <v>204</v>
      </c>
      <c r="B64" t="s">
        <v>195</v>
      </c>
      <c r="C64" s="51"/>
      <c r="D64" s="52"/>
      <c r="E64" s="51"/>
      <c r="F64" s="53"/>
      <c r="G64" s="51"/>
      <c r="H64" s="55"/>
      <c r="I64" s="54"/>
      <c r="J64" s="54"/>
      <c r="K64" s="66"/>
      <c r="L64" s="60">
        <v>64</v>
      </c>
      <c r="M64" s="60"/>
      <c r="N64" s="61"/>
    </row>
    <row r="65" spans="1:14" x14ac:dyDescent="0.3">
      <c r="A65" t="s">
        <v>195</v>
      </c>
      <c r="B65" t="s">
        <v>194</v>
      </c>
      <c r="C65" s="51"/>
      <c r="D65" s="52"/>
      <c r="E65" s="51"/>
      <c r="F65" s="53"/>
      <c r="G65" s="51"/>
      <c r="H65" s="55"/>
      <c r="I65" s="54"/>
      <c r="J65" s="54"/>
      <c r="K65" s="66"/>
      <c r="L65" s="60">
        <v>65</v>
      </c>
      <c r="M65" s="60"/>
      <c r="N65" s="61"/>
    </row>
    <row r="66" spans="1:14" x14ac:dyDescent="0.3">
      <c r="A66" t="s">
        <v>195</v>
      </c>
      <c r="B66" t="s">
        <v>204</v>
      </c>
      <c r="C66" s="51"/>
      <c r="D66" s="52"/>
      <c r="E66" s="51"/>
      <c r="F66" s="53"/>
      <c r="G66" s="51"/>
      <c r="H66" s="55"/>
      <c r="I66" s="54"/>
      <c r="J66" s="54"/>
      <c r="K66" s="66"/>
      <c r="L66" s="60">
        <v>66</v>
      </c>
      <c r="M66" s="60"/>
      <c r="N66" s="61"/>
    </row>
    <row r="67" spans="1:14" x14ac:dyDescent="0.3">
      <c r="A67" t="s">
        <v>187</v>
      </c>
      <c r="B67" t="s">
        <v>185</v>
      </c>
      <c r="C67" s="51"/>
      <c r="D67" s="52"/>
      <c r="E67" s="51"/>
      <c r="F67" s="53"/>
      <c r="G67" s="51"/>
      <c r="H67" s="55"/>
      <c r="I67" s="54"/>
      <c r="J67" s="54"/>
      <c r="K67" s="66"/>
      <c r="L67" s="60">
        <v>67</v>
      </c>
      <c r="M67" s="60"/>
      <c r="N67" s="61"/>
    </row>
    <row r="68" spans="1:14" x14ac:dyDescent="0.3">
      <c r="A68" t="s">
        <v>187</v>
      </c>
      <c r="B68" t="s">
        <v>191</v>
      </c>
      <c r="C68" s="51"/>
      <c r="D68" s="52"/>
      <c r="E68" s="51"/>
      <c r="F68" s="53"/>
      <c r="G68" s="51"/>
      <c r="H68" s="55"/>
      <c r="I68" s="54"/>
      <c r="J68" s="54"/>
      <c r="K68" s="66"/>
      <c r="L68" s="60">
        <v>68</v>
      </c>
      <c r="M68" s="60"/>
      <c r="N68" s="61"/>
    </row>
    <row r="69" spans="1:14" x14ac:dyDescent="0.3">
      <c r="A69" t="s">
        <v>184</v>
      </c>
      <c r="B69" t="s">
        <v>183</v>
      </c>
      <c r="C69" s="51"/>
      <c r="D69" s="52"/>
      <c r="E69" s="51"/>
      <c r="F69" s="53"/>
      <c r="G69" s="51"/>
      <c r="H69" s="55"/>
      <c r="I69" s="54"/>
      <c r="J69" s="54"/>
      <c r="K69" s="66"/>
      <c r="L69" s="60">
        <v>69</v>
      </c>
      <c r="M69" s="60"/>
      <c r="N69" s="61"/>
    </row>
    <row r="70" spans="1:14" x14ac:dyDescent="0.3">
      <c r="A70" t="s">
        <v>184</v>
      </c>
      <c r="B70" t="s">
        <v>217</v>
      </c>
      <c r="C70" s="51"/>
      <c r="D70" s="52"/>
      <c r="E70" s="51"/>
      <c r="F70" s="53"/>
      <c r="G70" s="51"/>
      <c r="H70" s="55"/>
      <c r="I70" s="54"/>
      <c r="J70" s="54"/>
      <c r="K70" s="66"/>
      <c r="L70" s="60">
        <v>70</v>
      </c>
      <c r="M70" s="60"/>
      <c r="N70" s="61"/>
    </row>
    <row r="71" spans="1:14" x14ac:dyDescent="0.3">
      <c r="A71" t="s">
        <v>218</v>
      </c>
      <c r="B71" t="s">
        <v>217</v>
      </c>
      <c r="C71" s="51"/>
      <c r="D71" s="52"/>
      <c r="E71" s="51"/>
      <c r="F71" s="53"/>
      <c r="G71" s="51"/>
      <c r="H71" s="55"/>
      <c r="I71" s="54"/>
      <c r="J71" s="54"/>
      <c r="K71" s="66"/>
      <c r="L71" s="60">
        <v>71</v>
      </c>
      <c r="M71" s="60"/>
      <c r="N71" s="61"/>
    </row>
    <row r="72" spans="1:14" x14ac:dyDescent="0.3">
      <c r="A72" t="s">
        <v>218</v>
      </c>
      <c r="B72" t="s">
        <v>219</v>
      </c>
      <c r="C72" s="51"/>
      <c r="D72" s="52"/>
      <c r="E72" s="51"/>
      <c r="F72" s="53"/>
      <c r="G72" s="51"/>
      <c r="H72" s="55"/>
      <c r="I72" s="54"/>
      <c r="J72" s="54"/>
      <c r="K72" s="66"/>
      <c r="L72" s="60">
        <v>72</v>
      </c>
      <c r="M72" s="60"/>
      <c r="N72" s="61"/>
    </row>
    <row r="73" spans="1:14" x14ac:dyDescent="0.3">
      <c r="A73" t="s">
        <v>217</v>
      </c>
      <c r="B73" t="s">
        <v>184</v>
      </c>
      <c r="C73" s="51"/>
      <c r="D73" s="52"/>
      <c r="E73" s="51"/>
      <c r="F73" s="53"/>
      <c r="G73" s="51"/>
      <c r="H73" s="55"/>
      <c r="I73" s="54"/>
      <c r="J73" s="54"/>
      <c r="K73" s="66"/>
      <c r="L73" s="60">
        <v>73</v>
      </c>
      <c r="M73" s="60"/>
      <c r="N73" s="61"/>
    </row>
    <row r="74" spans="1:14" x14ac:dyDescent="0.3">
      <c r="A74" t="s">
        <v>217</v>
      </c>
      <c r="B74" t="s">
        <v>218</v>
      </c>
      <c r="C74" s="51"/>
      <c r="D74" s="52"/>
      <c r="E74" s="51"/>
      <c r="F74" s="53"/>
      <c r="G74" s="51"/>
      <c r="H74" s="55"/>
      <c r="I74" s="54"/>
      <c r="J74" s="54"/>
      <c r="K74" s="66"/>
      <c r="L74" s="60">
        <v>74</v>
      </c>
      <c r="M74" s="60"/>
      <c r="N74" s="61"/>
    </row>
    <row r="75" spans="1:14" x14ac:dyDescent="0.3">
      <c r="A75" t="s">
        <v>219</v>
      </c>
      <c r="B75" t="s">
        <v>218</v>
      </c>
      <c r="C75" s="51"/>
      <c r="D75" s="52"/>
      <c r="E75" s="51"/>
      <c r="F75" s="53"/>
      <c r="G75" s="51"/>
      <c r="H75" s="55"/>
      <c r="I75" s="54"/>
      <c r="J75" s="54"/>
      <c r="K75" s="66"/>
      <c r="L75" s="60">
        <v>75</v>
      </c>
      <c r="M75" s="60"/>
      <c r="N75" s="61"/>
    </row>
    <row r="76" spans="1:14" x14ac:dyDescent="0.3">
      <c r="A76" t="s">
        <v>219</v>
      </c>
      <c r="B76" t="s">
        <v>220</v>
      </c>
      <c r="C76" s="51"/>
      <c r="D76" s="52"/>
      <c r="E76" s="51"/>
      <c r="F76" s="53"/>
      <c r="G76" s="51"/>
      <c r="H76" s="55"/>
      <c r="I76" s="54"/>
      <c r="J76" s="54"/>
      <c r="K76" s="66"/>
      <c r="L76" s="60">
        <v>76</v>
      </c>
      <c r="M76" s="60"/>
      <c r="N76" s="61"/>
    </row>
    <row r="77" spans="1:14" x14ac:dyDescent="0.3">
      <c r="A77" t="s">
        <v>203</v>
      </c>
      <c r="B77" t="s">
        <v>201</v>
      </c>
      <c r="C77" s="51"/>
      <c r="D77" s="52"/>
      <c r="E77" s="51"/>
      <c r="F77" s="53"/>
      <c r="G77" s="51"/>
      <c r="H77" s="55"/>
      <c r="I77" s="54"/>
      <c r="J77" s="54"/>
      <c r="K77" s="66"/>
      <c r="L77" s="60">
        <v>77</v>
      </c>
      <c r="M77" s="60"/>
      <c r="N77" s="61"/>
    </row>
    <row r="78" spans="1:14" x14ac:dyDescent="0.3">
      <c r="A78" t="s">
        <v>203</v>
      </c>
      <c r="B78" t="s">
        <v>220</v>
      </c>
      <c r="C78" s="51"/>
      <c r="D78" s="52"/>
      <c r="E78" s="51"/>
      <c r="F78" s="53"/>
      <c r="G78" s="51"/>
      <c r="H78" s="55"/>
      <c r="I78" s="54"/>
      <c r="J78" s="54"/>
      <c r="K78" s="66"/>
      <c r="L78" s="60">
        <v>78</v>
      </c>
      <c r="M78" s="60"/>
      <c r="N78" s="61"/>
    </row>
    <row r="79" spans="1:14" x14ac:dyDescent="0.3">
      <c r="A79" t="s">
        <v>220</v>
      </c>
      <c r="B79" t="s">
        <v>219</v>
      </c>
      <c r="C79" s="51"/>
      <c r="D79" s="52"/>
      <c r="E79" s="51"/>
      <c r="F79" s="53"/>
      <c r="G79" s="51"/>
      <c r="H79" s="55"/>
      <c r="I79" s="54"/>
      <c r="J79" s="54"/>
      <c r="K79" s="66"/>
      <c r="L79" s="60">
        <v>79</v>
      </c>
      <c r="M79" s="60"/>
      <c r="N79" s="61"/>
    </row>
    <row r="80" spans="1:14" x14ac:dyDescent="0.3">
      <c r="A80" t="s">
        <v>220</v>
      </c>
      <c r="B80" t="s">
        <v>203</v>
      </c>
      <c r="C80" s="51"/>
      <c r="D80" s="52"/>
      <c r="E80" s="51"/>
      <c r="F80" s="53"/>
      <c r="G80" s="51"/>
      <c r="H80" s="55"/>
      <c r="I80" s="54"/>
      <c r="J80" s="54"/>
      <c r="K80" s="66"/>
      <c r="L80" s="60">
        <v>80</v>
      </c>
      <c r="M80" s="60"/>
      <c r="N80" s="61"/>
    </row>
    <row r="81" spans="1:14" x14ac:dyDescent="0.3">
      <c r="A81" t="s">
        <v>200</v>
      </c>
      <c r="B81" t="s">
        <v>199</v>
      </c>
      <c r="C81" s="51"/>
      <c r="D81" s="52"/>
      <c r="E81" s="51"/>
      <c r="F81" s="53"/>
      <c r="G81" s="51"/>
      <c r="H81" s="55"/>
      <c r="I81" s="54"/>
      <c r="J81" s="54"/>
      <c r="K81" s="66"/>
      <c r="L81" s="60">
        <v>81</v>
      </c>
      <c r="M81" s="60"/>
      <c r="N81" s="61"/>
    </row>
    <row r="82" spans="1:14" x14ac:dyDescent="0.3">
      <c r="A82" t="s">
        <v>200</v>
      </c>
      <c r="B82" t="s">
        <v>221</v>
      </c>
      <c r="C82" s="51"/>
      <c r="D82" s="52"/>
      <c r="E82" s="51"/>
      <c r="F82" s="53"/>
      <c r="G82" s="51"/>
      <c r="H82" s="55"/>
      <c r="I82" s="54"/>
      <c r="J82" s="54"/>
      <c r="K82" s="66"/>
      <c r="L82" s="60">
        <v>82</v>
      </c>
      <c r="M82" s="60"/>
      <c r="N82" s="61"/>
    </row>
    <row r="83" spans="1:14" x14ac:dyDescent="0.3">
      <c r="A83" t="s">
        <v>222</v>
      </c>
      <c r="B83" t="s">
        <v>221</v>
      </c>
      <c r="C83" s="51"/>
      <c r="D83" s="52"/>
      <c r="E83" s="51"/>
      <c r="F83" s="53"/>
      <c r="G83" s="51"/>
      <c r="H83" s="55"/>
      <c r="I83" s="54"/>
      <c r="J83" s="54"/>
      <c r="K83" s="66"/>
      <c r="L83" s="60">
        <v>83</v>
      </c>
      <c r="M83" s="60"/>
      <c r="N83" s="61"/>
    </row>
    <row r="84" spans="1:14" x14ac:dyDescent="0.3">
      <c r="A84" t="s">
        <v>222</v>
      </c>
      <c r="B84" t="s">
        <v>223</v>
      </c>
      <c r="C84" s="51"/>
      <c r="D84" s="52"/>
      <c r="E84" s="51"/>
      <c r="F84" s="53"/>
      <c r="G84" s="51"/>
      <c r="H84" s="55"/>
      <c r="I84" s="54"/>
      <c r="J84" s="54"/>
      <c r="K84" s="66"/>
      <c r="L84" s="60">
        <v>84</v>
      </c>
      <c r="M84" s="60"/>
      <c r="N84" s="61"/>
    </row>
    <row r="85" spans="1:14" x14ac:dyDescent="0.3">
      <c r="A85" t="s">
        <v>221</v>
      </c>
      <c r="B85" t="s">
        <v>200</v>
      </c>
      <c r="C85" s="51"/>
      <c r="D85" s="52"/>
      <c r="E85" s="51"/>
      <c r="F85" s="53"/>
      <c r="G85" s="51"/>
      <c r="H85" s="55"/>
      <c r="I85" s="54"/>
      <c r="J85" s="54"/>
      <c r="K85" s="66"/>
      <c r="L85" s="60">
        <v>85</v>
      </c>
      <c r="M85" s="60"/>
      <c r="N85" s="61"/>
    </row>
    <row r="86" spans="1:14" x14ac:dyDescent="0.3">
      <c r="A86" t="s">
        <v>221</v>
      </c>
      <c r="B86" t="s">
        <v>222</v>
      </c>
      <c r="C86" s="51"/>
      <c r="D86" s="52"/>
      <c r="E86" s="51"/>
      <c r="F86" s="53"/>
      <c r="G86" s="51"/>
      <c r="H86" s="55"/>
      <c r="I86" s="54"/>
      <c r="J86" s="54"/>
      <c r="K86" s="66"/>
      <c r="L86" s="60">
        <v>86</v>
      </c>
      <c r="M86" s="60"/>
      <c r="N86" s="61"/>
    </row>
    <row r="87" spans="1:14" x14ac:dyDescent="0.3">
      <c r="A87" t="s">
        <v>179</v>
      </c>
      <c r="B87" t="s">
        <v>178</v>
      </c>
      <c r="C87" s="51"/>
      <c r="D87" s="52"/>
      <c r="E87" s="51"/>
      <c r="F87" s="53"/>
      <c r="G87" s="51"/>
      <c r="H87" s="55"/>
      <c r="I87" s="54"/>
      <c r="J87" s="54"/>
      <c r="K87" s="66"/>
      <c r="L87" s="60">
        <v>87</v>
      </c>
      <c r="M87" s="60"/>
      <c r="N87" s="61"/>
    </row>
    <row r="88" spans="1:14" x14ac:dyDescent="0.3">
      <c r="A88" t="s">
        <v>179</v>
      </c>
      <c r="B88" t="s">
        <v>224</v>
      </c>
      <c r="C88" s="51"/>
      <c r="D88" s="52"/>
      <c r="E88" s="51"/>
      <c r="F88" s="53"/>
      <c r="G88" s="51"/>
      <c r="H88" s="55"/>
      <c r="I88" s="54"/>
      <c r="J88" s="54"/>
      <c r="K88" s="66"/>
      <c r="L88" s="60">
        <v>88</v>
      </c>
      <c r="M88" s="60"/>
      <c r="N88" s="61"/>
    </row>
    <row r="89" spans="1:14" x14ac:dyDescent="0.3">
      <c r="A89" t="s">
        <v>198</v>
      </c>
      <c r="B89" t="s">
        <v>196</v>
      </c>
      <c r="C89" s="51"/>
      <c r="D89" s="52"/>
      <c r="E89" s="51"/>
      <c r="F89" s="53"/>
      <c r="G89" s="51"/>
      <c r="H89" s="55"/>
      <c r="I89" s="54"/>
      <c r="J89" s="54"/>
      <c r="K89" s="66"/>
      <c r="L89" s="60">
        <v>89</v>
      </c>
      <c r="M89" s="60"/>
      <c r="N89" s="61"/>
    </row>
    <row r="90" spans="1:14" x14ac:dyDescent="0.3">
      <c r="A90" t="s">
        <v>198</v>
      </c>
      <c r="B90" t="s">
        <v>224</v>
      </c>
      <c r="C90" s="51"/>
      <c r="D90" s="52"/>
      <c r="E90" s="51"/>
      <c r="F90" s="53"/>
      <c r="G90" s="51"/>
      <c r="H90" s="55"/>
      <c r="I90" s="54"/>
      <c r="J90" s="54"/>
      <c r="K90" s="66"/>
      <c r="L90" s="60">
        <v>90</v>
      </c>
      <c r="M90" s="60"/>
      <c r="N90" s="61"/>
    </row>
    <row r="91" spans="1:14" x14ac:dyDescent="0.3">
      <c r="A91" t="s">
        <v>224</v>
      </c>
      <c r="B91" t="s">
        <v>179</v>
      </c>
      <c r="C91" s="51"/>
      <c r="D91" s="52"/>
      <c r="E91" s="51"/>
      <c r="F91" s="53"/>
      <c r="G91" s="51"/>
      <c r="H91" s="55"/>
      <c r="I91" s="54"/>
      <c r="J91" s="54"/>
      <c r="K91" s="66"/>
      <c r="L91" s="60">
        <v>91</v>
      </c>
      <c r="M91" s="60"/>
      <c r="N91" s="61"/>
    </row>
    <row r="92" spans="1:14" x14ac:dyDescent="0.3">
      <c r="A92" t="s">
        <v>224</v>
      </c>
      <c r="B92" t="s">
        <v>198</v>
      </c>
      <c r="C92" s="51"/>
      <c r="D92" s="52"/>
      <c r="E92" s="51"/>
      <c r="F92" s="53"/>
      <c r="G92" s="51"/>
      <c r="H92" s="55"/>
      <c r="I92" s="54"/>
      <c r="J92" s="54"/>
      <c r="K92" s="66"/>
      <c r="L92" s="60">
        <v>92</v>
      </c>
      <c r="M92" s="60"/>
      <c r="N92" s="61"/>
    </row>
    <row r="93" spans="1:14" x14ac:dyDescent="0.3">
      <c r="A93" t="s">
        <v>223</v>
      </c>
      <c r="B93" t="s">
        <v>222</v>
      </c>
      <c r="C93" s="51"/>
      <c r="D93" s="52"/>
      <c r="E93" s="51"/>
      <c r="F93" s="53"/>
      <c r="G93" s="51"/>
      <c r="H93" s="55"/>
      <c r="I93" s="54"/>
      <c r="J93" s="54"/>
      <c r="K93" s="66"/>
      <c r="L93" s="60">
        <v>93</v>
      </c>
      <c r="M93" s="60"/>
      <c r="N93" s="61"/>
    </row>
    <row r="94" spans="1:14" x14ac:dyDescent="0.3">
      <c r="A94" t="s">
        <v>223</v>
      </c>
      <c r="B94" t="s">
        <v>225</v>
      </c>
      <c r="C94" s="51"/>
      <c r="D94" s="52"/>
      <c r="E94" s="51"/>
      <c r="F94" s="53"/>
      <c r="G94" s="51"/>
      <c r="H94" s="55"/>
      <c r="I94" s="54"/>
      <c r="J94" s="54"/>
      <c r="K94" s="66"/>
      <c r="L94" s="60">
        <v>94</v>
      </c>
      <c r="M94" s="60"/>
      <c r="N94" s="61"/>
    </row>
    <row r="95" spans="1:14" x14ac:dyDescent="0.3">
      <c r="A95" t="s">
        <v>182</v>
      </c>
      <c r="B95" t="s">
        <v>180</v>
      </c>
      <c r="C95" s="51"/>
      <c r="D95" s="52"/>
      <c r="E95" s="51"/>
      <c r="F95" s="53"/>
      <c r="G95" s="51"/>
      <c r="H95" s="55"/>
      <c r="I95" s="54"/>
      <c r="J95" s="54"/>
      <c r="K95" s="66"/>
      <c r="L95" s="60">
        <v>95</v>
      </c>
      <c r="M95" s="60"/>
      <c r="N95" s="61"/>
    </row>
    <row r="96" spans="1:14" x14ac:dyDescent="0.3">
      <c r="A96" t="s">
        <v>182</v>
      </c>
      <c r="B96" t="s">
        <v>225</v>
      </c>
      <c r="C96" s="51"/>
      <c r="D96" s="52"/>
      <c r="E96" s="51"/>
      <c r="F96" s="53"/>
      <c r="G96" s="51"/>
      <c r="H96" s="55"/>
      <c r="I96" s="54"/>
      <c r="J96" s="54"/>
      <c r="K96" s="66"/>
      <c r="L96" s="60">
        <v>96</v>
      </c>
      <c r="M96" s="60"/>
      <c r="N96" s="61"/>
    </row>
    <row r="97" spans="1:14" x14ac:dyDescent="0.3">
      <c r="A97" t="s">
        <v>225</v>
      </c>
      <c r="B97" t="s">
        <v>223</v>
      </c>
      <c r="C97" s="51"/>
      <c r="D97" s="52"/>
      <c r="E97" s="51"/>
      <c r="F97" s="53"/>
      <c r="G97" s="51"/>
      <c r="H97" s="55"/>
      <c r="I97" s="54"/>
      <c r="J97" s="54"/>
      <c r="K97" s="66"/>
      <c r="L97" s="60">
        <v>97</v>
      </c>
      <c r="M97" s="60"/>
      <c r="N97" s="61"/>
    </row>
    <row r="98" spans="1:14" x14ac:dyDescent="0.3">
      <c r="A98" t="s">
        <v>225</v>
      </c>
      <c r="B98" t="s">
        <v>182</v>
      </c>
      <c r="C98" s="51"/>
      <c r="D98" s="52"/>
      <c r="E98" s="51"/>
      <c r="F98" s="53"/>
      <c r="G98" s="51"/>
      <c r="H98" s="55"/>
      <c r="I98" s="54"/>
      <c r="J98" s="54"/>
      <c r="K98" s="66"/>
      <c r="L98" s="60">
        <v>98</v>
      </c>
      <c r="M98" s="60"/>
      <c r="N98" s="61"/>
    </row>
    <row r="99" spans="1:14" x14ac:dyDescent="0.3">
      <c r="A99" t="s">
        <v>190</v>
      </c>
      <c r="B99" t="s">
        <v>207</v>
      </c>
      <c r="C99" s="51"/>
      <c r="D99" s="52"/>
      <c r="E99" s="51"/>
      <c r="F99" s="53"/>
      <c r="G99" s="51"/>
      <c r="H99" s="55"/>
      <c r="I99" s="54"/>
      <c r="J99" s="54"/>
      <c r="K99" s="66"/>
      <c r="L99" s="60">
        <v>99</v>
      </c>
      <c r="M99" s="60"/>
      <c r="N99" s="61"/>
    </row>
    <row r="100" spans="1:14" x14ac:dyDescent="0.3">
      <c r="A100" t="s">
        <v>206</v>
      </c>
      <c r="B100" t="s">
        <v>205</v>
      </c>
      <c r="C100" s="51"/>
      <c r="D100" s="52"/>
      <c r="E100" s="51"/>
      <c r="F100" s="53"/>
      <c r="G100" s="51"/>
      <c r="H100" s="55"/>
      <c r="I100" s="54"/>
      <c r="J100" s="54"/>
      <c r="K100" s="66"/>
      <c r="L100" s="60">
        <v>100</v>
      </c>
      <c r="M100" s="60"/>
      <c r="N100" s="61"/>
    </row>
    <row r="101" spans="1:14" x14ac:dyDescent="0.3">
      <c r="A101" t="s">
        <v>206</v>
      </c>
      <c r="B101" t="s">
        <v>208</v>
      </c>
      <c r="C101" s="51"/>
      <c r="D101" s="52"/>
      <c r="E101" s="51"/>
      <c r="F101" s="53"/>
      <c r="G101" s="51"/>
      <c r="H101" s="55"/>
      <c r="I101" s="54"/>
      <c r="J101" s="54"/>
      <c r="K101" s="66"/>
      <c r="L101" s="60">
        <v>101</v>
      </c>
      <c r="M101" s="60"/>
      <c r="N101" s="61"/>
    </row>
    <row r="102" spans="1:14" x14ac:dyDescent="0.3">
      <c r="A102" t="s">
        <v>208</v>
      </c>
      <c r="B102" t="s">
        <v>207</v>
      </c>
      <c r="C102" s="51"/>
      <c r="D102" s="52"/>
      <c r="E102" s="51"/>
      <c r="F102" s="53"/>
      <c r="G102" s="51"/>
      <c r="H102" s="55"/>
      <c r="I102" s="54"/>
      <c r="J102" s="54"/>
      <c r="K102" s="66"/>
      <c r="L102" s="60">
        <v>102</v>
      </c>
      <c r="M102" s="60"/>
      <c r="N102" s="61"/>
    </row>
    <row r="103" spans="1:14" x14ac:dyDescent="0.3">
      <c r="A103" t="s">
        <v>208</v>
      </c>
      <c r="B103" t="s">
        <v>206</v>
      </c>
      <c r="C103" s="51"/>
      <c r="D103" s="52"/>
      <c r="E103" s="51"/>
      <c r="F103" s="53"/>
      <c r="G103" s="51"/>
      <c r="H103" s="55"/>
      <c r="I103" s="54"/>
      <c r="J103" s="54"/>
      <c r="K103" s="66"/>
      <c r="L103" s="60">
        <v>103</v>
      </c>
      <c r="M103" s="60"/>
      <c r="N103" s="61"/>
    </row>
  </sheetData>
  <dataConsolidate/>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103"/>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103"/>
    <dataValidation allowBlank="1" showErrorMessage="1" sqref="N2:N103"/>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103"/>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103"/>
    <dataValidation allowBlank="1" showInputMessage="1" promptTitle="Edge Color" prompt="To select an optional edge color, right-click and select Select Color on the right-click menu." sqref="C3:C103"/>
    <dataValidation allowBlank="1" showInputMessage="1" errorTitle="Invalid Edge Width" error="The optional edge width must be a whole number between 1 and 10." promptTitle="Edge Width" prompt="Enter an optional edge width between 1 and 10." sqref="D3:D103"/>
    <dataValidation allowBlank="1" showInputMessage="1" errorTitle="Invalid Edge Opacity" error="The optional edge opacity must be a whole number between 0 and 10." promptTitle="Edge Opacity" prompt="Enter an optional edge opacity between 0 (transparent) and 100 (opaque)." sqref="F3:F103"/>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103">
      <formula1>ValidEdgeVisibilities</formula1>
    </dataValidation>
    <dataValidation allowBlank="1" showInputMessage="1" showErrorMessage="1" promptTitle="Vertex 1 Name" prompt="Enter the name of the edge's first vertex." sqref="A3:A103"/>
    <dataValidation allowBlank="1" showInputMessage="1" showErrorMessage="1" promptTitle="Vertex 2 Name" prompt="Enter the name of the edge's second vertex." sqref="B3:B103"/>
    <dataValidation allowBlank="1" showInputMessage="1" showErrorMessage="1" errorTitle="Invalid Edge Visibility" error="You have entered an unrecognized edge visibility.  Try selecting from the drop-down list instead." promptTitle="Edge Label" prompt="Enter an optional edge label." sqref="H3:H103"/>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103">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103"/>
  </dataValidations>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H32"/>
  <sheetViews>
    <sheetView tabSelected="1" zoomScale="40" zoomScaleNormal="40" workbookViewId="0">
      <pane xSplit="1" ySplit="2" topLeftCell="B3" activePane="bottomRight" state="frozen"/>
      <selection pane="topRight" activeCell="B1" sqref="B1"/>
      <selection pane="bottomLeft" activeCell="A3" sqref="A3"/>
      <selection pane="bottomRight" activeCell="F53" sqref="F53"/>
    </sheetView>
  </sheetViews>
  <sheetFormatPr defaultRowHeight="14.4" x14ac:dyDescent="0.3"/>
  <cols>
    <col min="1" max="1" width="9.109375" style="1"/>
    <col min="2" max="2" width="7.88671875" customWidth="1"/>
    <col min="3" max="3" width="8.5546875" customWidth="1"/>
    <col min="4" max="4" width="6.6640625" customWidth="1"/>
    <col min="5" max="5" width="9.88671875" customWidth="1"/>
    <col min="6" max="6" width="7.6640625" customWidth="1"/>
    <col min="7" max="7" width="11" customWidth="1"/>
    <col min="8" max="8" width="8.5546875" customWidth="1"/>
    <col min="9" max="9" width="9.6640625" customWidth="1"/>
    <col min="10" max="10" width="10.5546875" style="3" customWidth="1"/>
    <col min="11" max="11" width="9.109375" customWidth="1"/>
    <col min="12" max="12" width="9.109375" hidden="1" customWidth="1"/>
    <col min="13" max="14" width="4.33203125" hidden="1" customWidth="1"/>
    <col min="15" max="15" width="10.33203125" hidden="1" customWidth="1"/>
    <col min="16" max="16" width="6.44140625" hidden="1" customWidth="1"/>
    <col min="17" max="17" width="8.33203125" hidden="1" customWidth="1"/>
    <col min="18" max="18" width="9.5546875" hidden="1" customWidth="1"/>
    <col min="19" max="19" width="9.33203125" hidden="1" customWidth="1"/>
    <col min="20" max="20" width="9.5546875" hidden="1" customWidth="1"/>
    <col min="21" max="23" width="14.33203125" hidden="1" customWidth="1"/>
    <col min="24" max="24" width="11.88671875" hidden="1" customWidth="1"/>
    <col min="25" max="25" width="14.44140625" hidden="1" customWidth="1"/>
    <col min="26" max="26" width="18.33203125" hidden="1" customWidth="1"/>
    <col min="27" max="27" width="5" style="3" hidden="1" customWidth="1"/>
    <col min="28" max="28" width="16" style="3" hidden="1" customWidth="1"/>
    <col min="29" max="29" width="16" style="6" bestFit="1" customWidth="1"/>
    <col min="30" max="30" width="14.33203125" style="2" customWidth="1"/>
    <col min="31" max="32" width="14.33203125" style="3" customWidth="1"/>
    <col min="33" max="33" width="11.88671875" style="3" customWidth="1"/>
    <col min="34" max="34" width="14.44140625" style="3" customWidth="1"/>
    <col min="35" max="35" width="5" customWidth="1"/>
    <col min="36" max="36" width="16" customWidth="1"/>
    <col min="37" max="37" width="16" bestFit="1" customWidth="1"/>
    <col min="38" max="39" width="9.109375" customWidth="1"/>
  </cols>
  <sheetData>
    <row r="1" spans="1:34" x14ac:dyDescent="0.3">
      <c r="B1" s="25" t="s">
        <v>40</v>
      </c>
      <c r="C1" s="18"/>
      <c r="D1" s="18"/>
      <c r="E1" s="18"/>
      <c r="F1" s="18"/>
      <c r="G1" s="18"/>
      <c r="H1" s="27" t="s">
        <v>44</v>
      </c>
      <c r="I1" s="26"/>
      <c r="J1" s="26"/>
      <c r="K1" s="26"/>
      <c r="L1" s="29" t="s">
        <v>45</v>
      </c>
      <c r="M1" s="28"/>
      <c r="N1" s="28"/>
      <c r="O1" s="28"/>
      <c r="P1" s="28"/>
      <c r="Q1" s="28"/>
      <c r="R1" s="24" t="s">
        <v>43</v>
      </c>
      <c r="S1" s="21"/>
      <c r="T1" s="22"/>
      <c r="U1" s="23"/>
      <c r="V1" s="21"/>
      <c r="W1" s="21"/>
      <c r="X1" s="21"/>
      <c r="Y1" s="21"/>
      <c r="Z1" s="21"/>
      <c r="AA1" s="30" t="s">
        <v>41</v>
      </c>
      <c r="AB1" s="20"/>
      <c r="AC1" s="31" t="s">
        <v>42</v>
      </c>
      <c r="AD1"/>
      <c r="AE1"/>
      <c r="AF1"/>
      <c r="AG1"/>
      <c r="AH1"/>
    </row>
    <row r="2" spans="1:34" ht="30" customHeight="1" x14ac:dyDescent="0.3">
      <c r="A2" s="11" t="s">
        <v>5</v>
      </c>
      <c r="B2" s="8" t="s">
        <v>2</v>
      </c>
      <c r="C2" s="8" t="s">
        <v>8</v>
      </c>
      <c r="D2" s="9" t="s">
        <v>46</v>
      </c>
      <c r="E2" s="10" t="s">
        <v>4</v>
      </c>
      <c r="F2" s="8" t="s">
        <v>49</v>
      </c>
      <c r="G2" s="8" t="s">
        <v>11</v>
      </c>
      <c r="H2" s="8" t="s">
        <v>47</v>
      </c>
      <c r="I2" s="8" t="s">
        <v>48</v>
      </c>
      <c r="J2" s="8" t="s">
        <v>78</v>
      </c>
      <c r="K2" s="8" t="s">
        <v>10</v>
      </c>
      <c r="L2" s="8" t="s">
        <v>27</v>
      </c>
      <c r="M2" s="8" t="s">
        <v>15</v>
      </c>
      <c r="N2" s="8" t="s">
        <v>16</v>
      </c>
      <c r="O2" s="8" t="s">
        <v>13</v>
      </c>
      <c r="P2" s="8" t="s">
        <v>28</v>
      </c>
      <c r="Q2" s="8" t="s">
        <v>29</v>
      </c>
      <c r="R2" s="13" t="s">
        <v>32</v>
      </c>
      <c r="S2" s="13" t="s">
        <v>33</v>
      </c>
      <c r="T2" s="13" t="s">
        <v>34</v>
      </c>
      <c r="U2" s="13" t="s">
        <v>35</v>
      </c>
      <c r="V2" s="13" t="s">
        <v>36</v>
      </c>
      <c r="W2" s="13" t="s">
        <v>37</v>
      </c>
      <c r="X2" s="13" t="s">
        <v>137</v>
      </c>
      <c r="Y2" s="13" t="s">
        <v>38</v>
      </c>
      <c r="Z2" s="13" t="s">
        <v>170</v>
      </c>
      <c r="AA2" s="11" t="s">
        <v>12</v>
      </c>
      <c r="AB2" s="11" t="s">
        <v>39</v>
      </c>
      <c r="AC2" s="8" t="s">
        <v>26</v>
      </c>
      <c r="AD2" s="3"/>
      <c r="AF2"/>
      <c r="AG2"/>
      <c r="AH2"/>
    </row>
    <row r="3" spans="1:34" ht="15" customHeight="1" x14ac:dyDescent="0.3">
      <c r="A3" t="s">
        <v>174</v>
      </c>
      <c r="B3" s="51"/>
      <c r="C3" s="51"/>
      <c r="D3" s="52"/>
      <c r="E3" s="53"/>
      <c r="F3" s="51"/>
      <c r="G3" s="51"/>
      <c r="H3" s="16"/>
      <c r="I3" s="54"/>
      <c r="J3" s="54"/>
      <c r="K3" s="55"/>
      <c r="L3" s="57"/>
      <c r="M3" s="58">
        <v>7264.16455078125</v>
      </c>
      <c r="N3" s="58">
        <v>4658.9892578125</v>
      </c>
      <c r="O3" s="56"/>
      <c r="P3" s="59"/>
      <c r="Q3" s="59"/>
      <c r="R3" s="81"/>
      <c r="S3" s="81"/>
      <c r="T3" s="81"/>
      <c r="U3" s="81"/>
      <c r="V3" s="82"/>
      <c r="W3" s="82"/>
      <c r="X3" s="82"/>
      <c r="Y3" s="82"/>
      <c r="Z3" s="50"/>
      <c r="AA3" s="60">
        <v>3</v>
      </c>
      <c r="AB3" s="60" t="b">
        <f xml:space="preserve"> IF(AND(OR(NOT(ISNUMBER(Vertices[X])), Vertices[X] &gt;= Misc!$O$2), OR(NOT(ISNUMBER(Vertices[X])), Vertices[X] &lt;= Misc!$P$2),OR(NOT(ISNUMBER(Vertices[Y])), Vertices[Y] &gt;= Misc!$O$3), OR(NOT(ISNUMBER(Vertices[Y])), Vertices[Y] &lt;= Misc!$P$3),TRUE), TRUE, FALSE)</f>
        <v>1</v>
      </c>
      <c r="AC3" s="61"/>
      <c r="AD3" s="3"/>
      <c r="AF3"/>
      <c r="AG3"/>
      <c r="AH3"/>
    </row>
    <row r="4" spans="1:34" x14ac:dyDescent="0.3">
      <c r="A4" t="s">
        <v>175</v>
      </c>
      <c r="B4" s="51"/>
      <c r="C4" s="51"/>
      <c r="D4" s="52"/>
      <c r="E4" s="53"/>
      <c r="F4" s="51"/>
      <c r="G4" s="51"/>
      <c r="H4" s="16"/>
      <c r="I4" s="54"/>
      <c r="J4" s="54"/>
      <c r="K4" s="55"/>
      <c r="L4" s="57"/>
      <c r="M4" s="58">
        <v>7404.6865234375</v>
      </c>
      <c r="N4" s="58">
        <v>4461.50634765625</v>
      </c>
      <c r="O4" s="56"/>
      <c r="P4" s="59"/>
      <c r="Q4" s="59"/>
      <c r="R4" s="81"/>
      <c r="S4" s="81"/>
      <c r="T4" s="81"/>
      <c r="U4" s="81"/>
      <c r="V4" s="82"/>
      <c r="W4" s="82"/>
      <c r="X4" s="82"/>
      <c r="Y4" s="82"/>
      <c r="Z4" s="50"/>
      <c r="AA4" s="60">
        <v>4</v>
      </c>
      <c r="AB4" s="60" t="b">
        <f xml:space="preserve"> IF(AND(OR(NOT(ISNUMBER(Vertices[X])), Vertices[X] &gt;= Misc!$O$2), OR(NOT(ISNUMBER(Vertices[X])), Vertices[X] &lt;= Misc!$P$2),OR(NOT(ISNUMBER(Vertices[Y])), Vertices[Y] &gt;= Misc!$O$3), OR(NOT(ISNUMBER(Vertices[Y])), Vertices[Y] &lt;= Misc!$P$3),TRUE), TRUE, FALSE)</f>
        <v>1</v>
      </c>
      <c r="AC4" s="61"/>
    </row>
    <row r="5" spans="1:34" x14ac:dyDescent="0.3">
      <c r="A5" t="s">
        <v>180</v>
      </c>
      <c r="B5" s="51"/>
      <c r="C5" s="51"/>
      <c r="D5" s="52"/>
      <c r="E5" s="53"/>
      <c r="F5" s="51"/>
      <c r="G5" s="51"/>
      <c r="H5" s="16"/>
      <c r="I5" s="54"/>
      <c r="J5" s="54"/>
      <c r="K5" s="55"/>
      <c r="L5" s="57"/>
      <c r="M5" s="58">
        <v>6975.64404296875</v>
      </c>
      <c r="N5" s="58">
        <v>5053.49609375</v>
      </c>
      <c r="O5" s="56"/>
      <c r="P5" s="59"/>
      <c r="Q5" s="59"/>
      <c r="R5" s="81"/>
      <c r="S5" s="81"/>
      <c r="T5" s="81"/>
      <c r="U5" s="81"/>
      <c r="V5" s="82"/>
      <c r="W5" s="82"/>
      <c r="X5" s="82"/>
      <c r="Y5" s="82"/>
      <c r="Z5" s="50"/>
      <c r="AA5" s="60">
        <v>5</v>
      </c>
      <c r="AB5" s="60" t="b">
        <f xml:space="preserve"> IF(AND(OR(NOT(ISNUMBER(Vertices[X])), Vertices[X] &gt;= Misc!$O$2), OR(NOT(ISNUMBER(Vertices[X])), Vertices[X] &lt;= Misc!$P$2),OR(NOT(ISNUMBER(Vertices[Y])), Vertices[Y] &gt;= Misc!$O$3), OR(NOT(ISNUMBER(Vertices[Y])), Vertices[Y] &lt;= Misc!$P$3),TRUE), TRUE, FALSE)</f>
        <v>1</v>
      </c>
      <c r="AC5" s="61"/>
    </row>
    <row r="6" spans="1:34" x14ac:dyDescent="0.3">
      <c r="A6" t="s">
        <v>185</v>
      </c>
      <c r="B6" s="51"/>
      <c r="C6" s="51"/>
      <c r="D6" s="52"/>
      <c r="E6" s="53"/>
      <c r="F6" s="51"/>
      <c r="G6" s="51"/>
      <c r="H6" s="16"/>
      <c r="I6" s="54"/>
      <c r="J6" s="54"/>
      <c r="K6" s="55"/>
      <c r="L6" s="57"/>
      <c r="M6" s="58">
        <v>7119.20849609375</v>
      </c>
      <c r="N6" s="58">
        <v>4856.21435546875</v>
      </c>
      <c r="O6" s="56"/>
      <c r="P6" s="59"/>
      <c r="Q6" s="59"/>
      <c r="R6" s="81"/>
      <c r="S6" s="81"/>
      <c r="T6" s="81"/>
      <c r="U6" s="81"/>
      <c r="V6" s="82"/>
      <c r="W6" s="82"/>
      <c r="X6" s="82"/>
      <c r="Y6" s="82"/>
      <c r="Z6" s="50"/>
      <c r="AA6" s="60">
        <v>6</v>
      </c>
      <c r="AB6" s="60" t="b">
        <f xml:space="preserve"> IF(AND(OR(NOT(ISNUMBER(Vertices[X])), Vertices[X] &gt;= Misc!$O$2), OR(NOT(ISNUMBER(Vertices[X])), Vertices[X] &lt;= Misc!$P$2),OR(NOT(ISNUMBER(Vertices[Y])), Vertices[Y] &gt;= Misc!$O$3), OR(NOT(ISNUMBER(Vertices[Y])), Vertices[Y] &lt;= Misc!$P$3),TRUE), TRUE, FALSE)</f>
        <v>1</v>
      </c>
      <c r="AC6" s="61"/>
    </row>
    <row r="7" spans="1:34" x14ac:dyDescent="0.3">
      <c r="A7" t="s">
        <v>192</v>
      </c>
      <c r="B7" s="51"/>
      <c r="C7" s="51"/>
      <c r="D7" s="52"/>
      <c r="E7" s="53"/>
      <c r="F7" s="51"/>
      <c r="G7" s="51"/>
      <c r="H7" s="16"/>
      <c r="I7" s="54"/>
      <c r="J7" s="54"/>
      <c r="K7" s="55"/>
      <c r="L7" s="57"/>
      <c r="M7" s="58">
        <v>3847.472900390625</v>
      </c>
      <c r="N7" s="58">
        <v>7513.1962890625</v>
      </c>
      <c r="O7" s="56"/>
      <c r="P7" s="59"/>
      <c r="Q7" s="59"/>
      <c r="R7" s="81"/>
      <c r="S7" s="81"/>
      <c r="T7" s="81"/>
      <c r="U7" s="81"/>
      <c r="V7" s="82"/>
      <c r="W7" s="82"/>
      <c r="X7" s="82"/>
      <c r="Y7" s="82"/>
      <c r="Z7" s="50"/>
      <c r="AA7" s="60">
        <v>7</v>
      </c>
      <c r="AB7" s="60" t="b">
        <f xml:space="preserve"> IF(AND(OR(NOT(ISNUMBER(Vertices[X])), Vertices[X] &gt;= Misc!$O$2), OR(NOT(ISNUMBER(Vertices[X])), Vertices[X] &lt;= Misc!$P$2),OR(NOT(ISNUMBER(Vertices[Y])), Vertices[Y] &gt;= Misc!$O$3), OR(NOT(ISNUMBER(Vertices[Y])), Vertices[Y] &lt;= Misc!$P$3),TRUE), TRUE, FALSE)</f>
        <v>1</v>
      </c>
      <c r="AC7" s="61"/>
    </row>
    <row r="8" spans="1:34" x14ac:dyDescent="0.3">
      <c r="A8" t="s">
        <v>189</v>
      </c>
      <c r="B8" s="51"/>
      <c r="C8" s="51"/>
      <c r="D8" s="52"/>
      <c r="E8" s="53"/>
      <c r="F8" s="51"/>
      <c r="G8" s="51"/>
      <c r="H8" s="16"/>
      <c r="I8" s="54"/>
      <c r="J8" s="54"/>
      <c r="K8" s="55"/>
      <c r="L8" s="57"/>
      <c r="M8" s="58">
        <v>3258.5244140625</v>
      </c>
      <c r="N8" s="58">
        <v>7880.1396484375</v>
      </c>
      <c r="O8" s="56"/>
      <c r="P8" s="59"/>
      <c r="Q8" s="59"/>
      <c r="R8" s="81"/>
      <c r="S8" s="81"/>
      <c r="T8" s="81"/>
      <c r="U8" s="81"/>
      <c r="V8" s="82"/>
      <c r="W8" s="82"/>
      <c r="X8" s="82"/>
      <c r="Y8" s="82"/>
      <c r="Z8" s="50"/>
      <c r="AA8" s="60">
        <v>8</v>
      </c>
      <c r="AB8" s="60" t="b">
        <f xml:space="preserve"> IF(AND(OR(NOT(ISNUMBER(Vertices[X])), Vertices[X] &gt;= Misc!$O$2), OR(NOT(ISNUMBER(Vertices[X])), Vertices[X] &lt;= Misc!$P$2),OR(NOT(ISNUMBER(Vertices[Y])), Vertices[Y] &gt;= Misc!$O$3), OR(NOT(ISNUMBER(Vertices[Y])), Vertices[Y] &lt;= Misc!$P$3),TRUE), TRUE, FALSE)</f>
        <v>1</v>
      </c>
      <c r="AC8" s="61"/>
    </row>
    <row r="9" spans="1:34" x14ac:dyDescent="0.3">
      <c r="A9" t="s">
        <v>194</v>
      </c>
      <c r="B9" s="51"/>
      <c r="C9" s="51"/>
      <c r="D9" s="52"/>
      <c r="E9" s="53"/>
      <c r="F9" s="51"/>
      <c r="G9" s="51"/>
      <c r="H9" s="16"/>
      <c r="I9" s="54"/>
      <c r="J9" s="54"/>
      <c r="K9" s="55"/>
      <c r="L9" s="57"/>
      <c r="M9" s="58">
        <v>3547.9384765625</v>
      </c>
      <c r="N9" s="58">
        <v>7696.0087890625</v>
      </c>
      <c r="O9" s="56"/>
      <c r="P9" s="59"/>
      <c r="Q9" s="59"/>
      <c r="R9" s="81"/>
      <c r="S9" s="81"/>
      <c r="T9" s="81"/>
      <c r="U9" s="81"/>
      <c r="V9" s="82"/>
      <c r="W9" s="82"/>
      <c r="X9" s="82"/>
      <c r="Y9" s="82"/>
      <c r="Z9" s="50"/>
      <c r="AA9" s="60">
        <v>9</v>
      </c>
      <c r="AB9" s="60" t="b">
        <f xml:space="preserve"> IF(AND(OR(NOT(ISNUMBER(Vertices[X])), Vertices[X] &gt;= Misc!$O$2), OR(NOT(ISNUMBER(Vertices[X])), Vertices[X] &lt;= Misc!$P$2),OR(NOT(ISNUMBER(Vertices[Y])), Vertices[Y] &gt;= Misc!$O$3), OR(NOT(ISNUMBER(Vertices[Y])), Vertices[Y] &lt;= Misc!$P$3),TRUE), TRUE, FALSE)</f>
        <v>1</v>
      </c>
      <c r="AC9" s="61"/>
    </row>
    <row r="10" spans="1:34" x14ac:dyDescent="0.3">
      <c r="A10" t="s">
        <v>196</v>
      </c>
      <c r="B10" s="51"/>
      <c r="C10" s="51"/>
      <c r="D10" s="52"/>
      <c r="E10" s="53"/>
      <c r="F10" s="51"/>
      <c r="G10" s="51"/>
      <c r="H10" s="16"/>
      <c r="I10" s="54"/>
      <c r="J10" s="54"/>
      <c r="K10" s="55"/>
      <c r="L10" s="57"/>
      <c r="M10" s="58">
        <v>9183.1259765625</v>
      </c>
      <c r="N10" s="58">
        <v>1891.1771240234375</v>
      </c>
      <c r="O10" s="56"/>
      <c r="P10" s="59"/>
      <c r="Q10" s="59"/>
      <c r="R10" s="81"/>
      <c r="S10" s="81"/>
      <c r="T10" s="81"/>
      <c r="U10" s="81"/>
      <c r="V10" s="82"/>
      <c r="W10" s="82"/>
      <c r="X10" s="82"/>
      <c r="Y10" s="82"/>
      <c r="Z10" s="50"/>
      <c r="AA10" s="60">
        <v>10</v>
      </c>
      <c r="AB10" s="60" t="b">
        <f xml:space="preserve"> IF(AND(OR(NOT(ISNUMBER(Vertices[X])), Vertices[X] &gt;= Misc!$O$2), OR(NOT(ISNUMBER(Vertices[X])), Vertices[X] &lt;= Misc!$P$2),OR(NOT(ISNUMBER(Vertices[Y])), Vertices[Y] &gt;= Misc!$O$3), OR(NOT(ISNUMBER(Vertices[Y])), Vertices[Y] &lt;= Misc!$P$3),TRUE), TRUE, FALSE)</f>
        <v>1</v>
      </c>
      <c r="AC10" s="61"/>
    </row>
    <row r="11" spans="1:34" x14ac:dyDescent="0.3">
      <c r="A11" t="s">
        <v>201</v>
      </c>
      <c r="B11" s="51"/>
      <c r="C11" s="51"/>
      <c r="D11" s="52"/>
      <c r="E11" s="53"/>
      <c r="F11" s="51"/>
      <c r="G11" s="51"/>
      <c r="H11" s="16"/>
      <c r="I11" s="54"/>
      <c r="J11" s="54"/>
      <c r="K11" s="55"/>
      <c r="L11" s="57"/>
      <c r="M11" s="58">
        <v>8639.6162109375</v>
      </c>
      <c r="N11" s="58">
        <v>2682.13525390625</v>
      </c>
      <c r="O11" s="56"/>
      <c r="P11" s="59"/>
      <c r="Q11" s="59"/>
      <c r="R11" s="81"/>
      <c r="S11" s="81"/>
      <c r="T11" s="81"/>
      <c r="U11" s="81"/>
      <c r="V11" s="82"/>
      <c r="W11" s="82"/>
      <c r="X11" s="82"/>
      <c r="Y11" s="82"/>
      <c r="Z11" s="50"/>
      <c r="AA11" s="60">
        <v>11</v>
      </c>
      <c r="AB11" s="60" t="b">
        <f xml:space="preserve"> IF(AND(OR(NOT(ISNUMBER(Vertices[X])), Vertices[X] &gt;= Misc!$O$2), OR(NOT(ISNUMBER(Vertices[X])), Vertices[X] &lt;= Misc!$P$2),OR(NOT(ISNUMBER(Vertices[Y])), Vertices[Y] &gt;= Misc!$O$3), OR(NOT(ISNUMBER(Vertices[Y])), Vertices[Y] &lt;= Misc!$P$3),TRUE), TRUE, FALSE)</f>
        <v>1</v>
      </c>
      <c r="AC11" s="61"/>
    </row>
    <row r="12" spans="1:34" x14ac:dyDescent="0.3">
      <c r="A12" t="s">
        <v>205</v>
      </c>
      <c r="B12" s="51"/>
      <c r="C12" s="51"/>
      <c r="D12" s="52"/>
      <c r="E12" s="53"/>
      <c r="F12" s="51"/>
      <c r="G12" s="51"/>
      <c r="H12" s="16"/>
      <c r="I12" s="54"/>
      <c r="J12" s="54"/>
      <c r="K12" s="55"/>
      <c r="L12" s="57"/>
      <c r="M12" s="58">
        <v>8908.4404296875</v>
      </c>
      <c r="N12" s="58">
        <v>2286.51806640625</v>
      </c>
      <c r="O12" s="56"/>
      <c r="P12" s="59"/>
      <c r="Q12" s="59"/>
      <c r="R12" s="81"/>
      <c r="S12" s="81"/>
      <c r="T12" s="81"/>
      <c r="U12" s="81"/>
      <c r="V12" s="82"/>
      <c r="W12" s="82"/>
      <c r="X12" s="82"/>
      <c r="Y12" s="82"/>
      <c r="Z12" s="50"/>
      <c r="AA12" s="60">
        <v>12</v>
      </c>
      <c r="AB12" s="60" t="b">
        <f xml:space="preserve"> IF(AND(OR(NOT(ISNUMBER(Vertices[X])), Vertices[X] &gt;= Misc!$O$2), OR(NOT(ISNUMBER(Vertices[X])), Vertices[X] &lt;= Misc!$P$2),OR(NOT(ISNUMBER(Vertices[Y])), Vertices[Y] &gt;= Misc!$O$3), OR(NOT(ISNUMBER(Vertices[Y])), Vertices[Y] &lt;= Misc!$P$3),TRUE), TRUE, FALSE)</f>
        <v>1</v>
      </c>
      <c r="AC12" s="61"/>
    </row>
    <row r="13" spans="1:34" x14ac:dyDescent="0.3">
      <c r="A13" t="s">
        <v>207</v>
      </c>
      <c r="B13" s="51"/>
      <c r="C13" s="51"/>
      <c r="D13" s="52"/>
      <c r="E13" s="53"/>
      <c r="F13" s="51"/>
      <c r="G13" s="51"/>
      <c r="H13" s="16"/>
      <c r="I13" s="54"/>
      <c r="J13" s="54"/>
      <c r="K13" s="55"/>
      <c r="L13" s="57"/>
      <c r="M13" s="58">
        <v>7687.56591796875</v>
      </c>
      <c r="N13" s="58">
        <v>4066.567138671875</v>
      </c>
      <c r="O13" s="56"/>
      <c r="P13" s="59"/>
      <c r="Q13" s="59"/>
      <c r="R13" s="81"/>
      <c r="S13" s="81"/>
      <c r="T13" s="81"/>
      <c r="U13" s="81"/>
      <c r="V13" s="82"/>
      <c r="W13" s="82"/>
      <c r="X13" s="82"/>
      <c r="Y13" s="82"/>
      <c r="Z13" s="50"/>
      <c r="AA13" s="60">
        <v>13</v>
      </c>
      <c r="AB13" s="60" t="b">
        <f xml:space="preserve"> IF(AND(OR(NOT(ISNUMBER(Vertices[X])), Vertices[X] &gt;= Misc!$O$2), OR(NOT(ISNUMBER(Vertices[X])), Vertices[X] &lt;= Misc!$P$2),OR(NOT(ISNUMBER(Vertices[Y])), Vertices[Y] &gt;= Misc!$O$3), OR(NOT(ISNUMBER(Vertices[Y])), Vertices[Y] &lt;= Misc!$P$3),TRUE), TRUE, FALSE)</f>
        <v>1</v>
      </c>
      <c r="AC13" s="61"/>
    </row>
    <row r="14" spans="1:34" x14ac:dyDescent="0.3">
      <c r="A14" t="s">
        <v>209</v>
      </c>
      <c r="B14" s="51"/>
      <c r="C14" s="51"/>
      <c r="D14" s="52"/>
      <c r="E14" s="53"/>
      <c r="F14" s="51"/>
      <c r="G14" s="51"/>
      <c r="H14" s="16"/>
      <c r="I14" s="54"/>
      <c r="J14" s="54"/>
      <c r="K14" s="55"/>
      <c r="L14" s="57"/>
      <c r="M14" s="58">
        <v>7546.68896484375</v>
      </c>
      <c r="N14" s="58">
        <v>4264.07275390625</v>
      </c>
      <c r="O14" s="56"/>
      <c r="P14" s="59"/>
      <c r="Q14" s="59"/>
      <c r="R14" s="81"/>
      <c r="S14" s="81"/>
      <c r="T14" s="81"/>
      <c r="U14" s="81"/>
      <c r="V14" s="82"/>
      <c r="W14" s="82"/>
      <c r="X14" s="82"/>
      <c r="Y14" s="82"/>
      <c r="Z14" s="50"/>
      <c r="AA14" s="60">
        <v>14</v>
      </c>
      <c r="AB14" s="60" t="b">
        <f xml:space="preserve"> IF(AND(OR(NOT(ISNUMBER(Vertices[X])), Vertices[X] &gt;= Misc!$O$2), OR(NOT(ISNUMBER(Vertices[X])), Vertices[X] &lt;= Misc!$P$2),OR(NOT(ISNUMBER(Vertices[Y])), Vertices[Y] &gt;= Misc!$O$3), OR(NOT(ISNUMBER(Vertices[Y])), Vertices[Y] &lt;= Misc!$P$3),TRUE), TRUE, FALSE)</f>
        <v>1</v>
      </c>
      <c r="AC14" s="61"/>
    </row>
    <row r="15" spans="1:34" x14ac:dyDescent="0.3">
      <c r="A15" t="s">
        <v>212</v>
      </c>
      <c r="B15" s="51"/>
      <c r="C15" s="51"/>
      <c r="D15" s="52"/>
      <c r="E15" s="53"/>
      <c r="F15" s="51"/>
      <c r="G15" s="51"/>
      <c r="H15" s="16"/>
      <c r="I15" s="54"/>
      <c r="J15" s="54"/>
      <c r="K15" s="55"/>
      <c r="L15" s="57"/>
      <c r="M15" s="58">
        <v>8774.0478515625</v>
      </c>
      <c r="N15" s="58">
        <v>2484.3310546875</v>
      </c>
      <c r="O15" s="56"/>
      <c r="P15" s="59"/>
      <c r="Q15" s="59"/>
      <c r="R15" s="81"/>
      <c r="S15" s="81"/>
      <c r="T15" s="81"/>
      <c r="U15" s="81"/>
      <c r="V15" s="82"/>
      <c r="W15" s="82"/>
      <c r="X15" s="82"/>
      <c r="Y15" s="82"/>
      <c r="Z15" s="50"/>
      <c r="AA15" s="60">
        <v>15</v>
      </c>
      <c r="AB15" s="60" t="b">
        <f xml:space="preserve"> IF(AND(OR(NOT(ISNUMBER(Vertices[X])), Vertices[X] &gt;= Misc!$O$2), OR(NOT(ISNUMBER(Vertices[X])), Vertices[X] &lt;= Misc!$P$2),OR(NOT(ISNUMBER(Vertices[Y])), Vertices[Y] &gt;= Misc!$O$3), OR(NOT(ISNUMBER(Vertices[Y])), Vertices[Y] &lt;= Misc!$P$3),TRUE), TRUE, FALSE)</f>
        <v>1</v>
      </c>
      <c r="AC15" s="61"/>
    </row>
    <row r="16" spans="1:34" x14ac:dyDescent="0.3">
      <c r="A16" t="s">
        <v>213</v>
      </c>
      <c r="B16" s="51"/>
      <c r="C16" s="51"/>
      <c r="D16" s="52"/>
      <c r="E16" s="53"/>
      <c r="F16" s="51"/>
      <c r="G16" s="51"/>
      <c r="H16" s="16"/>
      <c r="I16" s="54"/>
      <c r="J16" s="54"/>
      <c r="K16" s="55"/>
      <c r="L16" s="57"/>
      <c r="M16" s="58">
        <v>127.26061248779297</v>
      </c>
      <c r="N16" s="58">
        <v>9858.9541015625</v>
      </c>
      <c r="O16" s="56"/>
      <c r="P16" s="59"/>
      <c r="Q16" s="59"/>
      <c r="R16" s="81"/>
      <c r="S16" s="81"/>
      <c r="T16" s="81"/>
      <c r="U16" s="81"/>
      <c r="V16" s="82"/>
      <c r="W16" s="82"/>
      <c r="X16" s="82"/>
      <c r="Y16" s="82"/>
      <c r="Z16" s="50"/>
      <c r="AA16" s="60">
        <v>16</v>
      </c>
      <c r="AB16" s="60" t="b">
        <f xml:space="preserve"> IF(AND(OR(NOT(ISNUMBER(Vertices[X])), Vertices[X] &gt;= Misc!$O$2), OR(NOT(ISNUMBER(Vertices[X])), Vertices[X] &lt;= Misc!$P$2),OR(NOT(ISNUMBER(Vertices[Y])), Vertices[Y] &gt;= Misc!$O$3), OR(NOT(ISNUMBER(Vertices[Y])), Vertices[Y] &lt;= Misc!$P$3),TRUE), TRUE, FALSE)</f>
        <v>1</v>
      </c>
      <c r="AC16" s="61"/>
    </row>
    <row r="17" spans="1:29" x14ac:dyDescent="0.3">
      <c r="A17" t="s">
        <v>210</v>
      </c>
      <c r="B17" s="51"/>
      <c r="C17" s="51"/>
      <c r="D17" s="52"/>
      <c r="E17" s="53"/>
      <c r="F17" s="51"/>
      <c r="G17" s="51"/>
      <c r="H17" s="16"/>
      <c r="I17" s="54"/>
      <c r="J17" s="54"/>
      <c r="K17" s="55"/>
      <c r="L17" s="57"/>
      <c r="M17" s="58">
        <v>6259.5517578125</v>
      </c>
      <c r="N17" s="58">
        <v>5833.31103515625</v>
      </c>
      <c r="O17" s="56"/>
      <c r="P17" s="59"/>
      <c r="Q17" s="59"/>
      <c r="R17" s="81"/>
      <c r="S17" s="81"/>
      <c r="T17" s="81"/>
      <c r="U17" s="81"/>
      <c r="V17" s="82"/>
      <c r="W17" s="82"/>
      <c r="X17" s="82"/>
      <c r="Y17" s="82"/>
      <c r="Z17" s="50"/>
      <c r="AA17" s="60">
        <v>17</v>
      </c>
      <c r="AB17" s="60" t="b">
        <f xml:space="preserve"> IF(AND(OR(NOT(ISNUMBER(Vertices[X])), Vertices[X] &gt;= Misc!$O$2), OR(NOT(ISNUMBER(Vertices[X])), Vertices[X] &lt;= Misc!$P$2),OR(NOT(ISNUMBER(Vertices[Y])), Vertices[Y] &gt;= Misc!$O$3), OR(NOT(ISNUMBER(Vertices[Y])), Vertices[Y] &lt;= Misc!$P$3),TRUE), TRUE, FALSE)</f>
        <v>1</v>
      </c>
      <c r="AC17" s="61"/>
    </row>
    <row r="18" spans="1:29" x14ac:dyDescent="0.3">
      <c r="A18" t="s">
        <v>215</v>
      </c>
      <c r="B18" s="51"/>
      <c r="C18" s="51"/>
      <c r="D18" s="52"/>
      <c r="E18" s="53"/>
      <c r="F18" s="51"/>
      <c r="G18" s="51"/>
      <c r="H18" s="16"/>
      <c r="I18" s="54"/>
      <c r="J18" s="54"/>
      <c r="K18" s="55"/>
      <c r="L18" s="57"/>
      <c r="M18" s="58">
        <v>5780.2119140625</v>
      </c>
      <c r="N18" s="58">
        <v>6212.92529296875</v>
      </c>
      <c r="O18" s="56"/>
      <c r="P18" s="59"/>
      <c r="Q18" s="59"/>
      <c r="R18" s="81"/>
      <c r="S18" s="81"/>
      <c r="T18" s="81"/>
      <c r="U18" s="81"/>
      <c r="V18" s="82"/>
      <c r="W18" s="82"/>
      <c r="X18" s="82"/>
      <c r="Y18" s="82"/>
      <c r="Z18" s="50"/>
      <c r="AA18" s="60">
        <v>18</v>
      </c>
      <c r="AB18" s="60" t="b">
        <f xml:space="preserve"> IF(AND(OR(NOT(ISNUMBER(Vertices[X])), Vertices[X] &gt;= Misc!$O$2), OR(NOT(ISNUMBER(Vertices[X])), Vertices[X] &lt;= Misc!$P$2),OR(NOT(ISNUMBER(Vertices[Y])), Vertices[Y] &gt;= Misc!$O$3), OR(NOT(ISNUMBER(Vertices[Y])), Vertices[Y] &lt;= Misc!$P$3),TRUE), TRUE, FALSE)</f>
        <v>1</v>
      </c>
      <c r="AC18" s="61"/>
    </row>
    <row r="19" spans="1:29" x14ac:dyDescent="0.3">
      <c r="A19" t="s">
        <v>216</v>
      </c>
      <c r="B19" s="51"/>
      <c r="C19" s="51"/>
      <c r="D19" s="52"/>
      <c r="E19" s="53"/>
      <c r="F19" s="51"/>
      <c r="G19" s="51"/>
      <c r="H19" s="16"/>
      <c r="I19" s="54"/>
      <c r="J19" s="54"/>
      <c r="K19" s="55"/>
      <c r="L19" s="57"/>
      <c r="M19" s="58">
        <v>6036.89599609375</v>
      </c>
      <c r="N19" s="58">
        <v>6024.85693359375</v>
      </c>
      <c r="O19" s="56"/>
      <c r="P19" s="59"/>
      <c r="Q19" s="59"/>
      <c r="R19" s="81"/>
      <c r="S19" s="81"/>
      <c r="T19" s="81"/>
      <c r="U19" s="81"/>
      <c r="V19" s="82"/>
      <c r="W19" s="82"/>
      <c r="X19" s="82"/>
      <c r="Y19" s="82"/>
      <c r="Z19" s="50"/>
      <c r="AA19" s="60">
        <v>19</v>
      </c>
      <c r="AB19" s="60" t="b">
        <f xml:space="preserve"> IF(AND(OR(NOT(ISNUMBER(Vertices[X])), Vertices[X] &gt;= Misc!$O$2), OR(NOT(ISNUMBER(Vertices[X])), Vertices[X] &lt;= Misc!$P$2),OR(NOT(ISNUMBER(Vertices[Y])), Vertices[Y] &gt;= Misc!$O$3), OR(NOT(ISNUMBER(Vertices[Y])), Vertices[Y] &lt;= Misc!$P$3),TRUE), TRUE, FALSE)</f>
        <v>1</v>
      </c>
      <c r="AC19" s="61"/>
    </row>
    <row r="20" spans="1:29" x14ac:dyDescent="0.3">
      <c r="A20" t="s">
        <v>214</v>
      </c>
      <c r="B20" s="51"/>
      <c r="C20" s="51"/>
      <c r="D20" s="52"/>
      <c r="E20" s="53"/>
      <c r="F20" s="51"/>
      <c r="G20" s="51"/>
      <c r="H20" s="16"/>
      <c r="I20" s="54"/>
      <c r="J20" s="54"/>
      <c r="K20" s="55"/>
      <c r="L20" s="57"/>
      <c r="M20" s="58">
        <v>1230.420166015625</v>
      </c>
      <c r="N20" s="58">
        <v>9168.5283203125</v>
      </c>
      <c r="O20" s="56"/>
      <c r="P20" s="59"/>
      <c r="Q20" s="59"/>
      <c r="R20" s="81"/>
      <c r="S20" s="81"/>
      <c r="T20" s="81"/>
      <c r="U20" s="81"/>
      <c r="V20" s="82"/>
      <c r="W20" s="82"/>
      <c r="X20" s="82"/>
      <c r="Y20" s="82"/>
      <c r="Z20" s="50"/>
      <c r="AA20" s="60">
        <v>20</v>
      </c>
      <c r="AB20" s="60" t="b">
        <f xml:space="preserve"> IF(AND(OR(NOT(ISNUMBER(Vertices[X])), Vertices[X] &gt;= Misc!$O$2), OR(NOT(ISNUMBER(Vertices[X])), Vertices[X] &lt;= Misc!$P$2),OR(NOT(ISNUMBER(Vertices[Y])), Vertices[Y] &gt;= Misc!$O$3), OR(NOT(ISNUMBER(Vertices[Y])), Vertices[Y] &lt;= Misc!$P$3),TRUE), TRUE, FALSE)</f>
        <v>1</v>
      </c>
      <c r="AC20" s="61"/>
    </row>
    <row r="21" spans="1:29" x14ac:dyDescent="0.3">
      <c r="A21" t="s">
        <v>211</v>
      </c>
      <c r="B21" s="51"/>
      <c r="C21" s="51"/>
      <c r="D21" s="52"/>
      <c r="E21" s="53"/>
      <c r="F21" s="51"/>
      <c r="G21" s="51"/>
      <c r="H21" s="16"/>
      <c r="I21" s="54"/>
      <c r="J21" s="54"/>
      <c r="K21" s="55"/>
      <c r="L21" s="57"/>
      <c r="M21" s="58">
        <v>937.63726806640625</v>
      </c>
      <c r="N21" s="58">
        <v>9352.1865234375</v>
      </c>
      <c r="O21" s="56"/>
      <c r="P21" s="59"/>
      <c r="Q21" s="59"/>
      <c r="R21" s="81"/>
      <c r="S21" s="81"/>
      <c r="T21" s="81"/>
      <c r="U21" s="81"/>
      <c r="V21" s="82"/>
      <c r="W21" s="82"/>
      <c r="X21" s="82"/>
      <c r="Y21" s="82"/>
      <c r="Z21" s="50"/>
      <c r="AA21" s="60">
        <v>21</v>
      </c>
      <c r="AB21" s="60" t="b">
        <f xml:space="preserve"> IF(AND(OR(NOT(ISNUMBER(Vertices[X])), Vertices[X] &gt;= Misc!$O$2), OR(NOT(ISNUMBER(Vertices[X])), Vertices[X] &lt;= Misc!$P$2),OR(NOT(ISNUMBER(Vertices[Y])), Vertices[Y] &gt;= Misc!$O$3), OR(NOT(ISNUMBER(Vertices[Y])), Vertices[Y] &lt;= Misc!$P$3),TRUE), TRUE, FALSE)</f>
        <v>1</v>
      </c>
      <c r="AC21" s="61"/>
    </row>
    <row r="22" spans="1:29" x14ac:dyDescent="0.3">
      <c r="A22" t="s">
        <v>186</v>
      </c>
      <c r="B22" s="51"/>
      <c r="C22" s="51"/>
      <c r="D22" s="52"/>
      <c r="E22" s="53"/>
      <c r="F22" s="51"/>
      <c r="G22" s="51"/>
      <c r="H22" s="16"/>
      <c r="I22" s="54"/>
      <c r="J22" s="54"/>
      <c r="K22" s="55"/>
      <c r="L22" s="57"/>
      <c r="M22" s="58">
        <v>7962.322265625</v>
      </c>
      <c r="N22" s="58">
        <v>3671.1376953125</v>
      </c>
      <c r="O22" s="56"/>
      <c r="P22" s="59"/>
      <c r="Q22" s="59"/>
      <c r="R22" s="81"/>
      <c r="S22" s="81"/>
      <c r="T22" s="81"/>
      <c r="U22" s="81"/>
      <c r="V22" s="82"/>
      <c r="W22" s="82"/>
      <c r="X22" s="82"/>
      <c r="Y22" s="82"/>
      <c r="Z22" s="50"/>
      <c r="AA22" s="60">
        <v>22</v>
      </c>
      <c r="AB22" s="60" t="b">
        <f xml:space="preserve"> IF(AND(OR(NOT(ISNUMBER(Vertices[X])), Vertices[X] &gt;= Misc!$O$2), OR(NOT(ISNUMBER(Vertices[X])), Vertices[X] &lt;= Misc!$P$2),OR(NOT(ISNUMBER(Vertices[Y])), Vertices[Y] &gt;= Misc!$O$3), OR(NOT(ISNUMBER(Vertices[Y])), Vertices[Y] &lt;= Misc!$P$3),TRUE), TRUE, FALSE)</f>
        <v>1</v>
      </c>
      <c r="AC22" s="61"/>
    </row>
    <row r="23" spans="1:29" x14ac:dyDescent="0.3">
      <c r="A23" t="s">
        <v>204</v>
      </c>
      <c r="B23" s="51"/>
      <c r="C23" s="51"/>
      <c r="D23" s="52"/>
      <c r="E23" s="53"/>
      <c r="F23" s="51"/>
      <c r="G23" s="51"/>
      <c r="H23" s="16"/>
      <c r="I23" s="54"/>
      <c r="J23" s="54"/>
      <c r="K23" s="55"/>
      <c r="L23" s="57"/>
      <c r="M23" s="58">
        <v>7828.71533203125</v>
      </c>
      <c r="N23" s="58">
        <v>3869.083984375</v>
      </c>
      <c r="O23" s="56"/>
      <c r="P23" s="59"/>
      <c r="Q23" s="59"/>
      <c r="R23" s="81"/>
      <c r="S23" s="81"/>
      <c r="T23" s="81"/>
      <c r="U23" s="81"/>
      <c r="V23" s="82"/>
      <c r="W23" s="82"/>
      <c r="X23" s="82"/>
      <c r="Y23" s="82"/>
      <c r="Z23" s="50"/>
      <c r="AA23" s="60">
        <v>23</v>
      </c>
      <c r="AB23" s="60" t="b">
        <f xml:space="preserve"> IF(AND(OR(NOT(ISNUMBER(Vertices[X])), Vertices[X] &gt;= Misc!$O$2), OR(NOT(ISNUMBER(Vertices[X])), Vertices[X] &lt;= Misc!$P$2),OR(NOT(ISNUMBER(Vertices[Y])), Vertices[Y] &gt;= Misc!$O$3), OR(NOT(ISNUMBER(Vertices[Y])), Vertices[Y] &lt;= Misc!$P$3),TRUE), TRUE, FALSE)</f>
        <v>1</v>
      </c>
      <c r="AC23" s="61"/>
    </row>
    <row r="24" spans="1:29" x14ac:dyDescent="0.3">
      <c r="A24" t="s">
        <v>195</v>
      </c>
      <c r="B24" s="51"/>
      <c r="C24" s="51"/>
      <c r="D24" s="52"/>
      <c r="E24" s="53"/>
      <c r="F24" s="51"/>
      <c r="G24" s="51"/>
      <c r="H24" s="16"/>
      <c r="I24" s="54"/>
      <c r="J24" s="54"/>
      <c r="K24" s="55"/>
      <c r="L24" s="57"/>
      <c r="M24" s="58">
        <v>8367.361328125</v>
      </c>
      <c r="N24" s="58">
        <v>3077.62353515625</v>
      </c>
      <c r="O24" s="56"/>
      <c r="P24" s="59"/>
      <c r="Q24" s="59"/>
      <c r="R24" s="81"/>
      <c r="S24" s="81"/>
      <c r="T24" s="81"/>
      <c r="U24" s="81"/>
      <c r="V24" s="82"/>
      <c r="W24" s="82"/>
      <c r="X24" s="82"/>
      <c r="Y24" s="82"/>
      <c r="Z24" s="50"/>
      <c r="AA24" s="60">
        <v>24</v>
      </c>
      <c r="AB24" s="60" t="b">
        <f xml:space="preserve"> IF(AND(OR(NOT(ISNUMBER(Vertices[X])), Vertices[X] &gt;= Misc!$O$2), OR(NOT(ISNUMBER(Vertices[X])), Vertices[X] &lt;= Misc!$P$2),OR(NOT(ISNUMBER(Vertices[Y])), Vertices[Y] &gt;= Misc!$O$3), OR(NOT(ISNUMBER(Vertices[Y])), Vertices[Y] &lt;= Misc!$P$3),TRUE), TRUE, FALSE)</f>
        <v>1</v>
      </c>
      <c r="AC24" s="61"/>
    </row>
    <row r="25" spans="1:29" x14ac:dyDescent="0.3">
      <c r="A25" t="s">
        <v>187</v>
      </c>
      <c r="B25" s="51"/>
      <c r="C25" s="51"/>
      <c r="D25" s="52"/>
      <c r="E25" s="53"/>
      <c r="F25" s="51"/>
      <c r="G25" s="51"/>
      <c r="H25" s="16"/>
      <c r="I25" s="54"/>
      <c r="J25" s="54"/>
      <c r="K25" s="55"/>
      <c r="L25" s="57"/>
      <c r="M25" s="58">
        <v>9862.3681640625</v>
      </c>
      <c r="N25" s="58">
        <v>293.56484985351562</v>
      </c>
      <c r="O25" s="56"/>
      <c r="P25" s="59"/>
      <c r="Q25" s="59"/>
      <c r="R25" s="81"/>
      <c r="S25" s="81"/>
      <c r="T25" s="81"/>
      <c r="U25" s="81"/>
      <c r="V25" s="82"/>
      <c r="W25" s="82"/>
      <c r="X25" s="82"/>
      <c r="Y25" s="82"/>
      <c r="Z25" s="50"/>
      <c r="AA25" s="60">
        <v>25</v>
      </c>
      <c r="AB25" s="60" t="b">
        <f xml:space="preserve"> IF(AND(OR(NOT(ISNUMBER(Vertices[X])), Vertices[X] &gt;= Misc!$O$2), OR(NOT(ISNUMBER(Vertices[X])), Vertices[X] &lt;= Misc!$P$2),OR(NOT(ISNUMBER(Vertices[Y])), Vertices[Y] &gt;= Misc!$O$3), OR(NOT(ISNUMBER(Vertices[Y])), Vertices[Y] &lt;= Misc!$P$3),TRUE), TRUE, FALSE)</f>
        <v>1</v>
      </c>
      <c r="AC25" s="61"/>
    </row>
    <row r="26" spans="1:29" x14ac:dyDescent="0.3">
      <c r="A26" t="s">
        <v>184</v>
      </c>
      <c r="B26" s="51"/>
      <c r="C26" s="51"/>
      <c r="D26" s="52"/>
      <c r="E26" s="53"/>
      <c r="F26" s="51"/>
      <c r="G26" s="51"/>
      <c r="H26" s="16"/>
      <c r="I26" s="54"/>
      <c r="J26" s="54"/>
      <c r="K26" s="55"/>
      <c r="L26" s="57"/>
      <c r="M26" s="58">
        <v>9449.3232421875</v>
      </c>
      <c r="N26" s="58">
        <v>1495.44189453125</v>
      </c>
      <c r="O26" s="56"/>
      <c r="P26" s="59"/>
      <c r="Q26" s="59"/>
      <c r="R26" s="81"/>
      <c r="S26" s="81"/>
      <c r="T26" s="81"/>
      <c r="U26" s="81"/>
      <c r="V26" s="82"/>
      <c r="W26" s="82"/>
      <c r="X26" s="82"/>
      <c r="Y26" s="82"/>
      <c r="Z26" s="50"/>
      <c r="AA26" s="60">
        <v>26</v>
      </c>
      <c r="AB26" s="60" t="b">
        <f xml:space="preserve"> IF(AND(OR(NOT(ISNUMBER(Vertices[X])), Vertices[X] &gt;= Misc!$O$2), OR(NOT(ISNUMBER(Vertices[X])), Vertices[X] &lt;= Misc!$P$2),OR(NOT(ISNUMBER(Vertices[Y])), Vertices[Y] &gt;= Misc!$O$3), OR(NOT(ISNUMBER(Vertices[Y])), Vertices[Y] &lt;= Misc!$P$3),TRUE), TRUE, FALSE)</f>
        <v>1</v>
      </c>
      <c r="AC26" s="61"/>
    </row>
    <row r="27" spans="1:29" x14ac:dyDescent="0.3">
      <c r="A27" t="s">
        <v>219</v>
      </c>
      <c r="B27" s="51"/>
      <c r="C27" s="51"/>
      <c r="D27" s="52"/>
      <c r="E27" s="53"/>
      <c r="F27" s="51"/>
      <c r="G27" s="51"/>
      <c r="H27" s="16"/>
      <c r="I27" s="54"/>
      <c r="J27" s="54"/>
      <c r="K27" s="55"/>
      <c r="L27" s="57"/>
      <c r="M27" s="58">
        <v>9563.35546875</v>
      </c>
      <c r="N27" s="58">
        <v>1296.5250244140625</v>
      </c>
      <c r="O27" s="56"/>
      <c r="P27" s="59"/>
      <c r="Q27" s="59"/>
      <c r="R27" s="81"/>
      <c r="S27" s="81"/>
      <c r="T27" s="81"/>
      <c r="U27" s="81"/>
      <c r="V27" s="82"/>
      <c r="W27" s="82"/>
      <c r="X27" s="82"/>
      <c r="Y27" s="82"/>
      <c r="Z27" s="50"/>
      <c r="AA27" s="60">
        <v>27</v>
      </c>
      <c r="AB27" s="60" t="b">
        <f xml:space="preserve"> IF(AND(OR(NOT(ISNUMBER(Vertices[X])), Vertices[X] &gt;= Misc!$O$2), OR(NOT(ISNUMBER(Vertices[X])), Vertices[X] &lt;= Misc!$P$2),OR(NOT(ISNUMBER(Vertices[Y])), Vertices[Y] &gt;= Misc!$O$3), OR(NOT(ISNUMBER(Vertices[Y])), Vertices[Y] &lt;= Misc!$P$3),TRUE), TRUE, FALSE)</f>
        <v>1</v>
      </c>
      <c r="AC27" s="61"/>
    </row>
    <row r="28" spans="1:29" x14ac:dyDescent="0.3">
      <c r="A28" t="s">
        <v>200</v>
      </c>
      <c r="B28" s="51"/>
      <c r="C28" s="51"/>
      <c r="D28" s="52"/>
      <c r="E28" s="53"/>
      <c r="F28" s="51"/>
      <c r="G28" s="51"/>
      <c r="H28" s="16"/>
      <c r="I28" s="54"/>
      <c r="J28" s="54"/>
      <c r="K28" s="55"/>
      <c r="L28" s="57"/>
      <c r="M28" s="58">
        <v>9882.974609375</v>
      </c>
      <c r="N28" s="58">
        <v>136.95504760742187</v>
      </c>
      <c r="O28" s="56"/>
      <c r="P28" s="59"/>
      <c r="Q28" s="59"/>
      <c r="R28" s="81"/>
      <c r="S28" s="81"/>
      <c r="T28" s="81"/>
      <c r="U28" s="81"/>
      <c r="V28" s="82"/>
      <c r="W28" s="82"/>
      <c r="X28" s="82"/>
      <c r="Y28" s="82"/>
      <c r="Z28" s="50"/>
      <c r="AA28" s="60">
        <v>28</v>
      </c>
      <c r="AB28" s="60" t="b">
        <f xml:space="preserve"> IF(AND(OR(NOT(ISNUMBER(Vertices[X])), Vertices[X] &gt;= Misc!$O$2), OR(NOT(ISNUMBER(Vertices[X])), Vertices[X] &lt;= Misc!$P$2),OR(NOT(ISNUMBER(Vertices[Y])), Vertices[Y] &gt;= Misc!$O$3), OR(NOT(ISNUMBER(Vertices[Y])), Vertices[Y] &lt;= Misc!$P$3),TRUE), TRUE, FALSE)</f>
        <v>0</v>
      </c>
      <c r="AC28" s="61"/>
    </row>
    <row r="29" spans="1:29" x14ac:dyDescent="0.3">
      <c r="A29" t="s">
        <v>179</v>
      </c>
      <c r="B29" s="51"/>
      <c r="C29" s="51"/>
      <c r="D29" s="52"/>
      <c r="E29" s="53"/>
      <c r="F29" s="51"/>
      <c r="G29" s="51"/>
      <c r="H29" s="16"/>
      <c r="I29" s="54"/>
      <c r="J29" s="54"/>
      <c r="K29" s="55"/>
      <c r="L29" s="57"/>
      <c r="M29" s="58">
        <v>9807.1318359375</v>
      </c>
      <c r="N29" s="58">
        <v>696.10003662109375</v>
      </c>
      <c r="O29" s="56"/>
      <c r="P29" s="59"/>
      <c r="Q29" s="59"/>
      <c r="R29" s="81"/>
      <c r="S29" s="81"/>
      <c r="T29" s="81"/>
      <c r="U29" s="81"/>
      <c r="V29" s="82"/>
      <c r="W29" s="82"/>
      <c r="X29" s="82"/>
      <c r="Y29" s="82"/>
      <c r="Z29" s="50"/>
      <c r="AA29" s="60">
        <v>29</v>
      </c>
      <c r="AB29" s="60" t="b">
        <f xml:space="preserve"> IF(AND(OR(NOT(ISNUMBER(Vertices[X])), Vertices[X] &gt;= Misc!$O$2), OR(NOT(ISNUMBER(Vertices[X])), Vertices[X] &lt;= Misc!$P$2),OR(NOT(ISNUMBER(Vertices[Y])), Vertices[Y] &gt;= Misc!$O$3), OR(NOT(ISNUMBER(Vertices[Y])), Vertices[Y] &lt;= Misc!$P$3),TRUE), TRUE, FALSE)</f>
        <v>1</v>
      </c>
      <c r="AC29" s="61"/>
    </row>
    <row r="30" spans="1:29" x14ac:dyDescent="0.3">
      <c r="A30" t="s">
        <v>223</v>
      </c>
      <c r="B30" s="51"/>
      <c r="C30" s="51"/>
      <c r="D30" s="52"/>
      <c r="E30" s="53"/>
      <c r="F30" s="51"/>
      <c r="G30" s="51"/>
      <c r="H30" s="16"/>
      <c r="I30" s="54"/>
      <c r="J30" s="54"/>
      <c r="K30" s="55"/>
      <c r="L30" s="57"/>
      <c r="M30" s="58">
        <v>9750.154296875</v>
      </c>
      <c r="N30" s="58">
        <v>896.9676513671875</v>
      </c>
      <c r="O30" s="56"/>
      <c r="P30" s="59"/>
      <c r="Q30" s="59"/>
      <c r="R30" s="81"/>
      <c r="S30" s="81"/>
      <c r="T30" s="81"/>
      <c r="U30" s="81"/>
      <c r="V30" s="82"/>
      <c r="W30" s="82"/>
      <c r="X30" s="82"/>
      <c r="Y30" s="82"/>
      <c r="Z30" s="50"/>
      <c r="AA30" s="60">
        <v>30</v>
      </c>
      <c r="AB30" s="60" t="b">
        <f xml:space="preserve"> IF(AND(OR(NOT(ISNUMBER(Vertices[X])), Vertices[X] &gt;= Misc!$O$2), OR(NOT(ISNUMBER(Vertices[X])), Vertices[X] &lt;= Misc!$P$2),OR(NOT(ISNUMBER(Vertices[Y])), Vertices[Y] &gt;= Misc!$O$3), OR(NOT(ISNUMBER(Vertices[Y])), Vertices[Y] &lt;= Misc!$P$3),TRUE), TRUE, FALSE)</f>
        <v>1</v>
      </c>
      <c r="AC30" s="61"/>
    </row>
    <row r="31" spans="1:29" x14ac:dyDescent="0.3">
      <c r="A31" t="s">
        <v>190</v>
      </c>
      <c r="B31" s="51"/>
      <c r="C31" s="51"/>
      <c r="D31" s="52"/>
      <c r="E31" s="53"/>
      <c r="F31" s="51"/>
      <c r="G31" s="51"/>
      <c r="H31" s="16"/>
      <c r="I31" s="54"/>
      <c r="J31" s="54"/>
      <c r="K31" s="55"/>
      <c r="L31" s="57"/>
      <c r="M31" s="58">
        <v>9657.9755859375</v>
      </c>
      <c r="N31" s="58">
        <v>1096.841064453125</v>
      </c>
      <c r="O31" s="56"/>
      <c r="P31" s="59"/>
      <c r="Q31" s="59"/>
      <c r="R31" s="81"/>
      <c r="S31" s="81"/>
      <c r="T31" s="81"/>
      <c r="U31" s="81"/>
      <c r="V31" s="82"/>
      <c r="W31" s="82"/>
      <c r="X31" s="82"/>
      <c r="Y31" s="82"/>
      <c r="Z31" s="50"/>
      <c r="AA31" s="60">
        <v>31</v>
      </c>
      <c r="AB31" s="60" t="b">
        <f xml:space="preserve"> IF(AND(OR(NOT(ISNUMBER(Vertices[X])), Vertices[X] &gt;= Misc!$O$2), OR(NOT(ISNUMBER(Vertices[X])), Vertices[X] &lt;= Misc!$P$2),OR(NOT(ISNUMBER(Vertices[Y])), Vertices[Y] &gt;= Misc!$O$3), OR(NOT(ISNUMBER(Vertices[Y])), Vertices[Y] &lt;= Misc!$P$3),TRUE), TRUE, FALSE)</f>
        <v>1</v>
      </c>
      <c r="AC31" s="61"/>
    </row>
    <row r="32" spans="1:29" x14ac:dyDescent="0.3">
      <c r="L32" s="78"/>
      <c r="M32" s="79">
        <v>5970.61181640625</v>
      </c>
      <c r="N32" s="79">
        <v>3147.848388671875</v>
      </c>
      <c r="O32" s="76"/>
      <c r="P32" s="80"/>
      <c r="Q32" s="80"/>
      <c r="R32" s="81"/>
      <c r="S32" s="81"/>
      <c r="T32" s="81"/>
      <c r="U32" s="81"/>
      <c r="V32" s="82"/>
      <c r="W32" s="82"/>
      <c r="X32" s="82"/>
      <c r="Y32" s="82"/>
      <c r="Z32" s="50"/>
      <c r="AA32" s="77">
        <v>80</v>
      </c>
      <c r="AB32" s="77" t="b">
        <v>1</v>
      </c>
      <c r="AC32" s="83"/>
    </row>
  </sheetData>
  <dataConsolidate/>
  <dataValidations count="20">
    <dataValidation allowBlank="1" errorTitle="Invalid Vertex Visibility" error="You have entered an unrecognized vertex visibility.  Try selecting from the drop-down list instead." sqref="AD3"/>
    <dataValidation allowBlank="1" showErrorMessage="1" sqref="AD2"/>
    <dataValidation allowBlank="1" showInputMessage="1" errorTitle="Invalid Vertex Image Key" promptTitle="Vertex Tooltip" prompt="Enter optional text that will pop up when the mouse is hovered over the vertex." sqref="K3:K31"/>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31">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31"/>
    <dataValidation allowBlank="1" showInputMessage="1" promptTitle="Vertex Label Fill Color" prompt="To select an optional fill color for the Label shape, right-click and select Select Color on the right-click menu." sqref="I3:I31"/>
    <dataValidation allowBlank="1" showInputMessage="1" errorTitle="Invalid Vertex Image Key" promptTitle="Vertex Image File" prompt="Enter the path to an image file.  Hover over the column header for examples." sqref="F3:F31"/>
    <dataValidation allowBlank="1" showInputMessage="1" promptTitle="Vertex Color" prompt="To select an optional vertex color, right-click and select Select Color on the right-click menu." sqref="B3:B31"/>
    <dataValidation allowBlank="1" showInputMessage="1" errorTitle="Invalid Vertex Opacity" error="The optional vertex opacity must be a whole number between 0 and 10." promptTitle="Vertex Opacity" prompt="Enter an optional vertex opacity between 0 (transparent) and 100 (opaque)." sqref="E3:E31"/>
    <dataValidation type="list" allowBlank="1" showInputMessage="1" showErrorMessage="1" errorTitle="Invalid Vertex Shape" error="You have entered an invalid vertex shape.  Try selecting from the drop-down list instead." promptTitle="Vertex Shape" prompt="Select an optional vertex shape." sqref="C3:C31">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31"/>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31">
      <formula1>ValidVertexLabelPositions</formula1>
    </dataValidation>
    <dataValidation allowBlank="1" showInputMessage="1" showErrorMessage="1" promptTitle="Vertex Name" prompt="Enter the name of the vertex." sqref="A3:A31"/>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3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32">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32"/>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32"/>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32"/>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32"/>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32"/>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4.4" x14ac:dyDescent="0.3"/>
  <cols>
    <col min="1" max="1" width="10.88671875" style="3" bestFit="1" customWidth="1"/>
    <col min="2" max="2" width="16.88671875" style="3" bestFit="1" customWidth="1"/>
    <col min="4" max="5" width="9.109375" customWidth="1"/>
  </cols>
  <sheetData>
    <row r="1" spans="1:1" x14ac:dyDescent="0.3">
      <c r="A1" s="3" t="s">
        <v>50</v>
      </c>
    </row>
    <row r="2" spans="1:1" ht="15" customHeight="1" x14ac:dyDescent="0.3"/>
    <row r="3" spans="1:1" ht="15" customHeight="1" x14ac:dyDescent="0.3">
      <c r="A3" s="32" t="s">
        <v>51</v>
      </c>
    </row>
    <row r="21" spans="4:4" x14ac:dyDescent="0.3">
      <c r="D21" s="7"/>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X10"/>
  <sheetViews>
    <sheetView workbookViewId="0">
      <pane ySplit="2" topLeftCell="A3" activePane="bottomLeft" state="frozen"/>
      <selection pane="bottomLeft" activeCell="A2" sqref="A2:X2"/>
    </sheetView>
  </sheetViews>
  <sheetFormatPr defaultRowHeight="14.4" x14ac:dyDescent="0.3"/>
  <cols>
    <col min="1" max="1" width="9.44140625" style="1" bestFit="1" customWidth="1"/>
    <col min="2" max="2" width="14.33203125" bestFit="1" customWidth="1"/>
    <col min="3" max="3" width="15" bestFit="1" customWidth="1"/>
    <col min="4" max="4" width="11.109375" bestFit="1" customWidth="1"/>
    <col min="5" max="5" width="13" bestFit="1" customWidth="1"/>
    <col min="6" max="6" width="8" bestFit="1" customWidth="1"/>
    <col min="7" max="8" width="13.5546875" hidden="1" customWidth="1"/>
    <col min="9" max="9" width="11" hidden="1" customWidth="1"/>
    <col min="10" max="10" width="12.5546875" hidden="1" customWidth="1"/>
    <col min="11" max="11" width="11" hidden="1" customWidth="1"/>
    <col min="12" max="12" width="9.6640625" hidden="1" customWidth="1"/>
    <col min="13" max="13" width="13.109375" hidden="1" customWidth="1"/>
    <col min="14" max="15" width="8.44140625" hidden="1" customWidth="1"/>
    <col min="16" max="16" width="18.33203125" hidden="1" customWidth="1"/>
    <col min="17" max="17" width="14.88671875" hidden="1" customWidth="1"/>
    <col min="18" max="18" width="14.5546875" hidden="1" customWidth="1"/>
    <col min="19" max="21" width="24.109375" hidden="1" customWidth="1"/>
    <col min="22" max="22" width="21.33203125" hidden="1" customWidth="1"/>
    <col min="23" max="23" width="19.33203125" hidden="1" customWidth="1"/>
    <col min="24" max="24" width="10" hidden="1" customWidth="1"/>
    <col min="25" max="25" width="13" customWidth="1"/>
  </cols>
  <sheetData>
    <row r="1" spans="1:24" x14ac:dyDescent="0.3">
      <c r="B1" s="67" t="s">
        <v>40</v>
      </c>
      <c r="C1" s="68"/>
      <c r="D1" s="68"/>
      <c r="E1" s="69"/>
      <c r="F1" s="65" t="s">
        <v>44</v>
      </c>
      <c r="G1" s="70" t="s">
        <v>45</v>
      </c>
      <c r="H1" s="71"/>
      <c r="I1" s="72" t="s">
        <v>41</v>
      </c>
      <c r="J1" s="73"/>
      <c r="K1" s="74" t="s">
        <v>43</v>
      </c>
      <c r="L1" s="75"/>
      <c r="M1" s="75"/>
      <c r="N1" s="75"/>
      <c r="O1" s="75"/>
      <c r="P1" s="75"/>
      <c r="Q1" s="75"/>
      <c r="R1" s="75"/>
      <c r="S1" s="75"/>
      <c r="T1" s="75"/>
      <c r="U1" s="75"/>
      <c r="V1" s="75"/>
      <c r="W1" s="75"/>
      <c r="X1" s="75"/>
    </row>
    <row r="2" spans="1:24" s="13" customFormat="1" ht="30" customHeight="1" x14ac:dyDescent="0.3">
      <c r="A2" s="11" t="s">
        <v>144</v>
      </c>
      <c r="B2" s="13" t="s">
        <v>21</v>
      </c>
      <c r="C2" s="13" t="s">
        <v>20</v>
      </c>
      <c r="D2" s="13" t="s">
        <v>11</v>
      </c>
      <c r="E2" s="13" t="s">
        <v>145</v>
      </c>
      <c r="F2" s="13" t="s">
        <v>47</v>
      </c>
      <c r="G2" s="13" t="s">
        <v>167</v>
      </c>
      <c r="H2" s="13" t="s">
        <v>168</v>
      </c>
      <c r="I2" s="13" t="s">
        <v>12</v>
      </c>
      <c r="J2" s="13" t="s">
        <v>166</v>
      </c>
      <c r="K2" s="13" t="s">
        <v>146</v>
      </c>
      <c r="L2" s="13" t="s">
        <v>148</v>
      </c>
      <c r="M2" s="13" t="s">
        <v>149</v>
      </c>
      <c r="N2" s="13" t="s">
        <v>150</v>
      </c>
      <c r="O2" s="13" t="s">
        <v>151</v>
      </c>
      <c r="P2" s="13" t="s">
        <v>170</v>
      </c>
      <c r="Q2" s="13" t="s">
        <v>171</v>
      </c>
      <c r="R2" s="13" t="s">
        <v>152</v>
      </c>
      <c r="S2" s="13" t="s">
        <v>153</v>
      </c>
      <c r="T2" s="13" t="s">
        <v>154</v>
      </c>
      <c r="U2" s="13" t="s">
        <v>155</v>
      </c>
      <c r="V2" s="13" t="s">
        <v>156</v>
      </c>
      <c r="W2" s="13" t="s">
        <v>157</v>
      </c>
      <c r="X2" s="13" t="s">
        <v>158</v>
      </c>
    </row>
    <row r="3" spans="1:24" x14ac:dyDescent="0.3">
      <c r="A3" s="14"/>
      <c r="B3" s="15"/>
      <c r="C3" s="15"/>
      <c r="D3" s="15"/>
      <c r="E3" s="15"/>
      <c r="F3" s="16"/>
      <c r="G3" s="76"/>
      <c r="H3" s="76"/>
      <c r="I3" s="62"/>
      <c r="J3" s="62"/>
      <c r="K3" s="48"/>
      <c r="L3" s="48"/>
      <c r="M3" s="48"/>
      <c r="N3" s="48"/>
      <c r="O3" s="48"/>
      <c r="P3" s="48"/>
      <c r="Q3" s="48"/>
      <c r="R3" s="48"/>
      <c r="S3" s="48"/>
      <c r="T3" s="48"/>
      <c r="U3" s="48"/>
      <c r="V3" s="48"/>
      <c r="W3" s="49"/>
      <c r="X3" s="49"/>
    </row>
    <row r="10" spans="1:24" ht="14.25" customHeight="1" x14ac:dyDescent="0.3"/>
  </sheetData>
  <dataConsolidate/>
  <dataValidations count="8">
    <dataValidation allowBlank="1" showInputMessage="1" promptTitle="Group Vertex Color" prompt="To select a color to use for all vertices in the group, right-click and select Select Color on the right-click menu." sqref="B3"/>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formula1>ValidGroupShapes</formula1>
    </dataValidation>
    <dataValidation allowBlank="1" showInputMessage="1" showErrorMessage="1" promptTitle="Group Name" prompt="Enter the name of the group." sqref="A3"/>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formula1>ValidBooleansDefaultFalse</formula1>
    </dataValidation>
    <dataValidation allowBlank="1" sqref="K3"/>
    <dataValidation allowBlank="1" showInputMessage="1" showErrorMessage="1" errorTitle="Invalid Group Collapsed" error="You have entered an unrecognized &quot;group collapsed.&quot;  Try selecting from the drop-down list instead." promptTitle="Group Label" prompt="Enter an optional group label." sqref="F3"/>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2"/>
  <sheetViews>
    <sheetView workbookViewId="0">
      <selection activeCell="A2" sqref="A2"/>
    </sheetView>
  </sheetViews>
  <sheetFormatPr defaultRowHeight="14.4" x14ac:dyDescent="0.3"/>
  <cols>
    <col min="1" max="1" width="9.44140625" style="1" bestFit="1" customWidth="1"/>
    <col min="2" max="2" width="9.109375" style="1"/>
    <col min="3" max="3" width="11.5546875" bestFit="1" customWidth="1"/>
    <col min="4" max="4" width="9.109375" customWidth="1"/>
  </cols>
  <sheetData>
    <row r="1" spans="1:3" x14ac:dyDescent="0.3">
      <c r="A1" s="1" t="s">
        <v>144</v>
      </c>
      <c r="B1" s="1" t="s">
        <v>5</v>
      </c>
      <c r="C1" s="1" t="s">
        <v>147</v>
      </c>
    </row>
    <row r="2" spans="1:3" x14ac:dyDescent="0.3">
      <c r="C2" s="3"/>
    </row>
  </sheetData>
  <dataConsolidate/>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44"/>
  <sheetViews>
    <sheetView workbookViewId="0">
      <selection activeCell="A2" sqref="A2"/>
    </sheetView>
  </sheetViews>
  <sheetFormatPr defaultRowHeight="14.4" x14ac:dyDescent="0.3"/>
  <cols>
    <col min="1" max="1" width="43.109375" customWidth="1"/>
    <col min="2" max="2" width="13.88671875" customWidth="1"/>
    <col min="3" max="3" width="9.109375" customWidth="1"/>
    <col min="4" max="4" width="12.88671875" hidden="1" customWidth="1"/>
    <col min="5" max="5" width="19.6640625" hidden="1" customWidth="1"/>
    <col min="6" max="6" width="15.5546875" hidden="1" customWidth="1"/>
    <col min="7" max="7" width="22.109375" hidden="1" customWidth="1"/>
    <col min="8" max="8" width="17.109375" hidden="1" customWidth="1"/>
    <col min="9" max="9" width="23.88671875" hidden="1" customWidth="1"/>
    <col min="10" max="10" width="28.33203125" hidden="1" customWidth="1"/>
    <col min="11" max="11" width="34.88671875" hidden="1" customWidth="1"/>
    <col min="12" max="12" width="25" hidden="1" customWidth="1"/>
    <col min="13" max="13" width="31.5546875" hidden="1" customWidth="1"/>
    <col min="14" max="14" width="26.5546875" hidden="1" customWidth="1"/>
    <col min="15" max="17" width="33.33203125" hidden="1" customWidth="1"/>
    <col min="18" max="18" width="26.5546875" hidden="1" customWidth="1"/>
    <col min="19" max="19" width="33" hidden="1" customWidth="1"/>
    <col min="20" max="20" width="19.5546875" hidden="1" customWidth="1"/>
    <col min="21" max="21" width="26.109375" hidden="1" customWidth="1"/>
    <col min="22" max="22" width="9.109375" hidden="1" customWidth="1"/>
    <col min="23" max="23" width="34.109375" hidden="1" customWidth="1"/>
    <col min="24" max="24" width="25.109375" hidden="1" customWidth="1"/>
  </cols>
  <sheetData>
    <row r="1" spans="1:24" ht="15" customHeight="1" thickBot="1" x14ac:dyDescent="0.35">
      <c r="A1" s="13" t="s">
        <v>162</v>
      </c>
      <c r="B1" s="13" t="s">
        <v>17</v>
      </c>
      <c r="D1" t="s">
        <v>80</v>
      </c>
      <c r="E1" t="s">
        <v>81</v>
      </c>
      <c r="F1" s="37" t="s">
        <v>87</v>
      </c>
      <c r="G1" s="38" t="s">
        <v>88</v>
      </c>
      <c r="H1" s="37" t="s">
        <v>93</v>
      </c>
      <c r="I1" s="38" t="s">
        <v>94</v>
      </c>
      <c r="J1" s="37" t="s">
        <v>99</v>
      </c>
      <c r="K1" s="38" t="s">
        <v>100</v>
      </c>
      <c r="L1" s="37" t="s">
        <v>105</v>
      </c>
      <c r="M1" s="38" t="s">
        <v>106</v>
      </c>
      <c r="N1" s="37" t="s">
        <v>111</v>
      </c>
      <c r="O1" s="38" t="s">
        <v>112</v>
      </c>
      <c r="P1" s="38" t="s">
        <v>138</v>
      </c>
      <c r="Q1" s="38" t="s">
        <v>139</v>
      </c>
      <c r="R1" s="37" t="s">
        <v>117</v>
      </c>
      <c r="S1" s="37" t="s">
        <v>118</v>
      </c>
      <c r="T1" s="37" t="s">
        <v>123</v>
      </c>
      <c r="U1" s="38" t="s">
        <v>124</v>
      </c>
      <c r="W1" t="s">
        <v>128</v>
      </c>
      <c r="X1" t="s">
        <v>17</v>
      </c>
    </row>
    <row r="2" spans="1:24" ht="15" thickTop="1" x14ac:dyDescent="0.3">
      <c r="A2" s="36"/>
      <c r="B2" s="36"/>
      <c r="D2" s="33">
        <f>MIN(Vertices[Degree])</f>
        <v>0</v>
      </c>
      <c r="E2" s="3">
        <f>COUNTIF(Vertices[Degree], "&gt;= " &amp; D2) - COUNTIF(Vertices[Degree], "&gt;=" &amp; D3)</f>
        <v>0</v>
      </c>
      <c r="F2" s="39">
        <f>MIN(Vertices[In-Degree])</f>
        <v>0</v>
      </c>
      <c r="G2" s="40">
        <f>COUNTIF(Vertices[In-Degree], "&gt;= " &amp; F2) - COUNTIF(Vertices[In-Degree], "&gt;=" &amp; F3)</f>
        <v>0</v>
      </c>
      <c r="H2" s="39">
        <f>MIN(Vertices[Out-Degree])</f>
        <v>0</v>
      </c>
      <c r="I2" s="40">
        <f>COUNTIF(Vertices[Out-Degree], "&gt;= " &amp; H2) - COUNTIF(Vertices[Out-Degree], "&gt;=" &amp; H3)</f>
        <v>0</v>
      </c>
      <c r="J2" s="39">
        <f>MIN(Vertices[Betweenness Centrality])</f>
        <v>0</v>
      </c>
      <c r="K2" s="40">
        <f>COUNTIF(Vertices[Betweenness Centrality], "&gt;= " &amp; J2) - COUNTIF(Vertices[Betweenness Centrality], "&gt;=" &amp; J3)</f>
        <v>0</v>
      </c>
      <c r="L2" s="39">
        <f>MIN(Vertices[Closeness Centrality])</f>
        <v>0</v>
      </c>
      <c r="M2" s="40">
        <f>COUNTIF(Vertices[Closeness Centrality], "&gt;= " &amp; L2) - COUNTIF(Vertices[Closeness Centrality], "&gt;=" &amp; L3)</f>
        <v>0</v>
      </c>
      <c r="N2" s="39">
        <f>MIN(Vertices[Eigenvector Centrality])</f>
        <v>0</v>
      </c>
      <c r="O2" s="40">
        <f>COUNTIF(Vertices[Eigenvector Centrality], "&gt;= " &amp; N2) - COUNTIF(Vertices[Eigenvector Centrality], "&gt;=" &amp; N3)</f>
        <v>0</v>
      </c>
      <c r="P2" s="39">
        <f>MIN(Vertices[PageRank])</f>
        <v>0</v>
      </c>
      <c r="Q2" s="40">
        <f>COUNTIF(Vertices[PageRank], "&gt;= " &amp; P2) - COUNTIF(Vertices[PageRank], "&gt;=" &amp; P3)</f>
        <v>0</v>
      </c>
      <c r="R2" s="39">
        <f>MIN(Vertices[Clustering Coefficient])</f>
        <v>0</v>
      </c>
      <c r="S2" s="45">
        <f>COUNTIF(Vertices[Clustering Coefficient], "&gt;= " &amp; R2) - COUNTIF(Vertices[Clustering Coefficient], "&gt;=" &amp; R3)</f>
        <v>0</v>
      </c>
      <c r="T2" s="39">
        <f ca="1">MIN(INDIRECT(DynamicFilterSourceColumnRange))</f>
        <v>136.95504760742187</v>
      </c>
      <c r="U2" s="40">
        <f t="shared" ref="U2:U45" ca="1" si="0">COUNTIF(INDIRECT(DynamicFilterSourceColumnRange), "&gt;= " &amp; T2) - COUNTIF(INDIRECT(DynamicFilterSourceColumnRange), "&gt;=" &amp; T3)</f>
        <v>2</v>
      </c>
      <c r="W2" t="s">
        <v>125</v>
      </c>
      <c r="X2">
        <f>ROWS(HistogramBins[Degree Bin]) - 1</f>
        <v>43</v>
      </c>
    </row>
    <row r="3" spans="1:24" x14ac:dyDescent="0.3">
      <c r="A3" s="36"/>
      <c r="B3" s="36"/>
      <c r="D3" s="34">
        <f t="shared" ref="D3:D44" si="1">D2+($D$45-$D$2)/BinDivisor</f>
        <v>0</v>
      </c>
      <c r="E3" s="3">
        <f>COUNTIF(Vertices[Degree], "&gt;= " &amp; D3) - COUNTIF(Vertices[Degree], "&gt;=" &amp; D4)</f>
        <v>0</v>
      </c>
      <c r="F3" s="41">
        <f t="shared" ref="F3:F44" si="2">F2+($F$45-$F$2)/BinDivisor</f>
        <v>0</v>
      </c>
      <c r="G3" s="42">
        <f>COUNTIF(Vertices[In-Degree], "&gt;= " &amp; F3) - COUNTIF(Vertices[In-Degree], "&gt;=" &amp; F4)</f>
        <v>0</v>
      </c>
      <c r="H3" s="41">
        <f t="shared" ref="H3:H44" si="3">H2+($H$45-$H$2)/BinDivisor</f>
        <v>0</v>
      </c>
      <c r="I3" s="42">
        <f>COUNTIF(Vertices[Out-Degree], "&gt;= " &amp; H3) - COUNTIF(Vertices[Out-Degree], "&gt;=" &amp; H4)</f>
        <v>0</v>
      </c>
      <c r="J3" s="41">
        <f t="shared" ref="J3:J44" si="4">J2+($J$45-$J$2)/BinDivisor</f>
        <v>0</v>
      </c>
      <c r="K3" s="42">
        <f>COUNTIF(Vertices[Betweenness Centrality], "&gt;= " &amp; J3) - COUNTIF(Vertices[Betweenness Centrality], "&gt;=" &amp; J4)</f>
        <v>0</v>
      </c>
      <c r="L3" s="41">
        <f t="shared" ref="L3:L44" si="5">L2+($L$45-$L$2)/BinDivisor</f>
        <v>0</v>
      </c>
      <c r="M3" s="42">
        <f>COUNTIF(Vertices[Closeness Centrality], "&gt;= " &amp; L3) - COUNTIF(Vertices[Closeness Centrality], "&gt;=" &amp; L4)</f>
        <v>0</v>
      </c>
      <c r="N3" s="41">
        <f t="shared" ref="N3:N44" si="6">N2+($N$45-$N$2)/BinDivisor</f>
        <v>0</v>
      </c>
      <c r="O3" s="42">
        <f>COUNTIF(Vertices[Eigenvector Centrality], "&gt;= " &amp; N3) - COUNTIF(Vertices[Eigenvector Centrality], "&gt;=" &amp; N4)</f>
        <v>0</v>
      </c>
      <c r="P3" s="41">
        <f t="shared" ref="P3:P44" si="7">P2+($P$45-$P$2)/BinDivisor</f>
        <v>0</v>
      </c>
      <c r="Q3" s="42">
        <f>COUNTIF(Vertices[PageRank], "&gt;= " &amp; P3) - COUNTIF(Vertices[PageRank], "&gt;=" &amp; P4)</f>
        <v>0</v>
      </c>
      <c r="R3" s="41">
        <f t="shared" ref="R3:R44" si="8">R2+($R$45-$R$2)/BinDivisor</f>
        <v>0</v>
      </c>
      <c r="S3" s="46">
        <f>COUNTIF(Vertices[Clustering Coefficient], "&gt;= " &amp; R3) - COUNTIF(Vertices[Clustering Coefficient], "&gt;=" &amp; R4)</f>
        <v>0</v>
      </c>
      <c r="T3" s="41">
        <f t="shared" ref="T3:T44" ca="1" si="9">T2+($T$45-$T$2)/BinDivisor</f>
        <v>363.04804886219114</v>
      </c>
      <c r="U3" s="42">
        <f t="shared" ca="1" si="0"/>
        <v>0</v>
      </c>
      <c r="W3" t="s">
        <v>126</v>
      </c>
      <c r="X3" t="s">
        <v>86</v>
      </c>
    </row>
    <row r="4" spans="1:24" x14ac:dyDescent="0.3">
      <c r="A4" s="36"/>
      <c r="B4" s="36"/>
      <c r="D4" s="34">
        <f t="shared" si="1"/>
        <v>0</v>
      </c>
      <c r="E4" s="3">
        <f>COUNTIF(Vertices[Degree], "&gt;= " &amp; D4) - COUNTIF(Vertices[Degree], "&gt;=" &amp; D5)</f>
        <v>0</v>
      </c>
      <c r="F4" s="39">
        <f t="shared" si="2"/>
        <v>0</v>
      </c>
      <c r="G4" s="40">
        <f>COUNTIF(Vertices[In-Degree], "&gt;= " &amp; F4) - COUNTIF(Vertices[In-Degree], "&gt;=" &amp; F5)</f>
        <v>0</v>
      </c>
      <c r="H4" s="39">
        <f t="shared" si="3"/>
        <v>0</v>
      </c>
      <c r="I4" s="40">
        <f>COUNTIF(Vertices[Out-Degree], "&gt;= " &amp; H4) - COUNTIF(Vertices[Out-Degree], "&gt;=" &amp; H5)</f>
        <v>0</v>
      </c>
      <c r="J4" s="39">
        <f t="shared" si="4"/>
        <v>0</v>
      </c>
      <c r="K4" s="40">
        <f>COUNTIF(Vertices[Betweenness Centrality], "&gt;= " &amp; J4) - COUNTIF(Vertices[Betweenness Centrality], "&gt;=" &amp; J5)</f>
        <v>0</v>
      </c>
      <c r="L4" s="39">
        <f t="shared" si="5"/>
        <v>0</v>
      </c>
      <c r="M4" s="40">
        <f>COUNTIF(Vertices[Closeness Centrality], "&gt;= " &amp; L4) - COUNTIF(Vertices[Closeness Centrality], "&gt;=" &amp; L5)</f>
        <v>0</v>
      </c>
      <c r="N4" s="39">
        <f t="shared" si="6"/>
        <v>0</v>
      </c>
      <c r="O4" s="40">
        <f>COUNTIF(Vertices[Eigenvector Centrality], "&gt;= " &amp; N4) - COUNTIF(Vertices[Eigenvector Centrality], "&gt;=" &amp; N5)</f>
        <v>0</v>
      </c>
      <c r="P4" s="39">
        <f t="shared" si="7"/>
        <v>0</v>
      </c>
      <c r="Q4" s="40">
        <f>COUNTIF(Vertices[PageRank], "&gt;= " &amp; P4) - COUNTIF(Vertices[PageRank], "&gt;=" &amp; P5)</f>
        <v>0</v>
      </c>
      <c r="R4" s="39">
        <f t="shared" si="8"/>
        <v>0</v>
      </c>
      <c r="S4" s="45">
        <f>COUNTIF(Vertices[Clustering Coefficient], "&gt;= " &amp; R4) - COUNTIF(Vertices[Clustering Coefficient], "&gt;=" &amp; R5)</f>
        <v>0</v>
      </c>
      <c r="T4" s="39">
        <f t="shared" ca="1" si="9"/>
        <v>589.1410501169604</v>
      </c>
      <c r="U4" s="40">
        <f t="shared" ca="1" si="0"/>
        <v>1</v>
      </c>
      <c r="W4" s="12" t="s">
        <v>127</v>
      </c>
      <c r="X4" s="12" t="s">
        <v>228</v>
      </c>
    </row>
    <row r="5" spans="1:24" x14ac:dyDescent="0.3">
      <c r="A5" s="36"/>
      <c r="B5" s="36"/>
      <c r="D5" s="34">
        <f t="shared" si="1"/>
        <v>0</v>
      </c>
      <c r="E5" s="3">
        <f>COUNTIF(Vertices[Degree], "&gt;= " &amp; D5) - COUNTIF(Vertices[Degree], "&gt;=" &amp; D6)</f>
        <v>0</v>
      </c>
      <c r="F5" s="41">
        <f t="shared" si="2"/>
        <v>0</v>
      </c>
      <c r="G5" s="42">
        <f>COUNTIF(Vertices[In-Degree], "&gt;= " &amp; F5) - COUNTIF(Vertices[In-Degree], "&gt;=" &amp; F6)</f>
        <v>0</v>
      </c>
      <c r="H5" s="41">
        <f t="shared" si="3"/>
        <v>0</v>
      </c>
      <c r="I5" s="42">
        <f>COUNTIF(Vertices[Out-Degree], "&gt;= " &amp; H5) - COUNTIF(Vertices[Out-Degree], "&gt;=" &amp; H6)</f>
        <v>0</v>
      </c>
      <c r="J5" s="41">
        <f t="shared" si="4"/>
        <v>0</v>
      </c>
      <c r="K5" s="42">
        <f>COUNTIF(Vertices[Betweenness Centrality], "&gt;= " &amp; J5) - COUNTIF(Vertices[Betweenness Centrality], "&gt;=" &amp; J6)</f>
        <v>0</v>
      </c>
      <c r="L5" s="41">
        <f t="shared" si="5"/>
        <v>0</v>
      </c>
      <c r="M5" s="42">
        <f>COUNTIF(Vertices[Closeness Centrality], "&gt;= " &amp; L5) - COUNTIF(Vertices[Closeness Centrality], "&gt;=" &amp; L6)</f>
        <v>0</v>
      </c>
      <c r="N5" s="41">
        <f t="shared" si="6"/>
        <v>0</v>
      </c>
      <c r="O5" s="42">
        <f>COUNTIF(Vertices[Eigenvector Centrality], "&gt;= " &amp; N5) - COUNTIF(Vertices[Eigenvector Centrality], "&gt;=" &amp; N6)</f>
        <v>0</v>
      </c>
      <c r="P5" s="41">
        <f t="shared" si="7"/>
        <v>0</v>
      </c>
      <c r="Q5" s="42">
        <f>COUNTIF(Vertices[PageRank], "&gt;= " &amp; P5) - COUNTIF(Vertices[PageRank], "&gt;=" &amp; P6)</f>
        <v>0</v>
      </c>
      <c r="R5" s="41">
        <f t="shared" si="8"/>
        <v>0</v>
      </c>
      <c r="S5" s="46">
        <f>COUNTIF(Vertices[Clustering Coefficient], "&gt;= " &amp; R5) - COUNTIF(Vertices[Clustering Coefficient], "&gt;=" &amp; R6)</f>
        <v>0</v>
      </c>
      <c r="T5" s="41">
        <f t="shared" ca="1" si="9"/>
        <v>815.23405137172972</v>
      </c>
      <c r="U5" s="42">
        <f t="shared" ca="1" si="0"/>
        <v>1</v>
      </c>
    </row>
    <row r="6" spans="1:24" x14ac:dyDescent="0.3">
      <c r="A6" s="36"/>
      <c r="B6" s="36"/>
      <c r="D6" s="34">
        <f t="shared" si="1"/>
        <v>0</v>
      </c>
      <c r="E6" s="3">
        <f>COUNTIF(Vertices[Degree], "&gt;= " &amp; D6) - COUNTIF(Vertices[Degree], "&gt;=" &amp; D7)</f>
        <v>0</v>
      </c>
      <c r="F6" s="39">
        <f t="shared" si="2"/>
        <v>0</v>
      </c>
      <c r="G6" s="40">
        <f>COUNTIF(Vertices[In-Degree], "&gt;= " &amp; F6) - COUNTIF(Vertices[In-Degree], "&gt;=" &amp; F7)</f>
        <v>0</v>
      </c>
      <c r="H6" s="39">
        <f t="shared" si="3"/>
        <v>0</v>
      </c>
      <c r="I6" s="40">
        <f>COUNTIF(Vertices[Out-Degree], "&gt;= " &amp; H6) - COUNTIF(Vertices[Out-Degree], "&gt;=" &amp; H7)</f>
        <v>0</v>
      </c>
      <c r="J6" s="39">
        <f t="shared" si="4"/>
        <v>0</v>
      </c>
      <c r="K6" s="40">
        <f>COUNTIF(Vertices[Betweenness Centrality], "&gt;= " &amp; J6) - COUNTIF(Vertices[Betweenness Centrality], "&gt;=" &amp; J7)</f>
        <v>0</v>
      </c>
      <c r="L6" s="39">
        <f t="shared" si="5"/>
        <v>0</v>
      </c>
      <c r="M6" s="40">
        <f>COUNTIF(Vertices[Closeness Centrality], "&gt;= " &amp; L6) - COUNTIF(Vertices[Closeness Centrality], "&gt;=" &amp; L7)</f>
        <v>0</v>
      </c>
      <c r="N6" s="39">
        <f t="shared" si="6"/>
        <v>0</v>
      </c>
      <c r="O6" s="40">
        <f>COUNTIF(Vertices[Eigenvector Centrality], "&gt;= " &amp; N6) - COUNTIF(Vertices[Eigenvector Centrality], "&gt;=" &amp; N7)</f>
        <v>0</v>
      </c>
      <c r="P6" s="39">
        <f t="shared" si="7"/>
        <v>0</v>
      </c>
      <c r="Q6" s="40">
        <f>COUNTIF(Vertices[PageRank], "&gt;= " &amp; P6) - COUNTIF(Vertices[PageRank], "&gt;=" &amp; P7)</f>
        <v>0</v>
      </c>
      <c r="R6" s="39">
        <f t="shared" si="8"/>
        <v>0</v>
      </c>
      <c r="S6" s="45">
        <f>COUNTIF(Vertices[Clustering Coefficient], "&gt;= " &amp; R6) - COUNTIF(Vertices[Clustering Coefficient], "&gt;=" &amp; R7)</f>
        <v>0</v>
      </c>
      <c r="T6" s="39">
        <f t="shared" ca="1" si="9"/>
        <v>1041.3270526264989</v>
      </c>
      <c r="U6" s="40">
        <f t="shared" ca="1" si="0"/>
        <v>1</v>
      </c>
    </row>
    <row r="7" spans="1:24" x14ac:dyDescent="0.3">
      <c r="A7" s="36"/>
      <c r="B7" s="36"/>
      <c r="D7" s="34">
        <f t="shared" si="1"/>
        <v>0</v>
      </c>
      <c r="E7" s="3">
        <f>COUNTIF(Vertices[Degree], "&gt;= " &amp; D7) - COUNTIF(Vertices[Degree], "&gt;=" &amp; D8)</f>
        <v>0</v>
      </c>
      <c r="F7" s="41">
        <f t="shared" si="2"/>
        <v>0</v>
      </c>
      <c r="G7" s="42">
        <f>COUNTIF(Vertices[In-Degree], "&gt;= " &amp; F7) - COUNTIF(Vertices[In-Degree], "&gt;=" &amp; F8)</f>
        <v>0</v>
      </c>
      <c r="H7" s="41">
        <f t="shared" si="3"/>
        <v>0</v>
      </c>
      <c r="I7" s="42">
        <f>COUNTIF(Vertices[Out-Degree], "&gt;= " &amp; H7) - COUNTIF(Vertices[Out-Degree], "&gt;=" &amp; H8)</f>
        <v>0</v>
      </c>
      <c r="J7" s="41">
        <f t="shared" si="4"/>
        <v>0</v>
      </c>
      <c r="K7" s="42">
        <f>COUNTIF(Vertices[Betweenness Centrality], "&gt;= " &amp; J7) - COUNTIF(Vertices[Betweenness Centrality], "&gt;=" &amp; J8)</f>
        <v>0</v>
      </c>
      <c r="L7" s="41">
        <f t="shared" si="5"/>
        <v>0</v>
      </c>
      <c r="M7" s="42">
        <f>COUNTIF(Vertices[Closeness Centrality], "&gt;= " &amp; L7) - COUNTIF(Vertices[Closeness Centrality], "&gt;=" &amp; L8)</f>
        <v>0</v>
      </c>
      <c r="N7" s="41">
        <f t="shared" si="6"/>
        <v>0</v>
      </c>
      <c r="O7" s="42">
        <f>COUNTIF(Vertices[Eigenvector Centrality], "&gt;= " &amp; N7) - COUNTIF(Vertices[Eigenvector Centrality], "&gt;=" &amp; N8)</f>
        <v>0</v>
      </c>
      <c r="P7" s="41">
        <f t="shared" si="7"/>
        <v>0</v>
      </c>
      <c r="Q7" s="42">
        <f>COUNTIF(Vertices[PageRank], "&gt;= " &amp; P7) - COUNTIF(Vertices[PageRank], "&gt;=" &amp; P8)</f>
        <v>0</v>
      </c>
      <c r="R7" s="41">
        <f t="shared" si="8"/>
        <v>0</v>
      </c>
      <c r="S7" s="46">
        <f>COUNTIF(Vertices[Clustering Coefficient], "&gt;= " &amp; R7) - COUNTIF(Vertices[Clustering Coefficient], "&gt;=" &amp; R8)</f>
        <v>0</v>
      </c>
      <c r="T7" s="41">
        <f t="shared" ca="1" si="9"/>
        <v>1267.4200538812681</v>
      </c>
      <c r="U7" s="42">
        <f t="shared" ca="1" si="0"/>
        <v>1</v>
      </c>
    </row>
    <row r="8" spans="1:24" x14ac:dyDescent="0.3">
      <c r="A8" s="36"/>
      <c r="B8" s="36"/>
      <c r="D8" s="34">
        <f t="shared" si="1"/>
        <v>0</v>
      </c>
      <c r="E8" s="3">
        <f>COUNTIF(Vertices[Degree], "&gt;= " &amp; D8) - COUNTIF(Vertices[Degree], "&gt;=" &amp; D9)</f>
        <v>0</v>
      </c>
      <c r="F8" s="39">
        <f t="shared" si="2"/>
        <v>0</v>
      </c>
      <c r="G8" s="40">
        <f>COUNTIF(Vertices[In-Degree], "&gt;= " &amp; F8) - COUNTIF(Vertices[In-Degree], "&gt;=" &amp; F9)</f>
        <v>0</v>
      </c>
      <c r="H8" s="39">
        <f t="shared" si="3"/>
        <v>0</v>
      </c>
      <c r="I8" s="40">
        <f>COUNTIF(Vertices[Out-Degree], "&gt;= " &amp; H8) - COUNTIF(Vertices[Out-Degree], "&gt;=" &amp; H9)</f>
        <v>0</v>
      </c>
      <c r="J8" s="39">
        <f t="shared" si="4"/>
        <v>0</v>
      </c>
      <c r="K8" s="40">
        <f>COUNTIF(Vertices[Betweenness Centrality], "&gt;= " &amp; J8) - COUNTIF(Vertices[Betweenness Centrality], "&gt;=" &amp; J9)</f>
        <v>0</v>
      </c>
      <c r="L8" s="39">
        <f t="shared" si="5"/>
        <v>0</v>
      </c>
      <c r="M8" s="40">
        <f>COUNTIF(Vertices[Closeness Centrality], "&gt;= " &amp; L8) - COUNTIF(Vertices[Closeness Centrality], "&gt;=" &amp; L9)</f>
        <v>0</v>
      </c>
      <c r="N8" s="39">
        <f t="shared" si="6"/>
        <v>0</v>
      </c>
      <c r="O8" s="40">
        <f>COUNTIF(Vertices[Eigenvector Centrality], "&gt;= " &amp; N8) - COUNTIF(Vertices[Eigenvector Centrality], "&gt;=" &amp; N9)</f>
        <v>0</v>
      </c>
      <c r="P8" s="39">
        <f t="shared" si="7"/>
        <v>0</v>
      </c>
      <c r="Q8" s="40">
        <f>COUNTIF(Vertices[PageRank], "&gt;= " &amp; P8) - COUNTIF(Vertices[PageRank], "&gt;=" &amp; P9)</f>
        <v>0</v>
      </c>
      <c r="R8" s="39">
        <f t="shared" si="8"/>
        <v>0</v>
      </c>
      <c r="S8" s="45">
        <f>COUNTIF(Vertices[Clustering Coefficient], "&gt;= " &amp; R8) - COUNTIF(Vertices[Clustering Coefficient], "&gt;=" &amp; R9)</f>
        <v>0</v>
      </c>
      <c r="T8" s="39">
        <f t="shared" ca="1" si="9"/>
        <v>1493.5130551360373</v>
      </c>
      <c r="U8" s="40">
        <f t="shared" ca="1" si="0"/>
        <v>1</v>
      </c>
    </row>
    <row r="9" spans="1:24" x14ac:dyDescent="0.3">
      <c r="A9" s="36"/>
      <c r="B9" s="36"/>
      <c r="D9" s="34">
        <f t="shared" si="1"/>
        <v>0</v>
      </c>
      <c r="E9" s="3">
        <f>COUNTIF(Vertices[Degree], "&gt;= " &amp; D9) - COUNTIF(Vertices[Degree], "&gt;=" &amp; D10)</f>
        <v>0</v>
      </c>
      <c r="F9" s="41">
        <f t="shared" si="2"/>
        <v>0</v>
      </c>
      <c r="G9" s="42">
        <f>COUNTIF(Vertices[In-Degree], "&gt;= " &amp; F9) - COUNTIF(Vertices[In-Degree], "&gt;=" &amp; F10)</f>
        <v>0</v>
      </c>
      <c r="H9" s="41">
        <f t="shared" si="3"/>
        <v>0</v>
      </c>
      <c r="I9" s="42">
        <f>COUNTIF(Vertices[Out-Degree], "&gt;= " &amp; H9) - COUNTIF(Vertices[Out-Degree], "&gt;=" &amp; H10)</f>
        <v>0</v>
      </c>
      <c r="J9" s="41">
        <f t="shared" si="4"/>
        <v>0</v>
      </c>
      <c r="K9" s="42">
        <f>COUNTIF(Vertices[Betweenness Centrality], "&gt;= " &amp; J9) - COUNTIF(Vertices[Betweenness Centrality], "&gt;=" &amp; J10)</f>
        <v>0</v>
      </c>
      <c r="L9" s="41">
        <f t="shared" si="5"/>
        <v>0</v>
      </c>
      <c r="M9" s="42">
        <f>COUNTIF(Vertices[Closeness Centrality], "&gt;= " &amp; L9) - COUNTIF(Vertices[Closeness Centrality], "&gt;=" &amp; L10)</f>
        <v>0</v>
      </c>
      <c r="N9" s="41">
        <f t="shared" si="6"/>
        <v>0</v>
      </c>
      <c r="O9" s="42">
        <f>COUNTIF(Vertices[Eigenvector Centrality], "&gt;= " &amp; N9) - COUNTIF(Vertices[Eigenvector Centrality], "&gt;=" &amp; N10)</f>
        <v>0</v>
      </c>
      <c r="P9" s="41">
        <f t="shared" si="7"/>
        <v>0</v>
      </c>
      <c r="Q9" s="42">
        <f>COUNTIF(Vertices[PageRank], "&gt;= " &amp; P9) - COUNTIF(Vertices[PageRank], "&gt;=" &amp; P10)</f>
        <v>0</v>
      </c>
      <c r="R9" s="41">
        <f t="shared" si="8"/>
        <v>0</v>
      </c>
      <c r="S9" s="46">
        <f>COUNTIF(Vertices[Clustering Coefficient], "&gt;= " &amp; R9) - COUNTIF(Vertices[Clustering Coefficient], "&gt;=" &amp; R10)</f>
        <v>0</v>
      </c>
      <c r="T9" s="41">
        <f t="shared" ca="1" si="9"/>
        <v>1719.6060563908065</v>
      </c>
      <c r="U9" s="42">
        <f t="shared" ca="1" si="0"/>
        <v>1</v>
      </c>
    </row>
    <row r="10" spans="1:24" x14ac:dyDescent="0.3">
      <c r="A10" s="36"/>
      <c r="B10" s="36"/>
      <c r="D10" s="34">
        <f t="shared" si="1"/>
        <v>0</v>
      </c>
      <c r="E10" s="3">
        <f>COUNTIF(Vertices[Degree], "&gt;= " &amp; D10) - COUNTIF(Vertices[Degree], "&gt;=" &amp; D11)</f>
        <v>0</v>
      </c>
      <c r="F10" s="39">
        <f t="shared" si="2"/>
        <v>0</v>
      </c>
      <c r="G10" s="40">
        <f>COUNTIF(Vertices[In-Degree], "&gt;= " &amp; F10) - COUNTIF(Vertices[In-Degree], "&gt;=" &amp; F11)</f>
        <v>0</v>
      </c>
      <c r="H10" s="39">
        <f t="shared" si="3"/>
        <v>0</v>
      </c>
      <c r="I10" s="40">
        <f>COUNTIF(Vertices[Out-Degree], "&gt;= " &amp; H10) - COUNTIF(Vertices[Out-Degree], "&gt;=" &amp; H11)</f>
        <v>0</v>
      </c>
      <c r="J10" s="39">
        <f t="shared" si="4"/>
        <v>0</v>
      </c>
      <c r="K10" s="40">
        <f>COUNTIF(Vertices[Betweenness Centrality], "&gt;= " &amp; J10) - COUNTIF(Vertices[Betweenness Centrality], "&gt;=" &amp; J11)</f>
        <v>0</v>
      </c>
      <c r="L10" s="39">
        <f t="shared" si="5"/>
        <v>0</v>
      </c>
      <c r="M10" s="40">
        <f>COUNTIF(Vertices[Closeness Centrality], "&gt;= " &amp; L10) - COUNTIF(Vertices[Closeness Centrality], "&gt;=" &amp; L11)</f>
        <v>0</v>
      </c>
      <c r="N10" s="39">
        <f t="shared" si="6"/>
        <v>0</v>
      </c>
      <c r="O10" s="40">
        <f>COUNTIF(Vertices[Eigenvector Centrality], "&gt;= " &amp; N10) - COUNTIF(Vertices[Eigenvector Centrality], "&gt;=" &amp; N11)</f>
        <v>0</v>
      </c>
      <c r="P10" s="39">
        <f t="shared" si="7"/>
        <v>0</v>
      </c>
      <c r="Q10" s="40">
        <f>COUNTIF(Vertices[PageRank], "&gt;= " &amp; P10) - COUNTIF(Vertices[PageRank], "&gt;=" &amp; P11)</f>
        <v>0</v>
      </c>
      <c r="R10" s="39">
        <f t="shared" si="8"/>
        <v>0</v>
      </c>
      <c r="S10" s="45">
        <f>COUNTIF(Vertices[Clustering Coefficient], "&gt;= " &amp; R10) - COUNTIF(Vertices[Clustering Coefficient], "&gt;=" &amp; R11)</f>
        <v>0</v>
      </c>
      <c r="T10" s="39">
        <f t="shared" ca="1" si="9"/>
        <v>1945.6990576455757</v>
      </c>
      <c r="U10" s="40">
        <f t="shared" ca="1" si="0"/>
        <v>0</v>
      </c>
    </row>
    <row r="11" spans="1:24" x14ac:dyDescent="0.3">
      <c r="A11" s="36"/>
      <c r="B11" s="36"/>
      <c r="D11" s="34">
        <f t="shared" si="1"/>
        <v>0</v>
      </c>
      <c r="E11" s="3">
        <f>COUNTIF(Vertices[Degree], "&gt;= " &amp; D11) - COUNTIF(Vertices[Degree], "&gt;=" &amp; D12)</f>
        <v>0</v>
      </c>
      <c r="F11" s="41">
        <f t="shared" si="2"/>
        <v>0</v>
      </c>
      <c r="G11" s="42">
        <f>COUNTIF(Vertices[In-Degree], "&gt;= " &amp; F11) - COUNTIF(Vertices[In-Degree], "&gt;=" &amp; F12)</f>
        <v>0</v>
      </c>
      <c r="H11" s="41">
        <f t="shared" si="3"/>
        <v>0</v>
      </c>
      <c r="I11" s="42">
        <f>COUNTIF(Vertices[Out-Degree], "&gt;= " &amp; H11) - COUNTIF(Vertices[Out-Degree], "&gt;=" &amp; H12)</f>
        <v>0</v>
      </c>
      <c r="J11" s="41">
        <f t="shared" si="4"/>
        <v>0</v>
      </c>
      <c r="K11" s="42">
        <f>COUNTIF(Vertices[Betweenness Centrality], "&gt;= " &amp; J11) - COUNTIF(Vertices[Betweenness Centrality], "&gt;=" &amp; J12)</f>
        <v>0</v>
      </c>
      <c r="L11" s="41">
        <f t="shared" si="5"/>
        <v>0</v>
      </c>
      <c r="M11" s="42">
        <f>COUNTIF(Vertices[Closeness Centrality], "&gt;= " &amp; L11) - COUNTIF(Vertices[Closeness Centrality], "&gt;=" &amp; L12)</f>
        <v>0</v>
      </c>
      <c r="N11" s="41">
        <f t="shared" si="6"/>
        <v>0</v>
      </c>
      <c r="O11" s="42">
        <f>COUNTIF(Vertices[Eigenvector Centrality], "&gt;= " &amp; N11) - COUNTIF(Vertices[Eigenvector Centrality], "&gt;=" &amp; N12)</f>
        <v>0</v>
      </c>
      <c r="P11" s="41">
        <f t="shared" si="7"/>
        <v>0</v>
      </c>
      <c r="Q11" s="42">
        <f>COUNTIF(Vertices[PageRank], "&gt;= " &amp; P11) - COUNTIF(Vertices[PageRank], "&gt;=" &amp; P12)</f>
        <v>0</v>
      </c>
      <c r="R11" s="41">
        <f t="shared" si="8"/>
        <v>0</v>
      </c>
      <c r="S11" s="46">
        <f>COUNTIF(Vertices[Clustering Coefficient], "&gt;= " &amp; R11) - COUNTIF(Vertices[Clustering Coefficient], "&gt;=" &amp; R12)</f>
        <v>0</v>
      </c>
      <c r="T11" s="41">
        <f t="shared" ca="1" si="9"/>
        <v>2171.7920589003452</v>
      </c>
      <c r="U11" s="42">
        <f t="shared" ca="1" si="0"/>
        <v>1</v>
      </c>
    </row>
    <row r="12" spans="1:24" x14ac:dyDescent="0.3">
      <c r="A12" s="36"/>
      <c r="B12" s="36"/>
      <c r="D12" s="34">
        <f t="shared" si="1"/>
        <v>0</v>
      </c>
      <c r="E12" s="3">
        <f>COUNTIF(Vertices[Degree], "&gt;= " &amp; D12) - COUNTIF(Vertices[Degree], "&gt;=" &amp; D13)</f>
        <v>0</v>
      </c>
      <c r="F12" s="39">
        <f t="shared" si="2"/>
        <v>0</v>
      </c>
      <c r="G12" s="40">
        <f>COUNTIF(Vertices[In-Degree], "&gt;= " &amp; F12) - COUNTIF(Vertices[In-Degree], "&gt;=" &amp; F13)</f>
        <v>0</v>
      </c>
      <c r="H12" s="39">
        <f t="shared" si="3"/>
        <v>0</v>
      </c>
      <c r="I12" s="40">
        <f>COUNTIF(Vertices[Out-Degree], "&gt;= " &amp; H12) - COUNTIF(Vertices[Out-Degree], "&gt;=" &amp; H13)</f>
        <v>0</v>
      </c>
      <c r="J12" s="39">
        <f t="shared" si="4"/>
        <v>0</v>
      </c>
      <c r="K12" s="40">
        <f>COUNTIF(Vertices[Betweenness Centrality], "&gt;= " &amp; J12) - COUNTIF(Vertices[Betweenness Centrality], "&gt;=" &amp; J13)</f>
        <v>0</v>
      </c>
      <c r="L12" s="39">
        <f t="shared" si="5"/>
        <v>0</v>
      </c>
      <c r="M12" s="40">
        <f>COUNTIF(Vertices[Closeness Centrality], "&gt;= " &amp; L12) - COUNTIF(Vertices[Closeness Centrality], "&gt;=" &amp; L13)</f>
        <v>0</v>
      </c>
      <c r="N12" s="39">
        <f t="shared" si="6"/>
        <v>0</v>
      </c>
      <c r="O12" s="40">
        <f>COUNTIF(Vertices[Eigenvector Centrality], "&gt;= " &amp; N12) - COUNTIF(Vertices[Eigenvector Centrality], "&gt;=" &amp; N13)</f>
        <v>0</v>
      </c>
      <c r="P12" s="39">
        <f t="shared" si="7"/>
        <v>0</v>
      </c>
      <c r="Q12" s="40">
        <f>COUNTIF(Vertices[PageRank], "&gt;= " &amp; P12) - COUNTIF(Vertices[PageRank], "&gt;=" &amp; P13)</f>
        <v>0</v>
      </c>
      <c r="R12" s="39">
        <f t="shared" si="8"/>
        <v>0</v>
      </c>
      <c r="S12" s="45">
        <f>COUNTIF(Vertices[Clustering Coefficient], "&gt;= " &amp; R12) - COUNTIF(Vertices[Clustering Coefficient], "&gt;=" &amp; R13)</f>
        <v>0</v>
      </c>
      <c r="T12" s="39">
        <f t="shared" ca="1" si="9"/>
        <v>2397.8850601551144</v>
      </c>
      <c r="U12" s="40">
        <f t="shared" ca="1" si="0"/>
        <v>1</v>
      </c>
    </row>
    <row r="13" spans="1:24" x14ac:dyDescent="0.3">
      <c r="A13" s="36"/>
      <c r="B13" s="36"/>
      <c r="D13" s="34">
        <f t="shared" si="1"/>
        <v>0</v>
      </c>
      <c r="E13" s="3">
        <f>COUNTIF(Vertices[Degree], "&gt;= " &amp; D13) - COUNTIF(Vertices[Degree], "&gt;=" &amp; D14)</f>
        <v>0</v>
      </c>
      <c r="F13" s="41">
        <f t="shared" si="2"/>
        <v>0</v>
      </c>
      <c r="G13" s="42">
        <f>COUNTIF(Vertices[In-Degree], "&gt;= " &amp; F13) - COUNTIF(Vertices[In-Degree], "&gt;=" &amp; F14)</f>
        <v>0</v>
      </c>
      <c r="H13" s="41">
        <f t="shared" si="3"/>
        <v>0</v>
      </c>
      <c r="I13" s="42">
        <f>COUNTIF(Vertices[Out-Degree], "&gt;= " &amp; H13) - COUNTIF(Vertices[Out-Degree], "&gt;=" &amp; H14)</f>
        <v>0</v>
      </c>
      <c r="J13" s="41">
        <f t="shared" si="4"/>
        <v>0</v>
      </c>
      <c r="K13" s="42">
        <f>COUNTIF(Vertices[Betweenness Centrality], "&gt;= " &amp; J13) - COUNTIF(Vertices[Betweenness Centrality], "&gt;=" &amp; J14)</f>
        <v>0</v>
      </c>
      <c r="L13" s="41">
        <f t="shared" si="5"/>
        <v>0</v>
      </c>
      <c r="M13" s="42">
        <f>COUNTIF(Vertices[Closeness Centrality], "&gt;= " &amp; L13) - COUNTIF(Vertices[Closeness Centrality], "&gt;=" &amp; L14)</f>
        <v>0</v>
      </c>
      <c r="N13" s="41">
        <f t="shared" si="6"/>
        <v>0</v>
      </c>
      <c r="O13" s="42">
        <f>COUNTIF(Vertices[Eigenvector Centrality], "&gt;= " &amp; N13) - COUNTIF(Vertices[Eigenvector Centrality], "&gt;=" &amp; N14)</f>
        <v>0</v>
      </c>
      <c r="P13" s="41">
        <f t="shared" si="7"/>
        <v>0</v>
      </c>
      <c r="Q13" s="42">
        <f>COUNTIF(Vertices[PageRank], "&gt;= " &amp; P13) - COUNTIF(Vertices[PageRank], "&gt;=" &amp; P14)</f>
        <v>0</v>
      </c>
      <c r="R13" s="41">
        <f t="shared" si="8"/>
        <v>0</v>
      </c>
      <c r="S13" s="46">
        <f>COUNTIF(Vertices[Clustering Coefficient], "&gt;= " &amp; R13) - COUNTIF(Vertices[Clustering Coefficient], "&gt;=" &amp; R14)</f>
        <v>0</v>
      </c>
      <c r="T13" s="41">
        <f t="shared" ca="1" si="9"/>
        <v>2623.9780614098836</v>
      </c>
      <c r="U13" s="42">
        <f t="shared" ca="1" si="0"/>
        <v>1</v>
      </c>
    </row>
    <row r="14" spans="1:24" x14ac:dyDescent="0.3">
      <c r="A14" s="36"/>
      <c r="B14" s="36"/>
      <c r="D14" s="34">
        <f t="shared" si="1"/>
        <v>0</v>
      </c>
      <c r="E14" s="3">
        <f>COUNTIF(Vertices[Degree], "&gt;= " &amp; D14) - COUNTIF(Vertices[Degree], "&gt;=" &amp; D15)</f>
        <v>0</v>
      </c>
      <c r="F14" s="39">
        <f t="shared" si="2"/>
        <v>0</v>
      </c>
      <c r="G14" s="40">
        <f>COUNTIF(Vertices[In-Degree], "&gt;= " &amp; F14) - COUNTIF(Vertices[In-Degree], "&gt;=" &amp; F15)</f>
        <v>0</v>
      </c>
      <c r="H14" s="39">
        <f t="shared" si="3"/>
        <v>0</v>
      </c>
      <c r="I14" s="40">
        <f>COUNTIF(Vertices[Out-Degree], "&gt;= " &amp; H14) - COUNTIF(Vertices[Out-Degree], "&gt;=" &amp; H15)</f>
        <v>0</v>
      </c>
      <c r="J14" s="39">
        <f t="shared" si="4"/>
        <v>0</v>
      </c>
      <c r="K14" s="40">
        <f>COUNTIF(Vertices[Betweenness Centrality], "&gt;= " &amp; J14) - COUNTIF(Vertices[Betweenness Centrality], "&gt;=" &amp; J15)</f>
        <v>0</v>
      </c>
      <c r="L14" s="39">
        <f t="shared" si="5"/>
        <v>0</v>
      </c>
      <c r="M14" s="40">
        <f>COUNTIF(Vertices[Closeness Centrality], "&gt;= " &amp; L14) - COUNTIF(Vertices[Closeness Centrality], "&gt;=" &amp; L15)</f>
        <v>0</v>
      </c>
      <c r="N14" s="39">
        <f t="shared" si="6"/>
        <v>0</v>
      </c>
      <c r="O14" s="40">
        <f>COUNTIF(Vertices[Eigenvector Centrality], "&gt;= " &amp; N14) - COUNTIF(Vertices[Eigenvector Centrality], "&gt;=" &amp; N15)</f>
        <v>0</v>
      </c>
      <c r="P14" s="39">
        <f t="shared" si="7"/>
        <v>0</v>
      </c>
      <c r="Q14" s="40">
        <f>COUNTIF(Vertices[PageRank], "&gt;= " &amp; P14) - COUNTIF(Vertices[PageRank], "&gt;=" &amp; P15)</f>
        <v>0</v>
      </c>
      <c r="R14" s="39">
        <f t="shared" si="8"/>
        <v>0</v>
      </c>
      <c r="S14" s="45">
        <f>COUNTIF(Vertices[Clustering Coefficient], "&gt;= " &amp; R14) - COUNTIF(Vertices[Clustering Coefficient], "&gt;=" &amp; R15)</f>
        <v>0</v>
      </c>
      <c r="T14" s="39">
        <f t="shared" ca="1" si="9"/>
        <v>2850.0710626646528</v>
      </c>
      <c r="U14" s="40">
        <f t="shared" ca="1" si="0"/>
        <v>0</v>
      </c>
    </row>
    <row r="15" spans="1:24" x14ac:dyDescent="0.3">
      <c r="A15" s="36"/>
      <c r="B15" s="36"/>
      <c r="D15" s="34">
        <f t="shared" si="1"/>
        <v>0</v>
      </c>
      <c r="E15" s="3">
        <f>COUNTIF(Vertices[Degree], "&gt;= " &amp; D15) - COUNTIF(Vertices[Degree], "&gt;=" &amp; D16)</f>
        <v>0</v>
      </c>
      <c r="F15" s="41">
        <f t="shared" si="2"/>
        <v>0</v>
      </c>
      <c r="G15" s="42">
        <f>COUNTIF(Vertices[In-Degree], "&gt;= " &amp; F15) - COUNTIF(Vertices[In-Degree], "&gt;=" &amp; F16)</f>
        <v>0</v>
      </c>
      <c r="H15" s="41">
        <f t="shared" si="3"/>
        <v>0</v>
      </c>
      <c r="I15" s="42">
        <f>COUNTIF(Vertices[Out-Degree], "&gt;= " &amp; H15) - COUNTIF(Vertices[Out-Degree], "&gt;=" &amp; H16)</f>
        <v>0</v>
      </c>
      <c r="J15" s="41">
        <f t="shared" si="4"/>
        <v>0</v>
      </c>
      <c r="K15" s="42">
        <f>COUNTIF(Vertices[Betweenness Centrality], "&gt;= " &amp; J15) - COUNTIF(Vertices[Betweenness Centrality], "&gt;=" &amp; J16)</f>
        <v>0</v>
      </c>
      <c r="L15" s="41">
        <f t="shared" si="5"/>
        <v>0</v>
      </c>
      <c r="M15" s="42">
        <f>COUNTIF(Vertices[Closeness Centrality], "&gt;= " &amp; L15) - COUNTIF(Vertices[Closeness Centrality], "&gt;=" &amp; L16)</f>
        <v>0</v>
      </c>
      <c r="N15" s="41">
        <f t="shared" si="6"/>
        <v>0</v>
      </c>
      <c r="O15" s="42">
        <f>COUNTIF(Vertices[Eigenvector Centrality], "&gt;= " &amp; N15) - COUNTIF(Vertices[Eigenvector Centrality], "&gt;=" &amp; N16)</f>
        <v>0</v>
      </c>
      <c r="P15" s="41">
        <f t="shared" si="7"/>
        <v>0</v>
      </c>
      <c r="Q15" s="42">
        <f>COUNTIF(Vertices[PageRank], "&gt;= " &amp; P15) - COUNTIF(Vertices[PageRank], "&gt;=" &amp; P16)</f>
        <v>0</v>
      </c>
      <c r="R15" s="41">
        <f t="shared" si="8"/>
        <v>0</v>
      </c>
      <c r="S15" s="46">
        <f>COUNTIF(Vertices[Clustering Coefficient], "&gt;= " &amp; R15) - COUNTIF(Vertices[Clustering Coefficient], "&gt;=" &amp; R16)</f>
        <v>0</v>
      </c>
      <c r="T15" s="41">
        <f t="shared" ca="1" si="9"/>
        <v>3076.164063919422</v>
      </c>
      <c r="U15" s="42">
        <f t="shared" ca="1" si="0"/>
        <v>1</v>
      </c>
    </row>
    <row r="16" spans="1:24" x14ac:dyDescent="0.3">
      <c r="A16" s="36"/>
      <c r="B16" s="36"/>
      <c r="D16" s="34">
        <f t="shared" si="1"/>
        <v>0</v>
      </c>
      <c r="E16" s="3">
        <f>COUNTIF(Vertices[Degree], "&gt;= " &amp; D16) - COUNTIF(Vertices[Degree], "&gt;=" &amp; D17)</f>
        <v>0</v>
      </c>
      <c r="F16" s="39">
        <f t="shared" si="2"/>
        <v>0</v>
      </c>
      <c r="G16" s="40">
        <f>COUNTIF(Vertices[In-Degree], "&gt;= " &amp; F16) - COUNTIF(Vertices[In-Degree], "&gt;=" &amp; F17)</f>
        <v>0</v>
      </c>
      <c r="H16" s="39">
        <f t="shared" si="3"/>
        <v>0</v>
      </c>
      <c r="I16" s="40">
        <f>COUNTIF(Vertices[Out-Degree], "&gt;= " &amp; H16) - COUNTIF(Vertices[Out-Degree], "&gt;=" &amp; H17)</f>
        <v>0</v>
      </c>
      <c r="J16" s="39">
        <f t="shared" si="4"/>
        <v>0</v>
      </c>
      <c r="K16" s="40">
        <f>COUNTIF(Vertices[Betweenness Centrality], "&gt;= " &amp; J16) - COUNTIF(Vertices[Betweenness Centrality], "&gt;=" &amp; J17)</f>
        <v>0</v>
      </c>
      <c r="L16" s="39">
        <f t="shared" si="5"/>
        <v>0</v>
      </c>
      <c r="M16" s="40">
        <f>COUNTIF(Vertices[Closeness Centrality], "&gt;= " &amp; L16) - COUNTIF(Vertices[Closeness Centrality], "&gt;=" &amp; L17)</f>
        <v>0</v>
      </c>
      <c r="N16" s="39">
        <f t="shared" si="6"/>
        <v>0</v>
      </c>
      <c r="O16" s="40">
        <f>COUNTIF(Vertices[Eigenvector Centrality], "&gt;= " &amp; N16) - COUNTIF(Vertices[Eigenvector Centrality], "&gt;=" &amp; N17)</f>
        <v>0</v>
      </c>
      <c r="P16" s="39">
        <f t="shared" si="7"/>
        <v>0</v>
      </c>
      <c r="Q16" s="40">
        <f>COUNTIF(Vertices[PageRank], "&gt;= " &amp; P16) - COUNTIF(Vertices[PageRank], "&gt;=" &amp; P17)</f>
        <v>0</v>
      </c>
      <c r="R16" s="39">
        <f t="shared" si="8"/>
        <v>0</v>
      </c>
      <c r="S16" s="45">
        <f>COUNTIF(Vertices[Clustering Coefficient], "&gt;= " &amp; R16) - COUNTIF(Vertices[Clustering Coefficient], "&gt;=" &amp; R17)</f>
        <v>0</v>
      </c>
      <c r="T16" s="39">
        <f t="shared" ca="1" si="9"/>
        <v>3302.2570651741912</v>
      </c>
      <c r="U16" s="40">
        <f t="shared" ca="1" si="0"/>
        <v>0</v>
      </c>
    </row>
    <row r="17" spans="1:21" x14ac:dyDescent="0.3">
      <c r="A17" s="36"/>
      <c r="B17" s="36"/>
      <c r="D17" s="34">
        <f t="shared" si="1"/>
        <v>0</v>
      </c>
      <c r="E17" s="3">
        <f>COUNTIF(Vertices[Degree], "&gt;= " &amp; D17) - COUNTIF(Vertices[Degree], "&gt;=" &amp; D18)</f>
        <v>0</v>
      </c>
      <c r="F17" s="41">
        <f t="shared" si="2"/>
        <v>0</v>
      </c>
      <c r="G17" s="42">
        <f>COUNTIF(Vertices[In-Degree], "&gt;= " &amp; F17) - COUNTIF(Vertices[In-Degree], "&gt;=" &amp; F18)</f>
        <v>0</v>
      </c>
      <c r="H17" s="41">
        <f t="shared" si="3"/>
        <v>0</v>
      </c>
      <c r="I17" s="42">
        <f>COUNTIF(Vertices[Out-Degree], "&gt;= " &amp; H17) - COUNTIF(Vertices[Out-Degree], "&gt;=" &amp; H18)</f>
        <v>0</v>
      </c>
      <c r="J17" s="41">
        <f t="shared" si="4"/>
        <v>0</v>
      </c>
      <c r="K17" s="42">
        <f>COUNTIF(Vertices[Betweenness Centrality], "&gt;= " &amp; J17) - COUNTIF(Vertices[Betweenness Centrality], "&gt;=" &amp; J18)</f>
        <v>0</v>
      </c>
      <c r="L17" s="41">
        <f t="shared" si="5"/>
        <v>0</v>
      </c>
      <c r="M17" s="42">
        <f>COUNTIF(Vertices[Closeness Centrality], "&gt;= " &amp; L17) - COUNTIF(Vertices[Closeness Centrality], "&gt;=" &amp; L18)</f>
        <v>0</v>
      </c>
      <c r="N17" s="41">
        <f t="shared" si="6"/>
        <v>0</v>
      </c>
      <c r="O17" s="42">
        <f>COUNTIF(Vertices[Eigenvector Centrality], "&gt;= " &amp; N17) - COUNTIF(Vertices[Eigenvector Centrality], "&gt;=" &amp; N18)</f>
        <v>0</v>
      </c>
      <c r="P17" s="41">
        <f t="shared" si="7"/>
        <v>0</v>
      </c>
      <c r="Q17" s="42">
        <f>COUNTIF(Vertices[PageRank], "&gt;= " &amp; P17) - COUNTIF(Vertices[PageRank], "&gt;=" &amp; P18)</f>
        <v>0</v>
      </c>
      <c r="R17" s="41">
        <f t="shared" si="8"/>
        <v>0</v>
      </c>
      <c r="S17" s="46">
        <f>COUNTIF(Vertices[Clustering Coefficient], "&gt;= " &amp; R17) - COUNTIF(Vertices[Clustering Coefficient], "&gt;=" &amp; R18)</f>
        <v>0</v>
      </c>
      <c r="T17" s="41">
        <f t="shared" ca="1" si="9"/>
        <v>3528.3500664289604</v>
      </c>
      <c r="U17" s="42">
        <f t="shared" ca="1" si="0"/>
        <v>1</v>
      </c>
    </row>
    <row r="18" spans="1:21" x14ac:dyDescent="0.3">
      <c r="A18" s="36"/>
      <c r="B18" s="36"/>
      <c r="D18" s="34">
        <f t="shared" si="1"/>
        <v>0</v>
      </c>
      <c r="E18" s="3">
        <f>COUNTIF(Vertices[Degree], "&gt;= " &amp; D18) - COUNTIF(Vertices[Degree], "&gt;=" &amp; D19)</f>
        <v>0</v>
      </c>
      <c r="F18" s="39">
        <f t="shared" si="2"/>
        <v>0</v>
      </c>
      <c r="G18" s="40">
        <f>COUNTIF(Vertices[In-Degree], "&gt;= " &amp; F18) - COUNTIF(Vertices[In-Degree], "&gt;=" &amp; F19)</f>
        <v>0</v>
      </c>
      <c r="H18" s="39">
        <f t="shared" si="3"/>
        <v>0</v>
      </c>
      <c r="I18" s="40">
        <f>COUNTIF(Vertices[Out-Degree], "&gt;= " &amp; H18) - COUNTIF(Vertices[Out-Degree], "&gt;=" &amp; H19)</f>
        <v>0</v>
      </c>
      <c r="J18" s="39">
        <f t="shared" si="4"/>
        <v>0</v>
      </c>
      <c r="K18" s="40">
        <f>COUNTIF(Vertices[Betweenness Centrality], "&gt;= " &amp; J18) - COUNTIF(Vertices[Betweenness Centrality], "&gt;=" &amp; J19)</f>
        <v>0</v>
      </c>
      <c r="L18" s="39">
        <f t="shared" si="5"/>
        <v>0</v>
      </c>
      <c r="M18" s="40">
        <f>COUNTIF(Vertices[Closeness Centrality], "&gt;= " &amp; L18) - COUNTIF(Vertices[Closeness Centrality], "&gt;=" &amp; L19)</f>
        <v>0</v>
      </c>
      <c r="N18" s="39">
        <f t="shared" si="6"/>
        <v>0</v>
      </c>
      <c r="O18" s="40">
        <f>COUNTIF(Vertices[Eigenvector Centrality], "&gt;= " &amp; N18) - COUNTIF(Vertices[Eigenvector Centrality], "&gt;=" &amp; N19)</f>
        <v>0</v>
      </c>
      <c r="P18" s="39">
        <f t="shared" si="7"/>
        <v>0</v>
      </c>
      <c r="Q18" s="40">
        <f>COUNTIF(Vertices[PageRank], "&gt;= " &amp; P18) - COUNTIF(Vertices[PageRank], "&gt;=" &amp; P19)</f>
        <v>0</v>
      </c>
      <c r="R18" s="39">
        <f t="shared" si="8"/>
        <v>0</v>
      </c>
      <c r="S18" s="45">
        <f>COUNTIF(Vertices[Clustering Coefficient], "&gt;= " &amp; R18) - COUNTIF(Vertices[Clustering Coefficient], "&gt;=" &amp; R19)</f>
        <v>0</v>
      </c>
      <c r="T18" s="39">
        <f t="shared" ca="1" si="9"/>
        <v>3754.4430676837296</v>
      </c>
      <c r="U18" s="40">
        <f t="shared" ca="1" si="0"/>
        <v>1</v>
      </c>
    </row>
    <row r="19" spans="1:21" x14ac:dyDescent="0.3">
      <c r="A19" s="36"/>
      <c r="B19" s="36"/>
      <c r="D19" s="34">
        <f t="shared" si="1"/>
        <v>0</v>
      </c>
      <c r="E19" s="3">
        <f>COUNTIF(Vertices[Degree], "&gt;= " &amp; D19) - COUNTIF(Vertices[Degree], "&gt;=" &amp; D20)</f>
        <v>0</v>
      </c>
      <c r="F19" s="41">
        <f t="shared" si="2"/>
        <v>0</v>
      </c>
      <c r="G19" s="42">
        <f>COUNTIF(Vertices[In-Degree], "&gt;= " &amp; F19) - COUNTIF(Vertices[In-Degree], "&gt;=" &amp; F20)</f>
        <v>0</v>
      </c>
      <c r="H19" s="41">
        <f t="shared" si="3"/>
        <v>0</v>
      </c>
      <c r="I19" s="42">
        <f>COUNTIF(Vertices[Out-Degree], "&gt;= " &amp; H19) - COUNTIF(Vertices[Out-Degree], "&gt;=" &amp; H20)</f>
        <v>0</v>
      </c>
      <c r="J19" s="41">
        <f t="shared" si="4"/>
        <v>0</v>
      </c>
      <c r="K19" s="42">
        <f>COUNTIF(Vertices[Betweenness Centrality], "&gt;= " &amp; J19) - COUNTIF(Vertices[Betweenness Centrality], "&gt;=" &amp; J20)</f>
        <v>0</v>
      </c>
      <c r="L19" s="41">
        <f t="shared" si="5"/>
        <v>0</v>
      </c>
      <c r="M19" s="42">
        <f>COUNTIF(Vertices[Closeness Centrality], "&gt;= " &amp; L19) - COUNTIF(Vertices[Closeness Centrality], "&gt;=" &amp; L20)</f>
        <v>0</v>
      </c>
      <c r="N19" s="41">
        <f t="shared" si="6"/>
        <v>0</v>
      </c>
      <c r="O19" s="42">
        <f>COUNTIF(Vertices[Eigenvector Centrality], "&gt;= " &amp; N19) - COUNTIF(Vertices[Eigenvector Centrality], "&gt;=" &amp; N20)</f>
        <v>0</v>
      </c>
      <c r="P19" s="41">
        <f t="shared" si="7"/>
        <v>0</v>
      </c>
      <c r="Q19" s="42">
        <f>COUNTIF(Vertices[PageRank], "&gt;= " &amp; P19) - COUNTIF(Vertices[PageRank], "&gt;=" &amp; P20)</f>
        <v>0</v>
      </c>
      <c r="R19" s="41">
        <f t="shared" si="8"/>
        <v>0</v>
      </c>
      <c r="S19" s="46">
        <f>COUNTIF(Vertices[Clustering Coefficient], "&gt;= " &amp; R19) - COUNTIF(Vertices[Clustering Coefficient], "&gt;=" &amp; R20)</f>
        <v>0</v>
      </c>
      <c r="T19" s="41">
        <f t="shared" ca="1" si="9"/>
        <v>3980.5360689384988</v>
      </c>
      <c r="U19" s="42">
        <f t="shared" ca="1" si="0"/>
        <v>1</v>
      </c>
    </row>
    <row r="20" spans="1:21" x14ac:dyDescent="0.3">
      <c r="A20" s="36"/>
      <c r="B20" s="36"/>
      <c r="D20" s="34">
        <f t="shared" si="1"/>
        <v>0</v>
      </c>
      <c r="E20" s="3">
        <f>COUNTIF(Vertices[Degree], "&gt;= " &amp; D20) - COUNTIF(Vertices[Degree], "&gt;=" &amp; D21)</f>
        <v>0</v>
      </c>
      <c r="F20" s="39">
        <f t="shared" si="2"/>
        <v>0</v>
      </c>
      <c r="G20" s="40">
        <f>COUNTIF(Vertices[In-Degree], "&gt;= " &amp; F20) - COUNTIF(Vertices[In-Degree], "&gt;=" &amp; F21)</f>
        <v>0</v>
      </c>
      <c r="H20" s="39">
        <f t="shared" si="3"/>
        <v>0</v>
      </c>
      <c r="I20" s="40">
        <f>COUNTIF(Vertices[Out-Degree], "&gt;= " &amp; H20) - COUNTIF(Vertices[Out-Degree], "&gt;=" &amp; H21)</f>
        <v>0</v>
      </c>
      <c r="J20" s="39">
        <f t="shared" si="4"/>
        <v>0</v>
      </c>
      <c r="K20" s="40">
        <f>COUNTIF(Vertices[Betweenness Centrality], "&gt;= " &amp; J20) - COUNTIF(Vertices[Betweenness Centrality], "&gt;=" &amp; J21)</f>
        <v>0</v>
      </c>
      <c r="L20" s="39">
        <f t="shared" si="5"/>
        <v>0</v>
      </c>
      <c r="M20" s="40">
        <f>COUNTIF(Vertices[Closeness Centrality], "&gt;= " &amp; L20) - COUNTIF(Vertices[Closeness Centrality], "&gt;=" &amp; L21)</f>
        <v>0</v>
      </c>
      <c r="N20" s="39">
        <f t="shared" si="6"/>
        <v>0</v>
      </c>
      <c r="O20" s="40">
        <f>COUNTIF(Vertices[Eigenvector Centrality], "&gt;= " &amp; N20) - COUNTIF(Vertices[Eigenvector Centrality], "&gt;=" &amp; N21)</f>
        <v>0</v>
      </c>
      <c r="P20" s="39">
        <f t="shared" si="7"/>
        <v>0</v>
      </c>
      <c r="Q20" s="40">
        <f>COUNTIF(Vertices[PageRank], "&gt;= " &amp; P20) - COUNTIF(Vertices[PageRank], "&gt;=" &amp; P21)</f>
        <v>0</v>
      </c>
      <c r="R20" s="39">
        <f t="shared" si="8"/>
        <v>0</v>
      </c>
      <c r="S20" s="45">
        <f>COUNTIF(Vertices[Clustering Coefficient], "&gt;= " &amp; R20) - COUNTIF(Vertices[Clustering Coefficient], "&gt;=" &amp; R21)</f>
        <v>0</v>
      </c>
      <c r="T20" s="39">
        <f t="shared" ca="1" si="9"/>
        <v>4206.6290701932685</v>
      </c>
      <c r="U20" s="40">
        <f t="shared" ca="1" si="0"/>
        <v>1</v>
      </c>
    </row>
    <row r="21" spans="1:21" x14ac:dyDescent="0.3">
      <c r="A21" s="36"/>
      <c r="B21" s="36"/>
      <c r="D21" s="34">
        <f t="shared" si="1"/>
        <v>0</v>
      </c>
      <c r="E21" s="3">
        <f>COUNTIF(Vertices[Degree], "&gt;= " &amp; D21) - COUNTIF(Vertices[Degree], "&gt;=" &amp; D22)</f>
        <v>0</v>
      </c>
      <c r="F21" s="41">
        <f t="shared" si="2"/>
        <v>0</v>
      </c>
      <c r="G21" s="42">
        <f>COUNTIF(Vertices[In-Degree], "&gt;= " &amp; F21) - COUNTIF(Vertices[In-Degree], "&gt;=" &amp; F22)</f>
        <v>0</v>
      </c>
      <c r="H21" s="41">
        <f t="shared" si="3"/>
        <v>0</v>
      </c>
      <c r="I21" s="42">
        <f>COUNTIF(Vertices[Out-Degree], "&gt;= " &amp; H21) - COUNTIF(Vertices[Out-Degree], "&gt;=" &amp; H22)</f>
        <v>0</v>
      </c>
      <c r="J21" s="41">
        <f t="shared" si="4"/>
        <v>0</v>
      </c>
      <c r="K21" s="42">
        <f>COUNTIF(Vertices[Betweenness Centrality], "&gt;= " &amp; J21) - COUNTIF(Vertices[Betweenness Centrality], "&gt;=" &amp; J22)</f>
        <v>0</v>
      </c>
      <c r="L21" s="41">
        <f t="shared" si="5"/>
        <v>0</v>
      </c>
      <c r="M21" s="42">
        <f>COUNTIF(Vertices[Closeness Centrality], "&gt;= " &amp; L21) - COUNTIF(Vertices[Closeness Centrality], "&gt;=" &amp; L22)</f>
        <v>0</v>
      </c>
      <c r="N21" s="41">
        <f t="shared" si="6"/>
        <v>0</v>
      </c>
      <c r="O21" s="42">
        <f>COUNTIF(Vertices[Eigenvector Centrality], "&gt;= " &amp; N21) - COUNTIF(Vertices[Eigenvector Centrality], "&gt;=" &amp; N22)</f>
        <v>0</v>
      </c>
      <c r="P21" s="41">
        <f t="shared" si="7"/>
        <v>0</v>
      </c>
      <c r="Q21" s="42">
        <f>COUNTIF(Vertices[PageRank], "&gt;= " &amp; P21) - COUNTIF(Vertices[PageRank], "&gt;=" &amp; P22)</f>
        <v>0</v>
      </c>
      <c r="R21" s="41">
        <f t="shared" si="8"/>
        <v>0</v>
      </c>
      <c r="S21" s="46">
        <f>COUNTIF(Vertices[Clustering Coefficient], "&gt;= " &amp; R21) - COUNTIF(Vertices[Clustering Coefficient], "&gt;=" &amp; R22)</f>
        <v>0</v>
      </c>
      <c r="T21" s="41">
        <f t="shared" ca="1" si="9"/>
        <v>4432.7220714480382</v>
      </c>
      <c r="U21" s="42">
        <f t="shared" ca="1" si="0"/>
        <v>1</v>
      </c>
    </row>
    <row r="22" spans="1:21" x14ac:dyDescent="0.3">
      <c r="A22" s="36"/>
      <c r="B22" s="36"/>
      <c r="D22" s="34">
        <f t="shared" si="1"/>
        <v>0</v>
      </c>
      <c r="E22" s="3">
        <f>COUNTIF(Vertices[Degree], "&gt;= " &amp; D22) - COUNTIF(Vertices[Degree], "&gt;=" &amp; D23)</f>
        <v>0</v>
      </c>
      <c r="F22" s="39">
        <f t="shared" si="2"/>
        <v>0</v>
      </c>
      <c r="G22" s="40">
        <f>COUNTIF(Vertices[In-Degree], "&gt;= " &amp; F22) - COUNTIF(Vertices[In-Degree], "&gt;=" &amp; F23)</f>
        <v>0</v>
      </c>
      <c r="H22" s="39">
        <f t="shared" si="3"/>
        <v>0</v>
      </c>
      <c r="I22" s="40">
        <f>COUNTIF(Vertices[Out-Degree], "&gt;= " &amp; H22) - COUNTIF(Vertices[Out-Degree], "&gt;=" &amp; H23)</f>
        <v>0</v>
      </c>
      <c r="J22" s="39">
        <f t="shared" si="4"/>
        <v>0</v>
      </c>
      <c r="K22" s="40">
        <f>COUNTIF(Vertices[Betweenness Centrality], "&gt;= " &amp; J22) - COUNTIF(Vertices[Betweenness Centrality], "&gt;=" &amp; J23)</f>
        <v>0</v>
      </c>
      <c r="L22" s="39">
        <f t="shared" si="5"/>
        <v>0</v>
      </c>
      <c r="M22" s="40">
        <f>COUNTIF(Vertices[Closeness Centrality], "&gt;= " &amp; L22) - COUNTIF(Vertices[Closeness Centrality], "&gt;=" &amp; L23)</f>
        <v>0</v>
      </c>
      <c r="N22" s="39">
        <f t="shared" si="6"/>
        <v>0</v>
      </c>
      <c r="O22" s="40">
        <f>COUNTIF(Vertices[Eigenvector Centrality], "&gt;= " &amp; N22) - COUNTIF(Vertices[Eigenvector Centrality], "&gt;=" &amp; N23)</f>
        <v>0</v>
      </c>
      <c r="P22" s="39">
        <f t="shared" si="7"/>
        <v>0</v>
      </c>
      <c r="Q22" s="40">
        <f>COUNTIF(Vertices[PageRank], "&gt;= " &amp; P22) - COUNTIF(Vertices[PageRank], "&gt;=" &amp; P23)</f>
        <v>0</v>
      </c>
      <c r="R22" s="39">
        <f t="shared" si="8"/>
        <v>0</v>
      </c>
      <c r="S22" s="45">
        <f>COUNTIF(Vertices[Clustering Coefficient], "&gt;= " &amp; R22) - COUNTIF(Vertices[Clustering Coefficient], "&gt;=" &amp; R23)</f>
        <v>0</v>
      </c>
      <c r="T22" s="39">
        <f t="shared" ca="1" si="9"/>
        <v>4658.8150727028078</v>
      </c>
      <c r="U22" s="40">
        <f t="shared" ca="1" si="0"/>
        <v>2</v>
      </c>
    </row>
    <row r="23" spans="1:21" x14ac:dyDescent="0.3">
      <c r="A23" s="36"/>
      <c r="B23" s="36"/>
      <c r="D23" s="34">
        <f t="shared" si="1"/>
        <v>0</v>
      </c>
      <c r="E23" s="3">
        <f>COUNTIF(Vertices[Degree], "&gt;= " &amp; D23) - COUNTIF(Vertices[Degree], "&gt;=" &amp; D24)</f>
        <v>0</v>
      </c>
      <c r="F23" s="41">
        <f t="shared" si="2"/>
        <v>0</v>
      </c>
      <c r="G23" s="42">
        <f>COUNTIF(Vertices[In-Degree], "&gt;= " &amp; F23) - COUNTIF(Vertices[In-Degree], "&gt;=" &amp; F24)</f>
        <v>0</v>
      </c>
      <c r="H23" s="41">
        <f t="shared" si="3"/>
        <v>0</v>
      </c>
      <c r="I23" s="42">
        <f>COUNTIF(Vertices[Out-Degree], "&gt;= " &amp; H23) - COUNTIF(Vertices[Out-Degree], "&gt;=" &amp; H24)</f>
        <v>0</v>
      </c>
      <c r="J23" s="41">
        <f t="shared" si="4"/>
        <v>0</v>
      </c>
      <c r="K23" s="42">
        <f>COUNTIF(Vertices[Betweenness Centrality], "&gt;= " &amp; J23) - COUNTIF(Vertices[Betweenness Centrality], "&gt;=" &amp; J24)</f>
        <v>0</v>
      </c>
      <c r="L23" s="41">
        <f t="shared" si="5"/>
        <v>0</v>
      </c>
      <c r="M23" s="42">
        <f>COUNTIF(Vertices[Closeness Centrality], "&gt;= " &amp; L23) - COUNTIF(Vertices[Closeness Centrality], "&gt;=" &amp; L24)</f>
        <v>0</v>
      </c>
      <c r="N23" s="41">
        <f t="shared" si="6"/>
        <v>0</v>
      </c>
      <c r="O23" s="42">
        <f>COUNTIF(Vertices[Eigenvector Centrality], "&gt;= " &amp; N23) - COUNTIF(Vertices[Eigenvector Centrality], "&gt;=" &amp; N24)</f>
        <v>0</v>
      </c>
      <c r="P23" s="41">
        <f t="shared" si="7"/>
        <v>0</v>
      </c>
      <c r="Q23" s="42">
        <f>COUNTIF(Vertices[PageRank], "&gt;= " &amp; P23) - COUNTIF(Vertices[PageRank], "&gt;=" &amp; P24)</f>
        <v>0</v>
      </c>
      <c r="R23" s="41">
        <f t="shared" si="8"/>
        <v>0</v>
      </c>
      <c r="S23" s="46">
        <f>COUNTIF(Vertices[Clustering Coefficient], "&gt;= " &amp; R23) - COUNTIF(Vertices[Clustering Coefficient], "&gt;=" &amp; R24)</f>
        <v>0</v>
      </c>
      <c r="T23" s="41">
        <f t="shared" ca="1" si="9"/>
        <v>4884.9080739575775</v>
      </c>
      <c r="U23" s="42">
        <f t="shared" ca="1" si="0"/>
        <v>1</v>
      </c>
    </row>
    <row r="24" spans="1:21" x14ac:dyDescent="0.3">
      <c r="A24" s="36"/>
      <c r="B24" s="36"/>
      <c r="D24" s="34">
        <f t="shared" si="1"/>
        <v>0</v>
      </c>
      <c r="E24" s="3">
        <f>COUNTIF(Vertices[Degree], "&gt;= " &amp; D24) - COUNTIF(Vertices[Degree], "&gt;=" &amp; D25)</f>
        <v>0</v>
      </c>
      <c r="F24" s="39">
        <f t="shared" si="2"/>
        <v>0</v>
      </c>
      <c r="G24" s="40">
        <f>COUNTIF(Vertices[In-Degree], "&gt;= " &amp; F24) - COUNTIF(Vertices[In-Degree], "&gt;=" &amp; F25)</f>
        <v>0</v>
      </c>
      <c r="H24" s="39">
        <f t="shared" si="3"/>
        <v>0</v>
      </c>
      <c r="I24" s="40">
        <f>COUNTIF(Vertices[Out-Degree], "&gt;= " &amp; H24) - COUNTIF(Vertices[Out-Degree], "&gt;=" &amp; H25)</f>
        <v>0</v>
      </c>
      <c r="J24" s="39">
        <f t="shared" si="4"/>
        <v>0</v>
      </c>
      <c r="K24" s="40">
        <f>COUNTIF(Vertices[Betweenness Centrality], "&gt;= " &amp; J24) - COUNTIF(Vertices[Betweenness Centrality], "&gt;=" &amp; J25)</f>
        <v>0</v>
      </c>
      <c r="L24" s="39">
        <f t="shared" si="5"/>
        <v>0</v>
      </c>
      <c r="M24" s="40">
        <f>COUNTIF(Vertices[Closeness Centrality], "&gt;= " &amp; L24) - COUNTIF(Vertices[Closeness Centrality], "&gt;=" &amp; L25)</f>
        <v>0</v>
      </c>
      <c r="N24" s="39">
        <f t="shared" si="6"/>
        <v>0</v>
      </c>
      <c r="O24" s="40">
        <f>COUNTIF(Vertices[Eigenvector Centrality], "&gt;= " &amp; N24) - COUNTIF(Vertices[Eigenvector Centrality], "&gt;=" &amp; N25)</f>
        <v>0</v>
      </c>
      <c r="P24" s="39">
        <f t="shared" si="7"/>
        <v>0</v>
      </c>
      <c r="Q24" s="40">
        <f>COUNTIF(Vertices[PageRank], "&gt;= " &amp; P24) - COUNTIF(Vertices[PageRank], "&gt;=" &amp; P25)</f>
        <v>0</v>
      </c>
      <c r="R24" s="39">
        <f t="shared" si="8"/>
        <v>0</v>
      </c>
      <c r="S24" s="45">
        <f>COUNTIF(Vertices[Clustering Coefficient], "&gt;= " &amp; R24) - COUNTIF(Vertices[Clustering Coefficient], "&gt;=" &amp; R25)</f>
        <v>0</v>
      </c>
      <c r="T24" s="39">
        <f t="shared" ca="1" si="9"/>
        <v>5111.0010752123471</v>
      </c>
      <c r="U24" s="40">
        <f t="shared" ca="1" si="0"/>
        <v>0</v>
      </c>
    </row>
    <row r="25" spans="1:21" x14ac:dyDescent="0.3">
      <c r="A25" s="36"/>
      <c r="B25" s="36"/>
      <c r="D25" s="34">
        <f t="shared" si="1"/>
        <v>0</v>
      </c>
      <c r="E25" s="3">
        <f>COUNTIF(Vertices[Degree], "&gt;= " &amp; D25) - COUNTIF(Vertices[Degree], "&gt;=" &amp; D26)</f>
        <v>0</v>
      </c>
      <c r="F25" s="41">
        <f t="shared" si="2"/>
        <v>0</v>
      </c>
      <c r="G25" s="42">
        <f>COUNTIF(Vertices[In-Degree], "&gt;= " &amp; F25) - COUNTIF(Vertices[In-Degree], "&gt;=" &amp; F26)</f>
        <v>0</v>
      </c>
      <c r="H25" s="41">
        <f t="shared" si="3"/>
        <v>0</v>
      </c>
      <c r="I25" s="42">
        <f>COUNTIF(Vertices[Out-Degree], "&gt;= " &amp; H25) - COUNTIF(Vertices[Out-Degree], "&gt;=" &amp; H26)</f>
        <v>0</v>
      </c>
      <c r="J25" s="41">
        <f t="shared" si="4"/>
        <v>0</v>
      </c>
      <c r="K25" s="42">
        <f>COUNTIF(Vertices[Betweenness Centrality], "&gt;= " &amp; J25) - COUNTIF(Vertices[Betweenness Centrality], "&gt;=" &amp; J26)</f>
        <v>0</v>
      </c>
      <c r="L25" s="41">
        <f t="shared" si="5"/>
        <v>0</v>
      </c>
      <c r="M25" s="42">
        <f>COUNTIF(Vertices[Closeness Centrality], "&gt;= " &amp; L25) - COUNTIF(Vertices[Closeness Centrality], "&gt;=" &amp; L26)</f>
        <v>0</v>
      </c>
      <c r="N25" s="41">
        <f t="shared" si="6"/>
        <v>0</v>
      </c>
      <c r="O25" s="42">
        <f>COUNTIF(Vertices[Eigenvector Centrality], "&gt;= " &amp; N25) - COUNTIF(Vertices[Eigenvector Centrality], "&gt;=" &amp; N26)</f>
        <v>0</v>
      </c>
      <c r="P25" s="41">
        <f t="shared" si="7"/>
        <v>0</v>
      </c>
      <c r="Q25" s="42">
        <f>COUNTIF(Vertices[PageRank], "&gt;= " &amp; P25) - COUNTIF(Vertices[PageRank], "&gt;=" &amp; P26)</f>
        <v>0</v>
      </c>
      <c r="R25" s="41">
        <f t="shared" si="8"/>
        <v>0</v>
      </c>
      <c r="S25" s="46">
        <f>COUNTIF(Vertices[Clustering Coefficient], "&gt;= " &amp; R25) - COUNTIF(Vertices[Clustering Coefficient], "&gt;=" &amp; R26)</f>
        <v>0</v>
      </c>
      <c r="T25" s="41">
        <f t="shared" ca="1" si="9"/>
        <v>5337.0940764671168</v>
      </c>
      <c r="U25" s="42">
        <f t="shared" ca="1" si="0"/>
        <v>0</v>
      </c>
    </row>
    <row r="26" spans="1:21" x14ac:dyDescent="0.3">
      <c r="A26" s="36"/>
      <c r="B26" s="36"/>
      <c r="D26" s="34">
        <f t="shared" si="1"/>
        <v>0</v>
      </c>
      <c r="E26" s="3">
        <f>COUNTIF(Vertices[Degree], "&gt;= " &amp; D26) - COUNTIF(Vertices[Degree], "&gt;=" &amp; D27)</f>
        <v>0</v>
      </c>
      <c r="F26" s="39">
        <f t="shared" si="2"/>
        <v>0</v>
      </c>
      <c r="G26" s="40">
        <f>COUNTIF(Vertices[In-Degree], "&gt;= " &amp; F26) - COUNTIF(Vertices[In-Degree], "&gt;=" &amp; F27)</f>
        <v>0</v>
      </c>
      <c r="H26" s="39">
        <f t="shared" si="3"/>
        <v>0</v>
      </c>
      <c r="I26" s="40">
        <f>COUNTIF(Vertices[Out-Degree], "&gt;= " &amp; H26) - COUNTIF(Vertices[Out-Degree], "&gt;=" &amp; H27)</f>
        <v>0</v>
      </c>
      <c r="J26" s="39">
        <f t="shared" si="4"/>
        <v>0</v>
      </c>
      <c r="K26" s="40">
        <f>COUNTIF(Vertices[Betweenness Centrality], "&gt;= " &amp; J26) - COUNTIF(Vertices[Betweenness Centrality], "&gt;=" &amp; J27)</f>
        <v>0</v>
      </c>
      <c r="L26" s="39">
        <f t="shared" si="5"/>
        <v>0</v>
      </c>
      <c r="M26" s="40">
        <f>COUNTIF(Vertices[Closeness Centrality], "&gt;= " &amp; L26) - COUNTIF(Vertices[Closeness Centrality], "&gt;=" &amp; L27)</f>
        <v>0</v>
      </c>
      <c r="N26" s="39">
        <f t="shared" si="6"/>
        <v>0</v>
      </c>
      <c r="O26" s="40">
        <f>COUNTIF(Vertices[Eigenvector Centrality], "&gt;= " &amp; N26) - COUNTIF(Vertices[Eigenvector Centrality], "&gt;=" &amp; N27)</f>
        <v>0</v>
      </c>
      <c r="P26" s="39">
        <f t="shared" si="7"/>
        <v>0</v>
      </c>
      <c r="Q26" s="40">
        <f>COUNTIF(Vertices[PageRank], "&gt;= " &amp; P26) - COUNTIF(Vertices[PageRank], "&gt;=" &amp; P27)</f>
        <v>0</v>
      </c>
      <c r="R26" s="39">
        <f t="shared" si="8"/>
        <v>0</v>
      </c>
      <c r="S26" s="45">
        <f>COUNTIF(Vertices[Clustering Coefficient], "&gt;= " &amp; R26) - COUNTIF(Vertices[Clustering Coefficient], "&gt;=" &amp; R27)</f>
        <v>0</v>
      </c>
      <c r="T26" s="39">
        <f t="shared" ca="1" si="9"/>
        <v>5563.1870777218865</v>
      </c>
      <c r="U26" s="40">
        <f t="shared" ca="1" si="0"/>
        <v>0</v>
      </c>
    </row>
    <row r="27" spans="1:21" x14ac:dyDescent="0.3">
      <c r="D27" s="34">
        <f t="shared" si="1"/>
        <v>0</v>
      </c>
      <c r="E27" s="3">
        <f>COUNTIF(Vertices[Degree], "&gt;= " &amp; D27) - COUNTIF(Vertices[Degree], "&gt;=" &amp; D28)</f>
        <v>0</v>
      </c>
      <c r="F27" s="41">
        <f t="shared" si="2"/>
        <v>0</v>
      </c>
      <c r="G27" s="42">
        <f>COUNTIF(Vertices[In-Degree], "&gt;= " &amp; F27) - COUNTIF(Vertices[In-Degree], "&gt;=" &amp; F28)</f>
        <v>0</v>
      </c>
      <c r="H27" s="41">
        <f t="shared" si="3"/>
        <v>0</v>
      </c>
      <c r="I27" s="42">
        <f>COUNTIF(Vertices[Out-Degree], "&gt;= " &amp; H27) - COUNTIF(Vertices[Out-Degree], "&gt;=" &amp; H28)</f>
        <v>0</v>
      </c>
      <c r="J27" s="41">
        <f t="shared" si="4"/>
        <v>0</v>
      </c>
      <c r="K27" s="42">
        <f>COUNTIF(Vertices[Betweenness Centrality], "&gt;= " &amp; J27) - COUNTIF(Vertices[Betweenness Centrality], "&gt;=" &amp; J28)</f>
        <v>0</v>
      </c>
      <c r="L27" s="41">
        <f t="shared" si="5"/>
        <v>0</v>
      </c>
      <c r="M27" s="42">
        <f>COUNTIF(Vertices[Closeness Centrality], "&gt;= " &amp; L27) - COUNTIF(Vertices[Closeness Centrality], "&gt;=" &amp; L28)</f>
        <v>0</v>
      </c>
      <c r="N27" s="41">
        <f t="shared" si="6"/>
        <v>0</v>
      </c>
      <c r="O27" s="42">
        <f>COUNTIF(Vertices[Eigenvector Centrality], "&gt;= " &amp; N27) - COUNTIF(Vertices[Eigenvector Centrality], "&gt;=" &amp; N28)</f>
        <v>0</v>
      </c>
      <c r="P27" s="41">
        <f t="shared" si="7"/>
        <v>0</v>
      </c>
      <c r="Q27" s="42">
        <f>COUNTIF(Vertices[PageRank], "&gt;= " &amp; P27) - COUNTIF(Vertices[PageRank], "&gt;=" &amp; P28)</f>
        <v>0</v>
      </c>
      <c r="R27" s="41">
        <f t="shared" si="8"/>
        <v>0</v>
      </c>
      <c r="S27" s="46">
        <f>COUNTIF(Vertices[Clustering Coefficient], "&gt;= " &amp; R27) - COUNTIF(Vertices[Clustering Coefficient], "&gt;=" &amp; R28)</f>
        <v>0</v>
      </c>
      <c r="T27" s="41">
        <f t="shared" ca="1" si="9"/>
        <v>5789.2800789766561</v>
      </c>
      <c r="U27" s="42">
        <f t="shared" ca="1" si="0"/>
        <v>1</v>
      </c>
    </row>
    <row r="28" spans="1:21" x14ac:dyDescent="0.3">
      <c r="D28" s="34">
        <f t="shared" si="1"/>
        <v>0</v>
      </c>
      <c r="E28" s="3">
        <f>COUNTIF(Vertices[Degree], "&gt;= " &amp; D28) - COUNTIF(Vertices[Degree], "&gt;=" &amp; D29)</f>
        <v>0</v>
      </c>
      <c r="F28" s="39">
        <f t="shared" si="2"/>
        <v>0</v>
      </c>
      <c r="G28" s="40">
        <f>COUNTIF(Vertices[In-Degree], "&gt;= " &amp; F28) - COUNTIF(Vertices[In-Degree], "&gt;=" &amp; F29)</f>
        <v>0</v>
      </c>
      <c r="H28" s="39">
        <f t="shared" si="3"/>
        <v>0</v>
      </c>
      <c r="I28" s="40">
        <f>COUNTIF(Vertices[Out-Degree], "&gt;= " &amp; H28) - COUNTIF(Vertices[Out-Degree], "&gt;=" &amp; H29)</f>
        <v>0</v>
      </c>
      <c r="J28" s="39">
        <f t="shared" si="4"/>
        <v>0</v>
      </c>
      <c r="K28" s="40">
        <f>COUNTIF(Vertices[Betweenness Centrality], "&gt;= " &amp; J28) - COUNTIF(Vertices[Betweenness Centrality], "&gt;=" &amp; J29)</f>
        <v>0</v>
      </c>
      <c r="L28" s="39">
        <f t="shared" si="5"/>
        <v>0</v>
      </c>
      <c r="M28" s="40">
        <f>COUNTIF(Vertices[Closeness Centrality], "&gt;= " &amp; L28) - COUNTIF(Vertices[Closeness Centrality], "&gt;=" &amp; L29)</f>
        <v>0</v>
      </c>
      <c r="N28" s="39">
        <f t="shared" si="6"/>
        <v>0</v>
      </c>
      <c r="O28" s="40">
        <f>COUNTIF(Vertices[Eigenvector Centrality], "&gt;= " &amp; N28) - COUNTIF(Vertices[Eigenvector Centrality], "&gt;=" &amp; N29)</f>
        <v>0</v>
      </c>
      <c r="P28" s="39">
        <f t="shared" si="7"/>
        <v>0</v>
      </c>
      <c r="Q28" s="40">
        <f>COUNTIF(Vertices[PageRank], "&gt;= " &amp; P28) - COUNTIF(Vertices[PageRank], "&gt;=" &amp; P29)</f>
        <v>0</v>
      </c>
      <c r="R28" s="39">
        <f t="shared" si="8"/>
        <v>0</v>
      </c>
      <c r="S28" s="45">
        <f>COUNTIF(Vertices[Clustering Coefficient], "&gt;= " &amp; R28) - COUNTIF(Vertices[Clustering Coefficient], "&gt;=" &amp; R29)</f>
        <v>0</v>
      </c>
      <c r="T28" s="39">
        <f t="shared" ca="1" si="9"/>
        <v>6015.3730802314258</v>
      </c>
      <c r="U28" s="40">
        <f t="shared" ca="1" si="0"/>
        <v>2</v>
      </c>
    </row>
    <row r="29" spans="1:21" x14ac:dyDescent="0.3">
      <c r="A29" t="s">
        <v>163</v>
      </c>
      <c r="B29" t="s">
        <v>17</v>
      </c>
      <c r="D29" s="34">
        <f t="shared" si="1"/>
        <v>0</v>
      </c>
      <c r="E29" s="3">
        <f>COUNTIF(Vertices[Degree], "&gt;= " &amp; D29) - COUNTIF(Vertices[Degree], "&gt;=" &amp; D30)</f>
        <v>0</v>
      </c>
      <c r="F29" s="41">
        <f t="shared" si="2"/>
        <v>0</v>
      </c>
      <c r="G29" s="42">
        <f>COUNTIF(Vertices[In-Degree], "&gt;= " &amp; F29) - COUNTIF(Vertices[In-Degree], "&gt;=" &amp; F30)</f>
        <v>0</v>
      </c>
      <c r="H29" s="41">
        <f t="shared" si="3"/>
        <v>0</v>
      </c>
      <c r="I29" s="42">
        <f>COUNTIF(Vertices[Out-Degree], "&gt;= " &amp; H29) - COUNTIF(Vertices[Out-Degree], "&gt;=" &amp; H30)</f>
        <v>0</v>
      </c>
      <c r="J29" s="41">
        <f t="shared" si="4"/>
        <v>0</v>
      </c>
      <c r="K29" s="42">
        <f>COUNTIF(Vertices[Betweenness Centrality], "&gt;= " &amp; J29) - COUNTIF(Vertices[Betweenness Centrality], "&gt;=" &amp; J30)</f>
        <v>0</v>
      </c>
      <c r="L29" s="41">
        <f t="shared" si="5"/>
        <v>0</v>
      </c>
      <c r="M29" s="42">
        <f>COUNTIF(Vertices[Closeness Centrality], "&gt;= " &amp; L29) - COUNTIF(Vertices[Closeness Centrality], "&gt;=" &amp; L30)</f>
        <v>0</v>
      </c>
      <c r="N29" s="41">
        <f t="shared" si="6"/>
        <v>0</v>
      </c>
      <c r="O29" s="42">
        <f>COUNTIF(Vertices[Eigenvector Centrality], "&gt;= " &amp; N29) - COUNTIF(Vertices[Eigenvector Centrality], "&gt;=" &amp; N30)</f>
        <v>0</v>
      </c>
      <c r="P29" s="41">
        <f t="shared" si="7"/>
        <v>0</v>
      </c>
      <c r="Q29" s="42">
        <f>COUNTIF(Vertices[PageRank], "&gt;= " &amp; P29) - COUNTIF(Vertices[PageRank], "&gt;=" &amp; P30)</f>
        <v>0</v>
      </c>
      <c r="R29" s="41">
        <f t="shared" si="8"/>
        <v>0</v>
      </c>
      <c r="S29" s="46">
        <f>COUNTIF(Vertices[Clustering Coefficient], "&gt;= " &amp; R29) - COUNTIF(Vertices[Clustering Coefficient], "&gt;=" &amp; R30)</f>
        <v>0</v>
      </c>
      <c r="T29" s="41">
        <f t="shared" ca="1" si="9"/>
        <v>6241.4660814861954</v>
      </c>
      <c r="U29" s="42">
        <f t="shared" ca="1" si="0"/>
        <v>0</v>
      </c>
    </row>
    <row r="30" spans="1:21" x14ac:dyDescent="0.3">
      <c r="A30" s="35"/>
      <c r="B30" s="35"/>
      <c r="D30" s="34">
        <f t="shared" si="1"/>
        <v>0</v>
      </c>
      <c r="E30" s="3">
        <f>COUNTIF(Vertices[Degree], "&gt;= " &amp; D30) - COUNTIF(Vertices[Degree], "&gt;=" &amp; D31)</f>
        <v>0</v>
      </c>
      <c r="F30" s="39">
        <f t="shared" si="2"/>
        <v>0</v>
      </c>
      <c r="G30" s="40">
        <f>COUNTIF(Vertices[In-Degree], "&gt;= " &amp; F30) - COUNTIF(Vertices[In-Degree], "&gt;=" &amp; F31)</f>
        <v>0</v>
      </c>
      <c r="H30" s="39">
        <f t="shared" si="3"/>
        <v>0</v>
      </c>
      <c r="I30" s="40">
        <f>COUNTIF(Vertices[Out-Degree], "&gt;= " &amp; H30) - COUNTIF(Vertices[Out-Degree], "&gt;=" &amp; H31)</f>
        <v>0</v>
      </c>
      <c r="J30" s="39">
        <f t="shared" si="4"/>
        <v>0</v>
      </c>
      <c r="K30" s="40">
        <f>COUNTIF(Vertices[Betweenness Centrality], "&gt;= " &amp; J30) - COUNTIF(Vertices[Betweenness Centrality], "&gt;=" &amp; J31)</f>
        <v>0</v>
      </c>
      <c r="L30" s="39">
        <f t="shared" si="5"/>
        <v>0</v>
      </c>
      <c r="M30" s="40">
        <f>COUNTIF(Vertices[Closeness Centrality], "&gt;= " &amp; L30) - COUNTIF(Vertices[Closeness Centrality], "&gt;=" &amp; L31)</f>
        <v>0</v>
      </c>
      <c r="N30" s="39">
        <f t="shared" si="6"/>
        <v>0</v>
      </c>
      <c r="O30" s="40">
        <f>COUNTIF(Vertices[Eigenvector Centrality], "&gt;= " &amp; N30) - COUNTIF(Vertices[Eigenvector Centrality], "&gt;=" &amp; N31)</f>
        <v>0</v>
      </c>
      <c r="P30" s="39">
        <f t="shared" si="7"/>
        <v>0</v>
      </c>
      <c r="Q30" s="40">
        <f>COUNTIF(Vertices[PageRank], "&gt;= " &amp; P30) - COUNTIF(Vertices[PageRank], "&gt;=" &amp; P31)</f>
        <v>0</v>
      </c>
      <c r="R30" s="39">
        <f t="shared" si="8"/>
        <v>0</v>
      </c>
      <c r="S30" s="45">
        <f>COUNTIF(Vertices[Clustering Coefficient], "&gt;= " &amp; R30) - COUNTIF(Vertices[Clustering Coefficient], "&gt;=" &amp; R31)</f>
        <v>0</v>
      </c>
      <c r="T30" s="39">
        <f t="shared" ca="1" si="9"/>
        <v>6467.5590827409651</v>
      </c>
      <c r="U30" s="40">
        <f t="shared" ca="1" si="0"/>
        <v>0</v>
      </c>
    </row>
    <row r="31" spans="1:21" x14ac:dyDescent="0.3">
      <c r="A31" s="35"/>
      <c r="B31" s="35"/>
      <c r="D31" s="34">
        <f t="shared" si="1"/>
        <v>0</v>
      </c>
      <c r="E31" s="3">
        <f>COUNTIF(Vertices[Degree], "&gt;= " &amp; D31) - COUNTIF(Vertices[Degree], "&gt;=" &amp; D32)</f>
        <v>0</v>
      </c>
      <c r="F31" s="41">
        <f t="shared" si="2"/>
        <v>0</v>
      </c>
      <c r="G31" s="42">
        <f>COUNTIF(Vertices[In-Degree], "&gt;= " &amp; F31) - COUNTIF(Vertices[In-Degree], "&gt;=" &amp; F32)</f>
        <v>0</v>
      </c>
      <c r="H31" s="41">
        <f t="shared" si="3"/>
        <v>0</v>
      </c>
      <c r="I31" s="42">
        <f>COUNTIF(Vertices[Out-Degree], "&gt;= " &amp; H31) - COUNTIF(Vertices[Out-Degree], "&gt;=" &amp; H32)</f>
        <v>0</v>
      </c>
      <c r="J31" s="41">
        <f t="shared" si="4"/>
        <v>0</v>
      </c>
      <c r="K31" s="42">
        <f>COUNTIF(Vertices[Betweenness Centrality], "&gt;= " &amp; J31) - COUNTIF(Vertices[Betweenness Centrality], "&gt;=" &amp; J32)</f>
        <v>0</v>
      </c>
      <c r="L31" s="41">
        <f t="shared" si="5"/>
        <v>0</v>
      </c>
      <c r="M31" s="42">
        <f>COUNTIF(Vertices[Closeness Centrality], "&gt;= " &amp; L31) - COUNTIF(Vertices[Closeness Centrality], "&gt;=" &amp; L32)</f>
        <v>0</v>
      </c>
      <c r="N31" s="41">
        <f t="shared" si="6"/>
        <v>0</v>
      </c>
      <c r="O31" s="42">
        <f>COUNTIF(Vertices[Eigenvector Centrality], "&gt;= " &amp; N31) - COUNTIF(Vertices[Eigenvector Centrality], "&gt;=" &amp; N32)</f>
        <v>0</v>
      </c>
      <c r="P31" s="41">
        <f t="shared" si="7"/>
        <v>0</v>
      </c>
      <c r="Q31" s="42">
        <f>COUNTIF(Vertices[PageRank], "&gt;= " &amp; P31) - COUNTIF(Vertices[PageRank], "&gt;=" &amp; P32)</f>
        <v>0</v>
      </c>
      <c r="R31" s="41">
        <f t="shared" si="8"/>
        <v>0</v>
      </c>
      <c r="S31" s="46">
        <f>COUNTIF(Vertices[Clustering Coefficient], "&gt;= " &amp; R31) - COUNTIF(Vertices[Clustering Coefficient], "&gt;=" &amp; R32)</f>
        <v>0</v>
      </c>
      <c r="T31" s="41">
        <f t="shared" ca="1" si="9"/>
        <v>6693.6520839957348</v>
      </c>
      <c r="U31" s="42">
        <f t="shared" ca="1" si="0"/>
        <v>0</v>
      </c>
    </row>
    <row r="32" spans="1:21" x14ac:dyDescent="0.3">
      <c r="A32" s="35"/>
      <c r="B32" s="35"/>
      <c r="D32" s="34">
        <f t="shared" si="1"/>
        <v>0</v>
      </c>
      <c r="E32" s="3">
        <f>COUNTIF(Vertices[Degree], "&gt;= " &amp; D32) - COUNTIF(Vertices[Degree], "&gt;=" &amp; D33)</f>
        <v>0</v>
      </c>
      <c r="F32" s="39">
        <f t="shared" si="2"/>
        <v>0</v>
      </c>
      <c r="G32" s="40">
        <f>COUNTIF(Vertices[In-Degree], "&gt;= " &amp; F32) - COUNTIF(Vertices[In-Degree], "&gt;=" &amp; F33)</f>
        <v>0</v>
      </c>
      <c r="H32" s="39">
        <f t="shared" si="3"/>
        <v>0</v>
      </c>
      <c r="I32" s="40">
        <f>COUNTIF(Vertices[Out-Degree], "&gt;= " &amp; H32) - COUNTIF(Vertices[Out-Degree], "&gt;=" &amp; H33)</f>
        <v>0</v>
      </c>
      <c r="J32" s="39">
        <f t="shared" si="4"/>
        <v>0</v>
      </c>
      <c r="K32" s="40">
        <f>COUNTIF(Vertices[Betweenness Centrality], "&gt;= " &amp; J32) - COUNTIF(Vertices[Betweenness Centrality], "&gt;=" &amp; J33)</f>
        <v>0</v>
      </c>
      <c r="L32" s="39">
        <f t="shared" si="5"/>
        <v>0</v>
      </c>
      <c r="M32" s="40">
        <f>COUNTIF(Vertices[Closeness Centrality], "&gt;= " &amp; L32) - COUNTIF(Vertices[Closeness Centrality], "&gt;=" &amp; L33)</f>
        <v>0</v>
      </c>
      <c r="N32" s="39">
        <f t="shared" si="6"/>
        <v>0</v>
      </c>
      <c r="O32" s="40">
        <f>COUNTIF(Vertices[Eigenvector Centrality], "&gt;= " &amp; N32) - COUNTIF(Vertices[Eigenvector Centrality], "&gt;=" &amp; N33)</f>
        <v>0</v>
      </c>
      <c r="P32" s="39">
        <f t="shared" si="7"/>
        <v>0</v>
      </c>
      <c r="Q32" s="40">
        <f>COUNTIF(Vertices[PageRank], "&gt;= " &amp; P32) - COUNTIF(Vertices[PageRank], "&gt;=" &amp; P33)</f>
        <v>0</v>
      </c>
      <c r="R32" s="39">
        <f t="shared" si="8"/>
        <v>0</v>
      </c>
      <c r="S32" s="45">
        <f>COUNTIF(Vertices[Clustering Coefficient], "&gt;= " &amp; R32) - COUNTIF(Vertices[Clustering Coefficient], "&gt;=" &amp; R33)</f>
        <v>0</v>
      </c>
      <c r="T32" s="39">
        <f t="shared" ca="1" si="9"/>
        <v>6919.7450852505044</v>
      </c>
      <c r="U32" s="40">
        <f t="shared" ca="1" si="0"/>
        <v>0</v>
      </c>
    </row>
    <row r="33" spans="1:21" x14ac:dyDescent="0.3">
      <c r="D33" s="34">
        <f t="shared" si="1"/>
        <v>0</v>
      </c>
      <c r="E33" s="3">
        <f>COUNTIF(Vertices[Degree], "&gt;= " &amp; D33) - COUNTIF(Vertices[Degree], "&gt;=" &amp; D34)</f>
        <v>0</v>
      </c>
      <c r="F33" s="41">
        <f t="shared" si="2"/>
        <v>0</v>
      </c>
      <c r="G33" s="42">
        <f>COUNTIF(Vertices[In-Degree], "&gt;= " &amp; F33) - COUNTIF(Vertices[In-Degree], "&gt;=" &amp; F34)</f>
        <v>0</v>
      </c>
      <c r="H33" s="41">
        <f t="shared" si="3"/>
        <v>0</v>
      </c>
      <c r="I33" s="42">
        <f>COUNTIF(Vertices[Out-Degree], "&gt;= " &amp; H33) - COUNTIF(Vertices[Out-Degree], "&gt;=" &amp; H34)</f>
        <v>0</v>
      </c>
      <c r="J33" s="41">
        <f t="shared" si="4"/>
        <v>0</v>
      </c>
      <c r="K33" s="42">
        <f>COUNTIF(Vertices[Betweenness Centrality], "&gt;= " &amp; J33) - COUNTIF(Vertices[Betweenness Centrality], "&gt;=" &amp; J34)</f>
        <v>0</v>
      </c>
      <c r="L33" s="41">
        <f t="shared" si="5"/>
        <v>0</v>
      </c>
      <c r="M33" s="42">
        <f>COUNTIF(Vertices[Closeness Centrality], "&gt;= " &amp; L33) - COUNTIF(Vertices[Closeness Centrality], "&gt;=" &amp; L34)</f>
        <v>0</v>
      </c>
      <c r="N33" s="41">
        <f t="shared" si="6"/>
        <v>0</v>
      </c>
      <c r="O33" s="42">
        <f>COUNTIF(Vertices[Eigenvector Centrality], "&gt;= " &amp; N33) - COUNTIF(Vertices[Eigenvector Centrality], "&gt;=" &amp; N34)</f>
        <v>0</v>
      </c>
      <c r="P33" s="41">
        <f t="shared" si="7"/>
        <v>0</v>
      </c>
      <c r="Q33" s="42">
        <f>COUNTIF(Vertices[PageRank], "&gt;= " &amp; P33) - COUNTIF(Vertices[PageRank], "&gt;=" &amp; P34)</f>
        <v>0</v>
      </c>
      <c r="R33" s="41">
        <f t="shared" si="8"/>
        <v>0</v>
      </c>
      <c r="S33" s="46">
        <f>COUNTIF(Vertices[Clustering Coefficient], "&gt;= " &amp; R33) - COUNTIF(Vertices[Clustering Coefficient], "&gt;=" &amp; R34)</f>
        <v>0</v>
      </c>
      <c r="T33" s="41">
        <f t="shared" ca="1" si="9"/>
        <v>7145.8380865052741</v>
      </c>
      <c r="U33" s="42">
        <f t="shared" ca="1" si="0"/>
        <v>0</v>
      </c>
    </row>
    <row r="34" spans="1:21" x14ac:dyDescent="0.3">
      <c r="D34" s="34">
        <f t="shared" si="1"/>
        <v>0</v>
      </c>
      <c r="E34" s="3">
        <f>COUNTIF(Vertices[Degree], "&gt;= " &amp; D34) - COUNTIF(Vertices[Degree], "&gt;=" &amp; D35)</f>
        <v>0</v>
      </c>
      <c r="F34" s="39">
        <f t="shared" si="2"/>
        <v>0</v>
      </c>
      <c r="G34" s="40">
        <f>COUNTIF(Vertices[In-Degree], "&gt;= " &amp; F34) - COUNTIF(Vertices[In-Degree], "&gt;=" &amp; F35)</f>
        <v>0</v>
      </c>
      <c r="H34" s="39">
        <f t="shared" si="3"/>
        <v>0</v>
      </c>
      <c r="I34" s="40">
        <f>COUNTIF(Vertices[Out-Degree], "&gt;= " &amp; H34) - COUNTIF(Vertices[Out-Degree], "&gt;=" &amp; H35)</f>
        <v>0</v>
      </c>
      <c r="J34" s="39">
        <f t="shared" si="4"/>
        <v>0</v>
      </c>
      <c r="K34" s="40">
        <f>COUNTIF(Vertices[Betweenness Centrality], "&gt;= " &amp; J34) - COUNTIF(Vertices[Betweenness Centrality], "&gt;=" &amp; J35)</f>
        <v>0</v>
      </c>
      <c r="L34" s="39">
        <f t="shared" si="5"/>
        <v>0</v>
      </c>
      <c r="M34" s="40">
        <f>COUNTIF(Vertices[Closeness Centrality], "&gt;= " &amp; L34) - COUNTIF(Vertices[Closeness Centrality], "&gt;=" &amp; L35)</f>
        <v>0</v>
      </c>
      <c r="N34" s="39">
        <f t="shared" si="6"/>
        <v>0</v>
      </c>
      <c r="O34" s="40">
        <f>COUNTIF(Vertices[Eigenvector Centrality], "&gt;= " &amp; N34) - COUNTIF(Vertices[Eigenvector Centrality], "&gt;=" &amp; N35)</f>
        <v>0</v>
      </c>
      <c r="P34" s="39">
        <f t="shared" si="7"/>
        <v>0</v>
      </c>
      <c r="Q34" s="40">
        <f>COUNTIF(Vertices[PageRank], "&gt;= " &amp; P34) - COUNTIF(Vertices[PageRank], "&gt;=" &amp; P35)</f>
        <v>0</v>
      </c>
      <c r="R34" s="39">
        <f t="shared" si="8"/>
        <v>0</v>
      </c>
      <c r="S34" s="45">
        <f>COUNTIF(Vertices[Clustering Coefficient], "&gt;= " &amp; R34) - COUNTIF(Vertices[Clustering Coefficient], "&gt;=" &amp; R35)</f>
        <v>0</v>
      </c>
      <c r="T34" s="39">
        <f t="shared" ca="1" si="9"/>
        <v>7371.9310877600437</v>
      </c>
      <c r="U34" s="40">
        <f t="shared" ca="1" si="0"/>
        <v>1</v>
      </c>
    </row>
    <row r="35" spans="1:21" x14ac:dyDescent="0.3">
      <c r="D35" s="34">
        <f t="shared" si="1"/>
        <v>0</v>
      </c>
      <c r="E35" s="3">
        <f>COUNTIF(Vertices[Degree], "&gt;= " &amp; D35) - COUNTIF(Vertices[Degree], "&gt;=" &amp; D36)</f>
        <v>0</v>
      </c>
      <c r="F35" s="41">
        <f t="shared" si="2"/>
        <v>0</v>
      </c>
      <c r="G35" s="42">
        <f>COUNTIF(Vertices[In-Degree], "&gt;= " &amp; F35) - COUNTIF(Vertices[In-Degree], "&gt;=" &amp; F36)</f>
        <v>0</v>
      </c>
      <c r="H35" s="41">
        <f t="shared" si="3"/>
        <v>0</v>
      </c>
      <c r="I35" s="42">
        <f>COUNTIF(Vertices[Out-Degree], "&gt;= " &amp; H35) - COUNTIF(Vertices[Out-Degree], "&gt;=" &amp; H36)</f>
        <v>0</v>
      </c>
      <c r="J35" s="41">
        <f t="shared" si="4"/>
        <v>0</v>
      </c>
      <c r="K35" s="42">
        <f>COUNTIF(Vertices[Betweenness Centrality], "&gt;= " &amp; J35) - COUNTIF(Vertices[Betweenness Centrality], "&gt;=" &amp; J36)</f>
        <v>0</v>
      </c>
      <c r="L35" s="41">
        <f t="shared" si="5"/>
        <v>0</v>
      </c>
      <c r="M35" s="42">
        <f>COUNTIF(Vertices[Closeness Centrality], "&gt;= " &amp; L35) - COUNTIF(Vertices[Closeness Centrality], "&gt;=" &amp; L36)</f>
        <v>0</v>
      </c>
      <c r="N35" s="41">
        <f t="shared" si="6"/>
        <v>0</v>
      </c>
      <c r="O35" s="42">
        <f>COUNTIF(Vertices[Eigenvector Centrality], "&gt;= " &amp; N35) - COUNTIF(Vertices[Eigenvector Centrality], "&gt;=" &amp; N36)</f>
        <v>0</v>
      </c>
      <c r="P35" s="41">
        <f t="shared" si="7"/>
        <v>0</v>
      </c>
      <c r="Q35" s="42">
        <f>COUNTIF(Vertices[PageRank], "&gt;= " &amp; P35) - COUNTIF(Vertices[PageRank], "&gt;=" &amp; P36)</f>
        <v>0</v>
      </c>
      <c r="R35" s="41">
        <f t="shared" si="8"/>
        <v>0</v>
      </c>
      <c r="S35" s="46">
        <f>COUNTIF(Vertices[Clustering Coefficient], "&gt;= " &amp; R35) - COUNTIF(Vertices[Clustering Coefficient], "&gt;=" &amp; R36)</f>
        <v>0</v>
      </c>
      <c r="T35" s="41">
        <f t="shared" ca="1" si="9"/>
        <v>7598.0240890148134</v>
      </c>
      <c r="U35" s="42">
        <f t="shared" ca="1" si="0"/>
        <v>1</v>
      </c>
    </row>
    <row r="36" spans="1:21" x14ac:dyDescent="0.3">
      <c r="D36" s="34">
        <f t="shared" si="1"/>
        <v>0</v>
      </c>
      <c r="E36" s="3">
        <f>COUNTIF(Vertices[Degree], "&gt;= " &amp; D36) - COUNTIF(Vertices[Degree], "&gt;=" &amp; D37)</f>
        <v>0</v>
      </c>
      <c r="F36" s="39">
        <f t="shared" si="2"/>
        <v>0</v>
      </c>
      <c r="G36" s="40">
        <f>COUNTIF(Vertices[In-Degree], "&gt;= " &amp; F36) - COUNTIF(Vertices[In-Degree], "&gt;=" &amp; F37)</f>
        <v>0</v>
      </c>
      <c r="H36" s="39">
        <f t="shared" si="3"/>
        <v>0</v>
      </c>
      <c r="I36" s="40">
        <f>COUNTIF(Vertices[Out-Degree], "&gt;= " &amp; H36) - COUNTIF(Vertices[Out-Degree], "&gt;=" &amp; H37)</f>
        <v>0</v>
      </c>
      <c r="J36" s="39">
        <f t="shared" si="4"/>
        <v>0</v>
      </c>
      <c r="K36" s="40">
        <f>COUNTIF(Vertices[Betweenness Centrality], "&gt;= " &amp; J36) - COUNTIF(Vertices[Betweenness Centrality], "&gt;=" &amp; J37)</f>
        <v>0</v>
      </c>
      <c r="L36" s="39">
        <f t="shared" si="5"/>
        <v>0</v>
      </c>
      <c r="M36" s="40">
        <f>COUNTIF(Vertices[Closeness Centrality], "&gt;= " &amp; L36) - COUNTIF(Vertices[Closeness Centrality], "&gt;=" &amp; L37)</f>
        <v>0</v>
      </c>
      <c r="N36" s="39">
        <f t="shared" si="6"/>
        <v>0</v>
      </c>
      <c r="O36" s="40">
        <f>COUNTIF(Vertices[Eigenvector Centrality], "&gt;= " &amp; N36) - COUNTIF(Vertices[Eigenvector Centrality], "&gt;=" &amp; N37)</f>
        <v>0</v>
      </c>
      <c r="P36" s="39">
        <f t="shared" si="7"/>
        <v>0</v>
      </c>
      <c r="Q36" s="40">
        <f>COUNTIF(Vertices[PageRank], "&gt;= " &amp; P36) - COUNTIF(Vertices[PageRank], "&gt;=" &amp; P37)</f>
        <v>0</v>
      </c>
      <c r="R36" s="39">
        <f t="shared" si="8"/>
        <v>0</v>
      </c>
      <c r="S36" s="45">
        <f>COUNTIF(Vertices[Clustering Coefficient], "&gt;= " &amp; R36) - COUNTIF(Vertices[Clustering Coefficient], "&gt;=" &amp; R37)</f>
        <v>0</v>
      </c>
      <c r="T36" s="39">
        <f t="shared" ca="1" si="9"/>
        <v>7824.1170902695831</v>
      </c>
      <c r="U36" s="40">
        <f t="shared" ca="1" si="0"/>
        <v>1</v>
      </c>
    </row>
    <row r="37" spans="1:21" x14ac:dyDescent="0.3">
      <c r="D37" s="34">
        <f t="shared" si="1"/>
        <v>0</v>
      </c>
      <c r="E37" s="3">
        <f>COUNTIF(Vertices[Degree], "&gt;= " &amp; D37) - COUNTIF(Vertices[Degree], "&gt;=" &amp; D38)</f>
        <v>0</v>
      </c>
      <c r="F37" s="41">
        <f t="shared" si="2"/>
        <v>0</v>
      </c>
      <c r="G37" s="42">
        <f>COUNTIF(Vertices[In-Degree], "&gt;= " &amp; F37) - COUNTIF(Vertices[In-Degree], "&gt;=" &amp; F38)</f>
        <v>0</v>
      </c>
      <c r="H37" s="41">
        <f t="shared" si="3"/>
        <v>0</v>
      </c>
      <c r="I37" s="42">
        <f>COUNTIF(Vertices[Out-Degree], "&gt;= " &amp; H37) - COUNTIF(Vertices[Out-Degree], "&gt;=" &amp; H38)</f>
        <v>0</v>
      </c>
      <c r="J37" s="41">
        <f t="shared" si="4"/>
        <v>0</v>
      </c>
      <c r="K37" s="42">
        <f>COUNTIF(Vertices[Betweenness Centrality], "&gt;= " &amp; J37) - COUNTIF(Vertices[Betweenness Centrality], "&gt;=" &amp; J38)</f>
        <v>0</v>
      </c>
      <c r="L37" s="41">
        <f t="shared" si="5"/>
        <v>0</v>
      </c>
      <c r="M37" s="42">
        <f>COUNTIF(Vertices[Closeness Centrality], "&gt;= " &amp; L37) - COUNTIF(Vertices[Closeness Centrality], "&gt;=" &amp; L38)</f>
        <v>0</v>
      </c>
      <c r="N37" s="41">
        <f t="shared" si="6"/>
        <v>0</v>
      </c>
      <c r="O37" s="42">
        <f>COUNTIF(Vertices[Eigenvector Centrality], "&gt;= " &amp; N37) - COUNTIF(Vertices[Eigenvector Centrality], "&gt;=" &amp; N38)</f>
        <v>0</v>
      </c>
      <c r="P37" s="41">
        <f t="shared" si="7"/>
        <v>0</v>
      </c>
      <c r="Q37" s="42">
        <f>COUNTIF(Vertices[PageRank], "&gt;= " &amp; P37) - COUNTIF(Vertices[PageRank], "&gt;=" &amp; P38)</f>
        <v>0</v>
      </c>
      <c r="R37" s="41">
        <f t="shared" si="8"/>
        <v>0</v>
      </c>
      <c r="S37" s="46">
        <f>COUNTIF(Vertices[Clustering Coefficient], "&gt;= " &amp; R37) - COUNTIF(Vertices[Clustering Coefficient], "&gt;=" &amp; R38)</f>
        <v>0</v>
      </c>
      <c r="T37" s="41">
        <f t="shared" ca="1" si="9"/>
        <v>8050.2100915243527</v>
      </c>
      <c r="U37" s="42">
        <f t="shared" ca="1" si="0"/>
        <v>0</v>
      </c>
    </row>
    <row r="38" spans="1:21" x14ac:dyDescent="0.3">
      <c r="D38" s="34">
        <f t="shared" si="1"/>
        <v>0</v>
      </c>
      <c r="E38" s="3">
        <f>COUNTIF(Vertices[Degree], "&gt;= " &amp; D38) - COUNTIF(Vertices[Degree], "&gt;=" &amp; D39)</f>
        <v>0</v>
      </c>
      <c r="F38" s="39">
        <f t="shared" si="2"/>
        <v>0</v>
      </c>
      <c r="G38" s="40">
        <f>COUNTIF(Vertices[In-Degree], "&gt;= " &amp; F38) - COUNTIF(Vertices[In-Degree], "&gt;=" &amp; F39)</f>
        <v>0</v>
      </c>
      <c r="H38" s="39">
        <f t="shared" si="3"/>
        <v>0</v>
      </c>
      <c r="I38" s="40">
        <f>COUNTIF(Vertices[Out-Degree], "&gt;= " &amp; H38) - COUNTIF(Vertices[Out-Degree], "&gt;=" &amp; H39)</f>
        <v>0</v>
      </c>
      <c r="J38" s="39">
        <f t="shared" si="4"/>
        <v>0</v>
      </c>
      <c r="K38" s="40">
        <f>COUNTIF(Vertices[Betweenness Centrality], "&gt;= " &amp; J38) - COUNTIF(Vertices[Betweenness Centrality], "&gt;=" &amp; J39)</f>
        <v>0</v>
      </c>
      <c r="L38" s="39">
        <f t="shared" si="5"/>
        <v>0</v>
      </c>
      <c r="M38" s="40">
        <f>COUNTIF(Vertices[Closeness Centrality], "&gt;= " &amp; L38) - COUNTIF(Vertices[Closeness Centrality], "&gt;=" &amp; L39)</f>
        <v>0</v>
      </c>
      <c r="N38" s="39">
        <f t="shared" si="6"/>
        <v>0</v>
      </c>
      <c r="O38" s="40">
        <f>COUNTIF(Vertices[Eigenvector Centrality], "&gt;= " &amp; N38) - COUNTIF(Vertices[Eigenvector Centrality], "&gt;=" &amp; N39)</f>
        <v>0</v>
      </c>
      <c r="P38" s="39">
        <f t="shared" si="7"/>
        <v>0</v>
      </c>
      <c r="Q38" s="40">
        <f>COUNTIF(Vertices[PageRank], "&gt;= " &amp; P38) - COUNTIF(Vertices[PageRank], "&gt;=" &amp; P39)</f>
        <v>0</v>
      </c>
      <c r="R38" s="39">
        <f t="shared" si="8"/>
        <v>0</v>
      </c>
      <c r="S38" s="45">
        <f>COUNTIF(Vertices[Clustering Coefficient], "&gt;= " &amp; R38) - COUNTIF(Vertices[Clustering Coefficient], "&gt;=" &amp; R39)</f>
        <v>0</v>
      </c>
      <c r="T38" s="39">
        <f t="shared" ca="1" si="9"/>
        <v>8276.3030927791224</v>
      </c>
      <c r="U38" s="40">
        <f t="shared" ca="1" si="0"/>
        <v>0</v>
      </c>
    </row>
    <row r="39" spans="1:21" x14ac:dyDescent="0.3">
      <c r="D39" s="34">
        <f t="shared" si="1"/>
        <v>0</v>
      </c>
      <c r="E39" s="3">
        <f>COUNTIF(Vertices[Degree], "&gt;= " &amp; D39) - COUNTIF(Vertices[Degree], "&gt;=" &amp; D40)</f>
        <v>0</v>
      </c>
      <c r="F39" s="41">
        <f t="shared" si="2"/>
        <v>0</v>
      </c>
      <c r="G39" s="42">
        <f>COUNTIF(Vertices[In-Degree], "&gt;= " &amp; F39) - COUNTIF(Vertices[In-Degree], "&gt;=" &amp; F40)</f>
        <v>0</v>
      </c>
      <c r="H39" s="41">
        <f t="shared" si="3"/>
        <v>0</v>
      </c>
      <c r="I39" s="42">
        <f>COUNTIF(Vertices[Out-Degree], "&gt;= " &amp; H39) - COUNTIF(Vertices[Out-Degree], "&gt;=" &amp; H40)</f>
        <v>0</v>
      </c>
      <c r="J39" s="41">
        <f t="shared" si="4"/>
        <v>0</v>
      </c>
      <c r="K39" s="42">
        <f>COUNTIF(Vertices[Betweenness Centrality], "&gt;= " &amp; J39) - COUNTIF(Vertices[Betweenness Centrality], "&gt;=" &amp; J40)</f>
        <v>0</v>
      </c>
      <c r="L39" s="41">
        <f t="shared" si="5"/>
        <v>0</v>
      </c>
      <c r="M39" s="42">
        <f>COUNTIF(Vertices[Closeness Centrality], "&gt;= " &amp; L39) - COUNTIF(Vertices[Closeness Centrality], "&gt;=" &amp; L40)</f>
        <v>0</v>
      </c>
      <c r="N39" s="41">
        <f t="shared" si="6"/>
        <v>0</v>
      </c>
      <c r="O39" s="42">
        <f>COUNTIF(Vertices[Eigenvector Centrality], "&gt;= " &amp; N39) - COUNTIF(Vertices[Eigenvector Centrality], "&gt;=" &amp; N40)</f>
        <v>0</v>
      </c>
      <c r="P39" s="41">
        <f t="shared" si="7"/>
        <v>0</v>
      </c>
      <c r="Q39" s="42">
        <f>COUNTIF(Vertices[PageRank], "&gt;= " &amp; P39) - COUNTIF(Vertices[PageRank], "&gt;=" &amp; P40)</f>
        <v>0</v>
      </c>
      <c r="R39" s="41">
        <f t="shared" si="8"/>
        <v>0</v>
      </c>
      <c r="S39" s="46">
        <f>COUNTIF(Vertices[Clustering Coefficient], "&gt;= " &amp; R39) - COUNTIF(Vertices[Clustering Coefficient], "&gt;=" &amp; R40)</f>
        <v>0</v>
      </c>
      <c r="T39" s="41">
        <f t="shared" ca="1" si="9"/>
        <v>8502.3960940338911</v>
      </c>
      <c r="U39" s="42">
        <f t="shared" ca="1" si="0"/>
        <v>0</v>
      </c>
    </row>
    <row r="40" spans="1:21" x14ac:dyDescent="0.3">
      <c r="D40" s="34">
        <f t="shared" si="1"/>
        <v>0</v>
      </c>
      <c r="E40" s="3">
        <f>COUNTIF(Vertices[Degree], "&gt;= " &amp; D40) - COUNTIF(Vertices[Degree], "&gt;=" &amp; D41)</f>
        <v>0</v>
      </c>
      <c r="F40" s="39">
        <f t="shared" si="2"/>
        <v>0</v>
      </c>
      <c r="G40" s="40">
        <f>COUNTIF(Vertices[In-Degree], "&gt;= " &amp; F40) - COUNTIF(Vertices[In-Degree], "&gt;=" &amp; F41)</f>
        <v>0</v>
      </c>
      <c r="H40" s="39">
        <f t="shared" si="3"/>
        <v>0</v>
      </c>
      <c r="I40" s="40">
        <f>COUNTIF(Vertices[Out-Degree], "&gt;= " &amp; H40) - COUNTIF(Vertices[Out-Degree], "&gt;=" &amp; H41)</f>
        <v>0</v>
      </c>
      <c r="J40" s="39">
        <f t="shared" si="4"/>
        <v>0</v>
      </c>
      <c r="K40" s="40">
        <f>COUNTIF(Vertices[Betweenness Centrality], "&gt;= " &amp; J40) - COUNTIF(Vertices[Betweenness Centrality], "&gt;=" &amp; J41)</f>
        <v>0</v>
      </c>
      <c r="L40" s="39">
        <f t="shared" si="5"/>
        <v>0</v>
      </c>
      <c r="M40" s="40">
        <f>COUNTIF(Vertices[Closeness Centrality], "&gt;= " &amp; L40) - COUNTIF(Vertices[Closeness Centrality], "&gt;=" &amp; L41)</f>
        <v>0</v>
      </c>
      <c r="N40" s="39">
        <f t="shared" si="6"/>
        <v>0</v>
      </c>
      <c r="O40" s="40">
        <f>COUNTIF(Vertices[Eigenvector Centrality], "&gt;= " &amp; N40) - COUNTIF(Vertices[Eigenvector Centrality], "&gt;=" &amp; N41)</f>
        <v>0</v>
      </c>
      <c r="P40" s="39">
        <f t="shared" si="7"/>
        <v>0</v>
      </c>
      <c r="Q40" s="40">
        <f>COUNTIF(Vertices[PageRank], "&gt;= " &amp; P40) - COUNTIF(Vertices[PageRank], "&gt;=" &amp; P41)</f>
        <v>0</v>
      </c>
      <c r="R40" s="39">
        <f t="shared" si="8"/>
        <v>0</v>
      </c>
      <c r="S40" s="45">
        <f>COUNTIF(Vertices[Clustering Coefficient], "&gt;= " &amp; R40) - COUNTIF(Vertices[Clustering Coefficient], "&gt;=" &amp; R41)</f>
        <v>0</v>
      </c>
      <c r="T40" s="39">
        <f t="shared" ca="1" si="9"/>
        <v>8728.4890952886599</v>
      </c>
      <c r="U40" s="40">
        <f t="shared" ca="1" si="0"/>
        <v>0</v>
      </c>
    </row>
    <row r="41" spans="1:21" x14ac:dyDescent="0.3">
      <c r="D41" s="34">
        <f t="shared" si="1"/>
        <v>0</v>
      </c>
      <c r="E41" s="3">
        <f>COUNTIF(Vertices[Degree], "&gt;= " &amp; D41) - COUNTIF(Vertices[Degree], "&gt;=" &amp; D42)</f>
        <v>0</v>
      </c>
      <c r="F41" s="41">
        <f t="shared" si="2"/>
        <v>0</v>
      </c>
      <c r="G41" s="42">
        <f>COUNTIF(Vertices[In-Degree], "&gt;= " &amp; F41) - COUNTIF(Vertices[In-Degree], "&gt;=" &amp; F42)</f>
        <v>0</v>
      </c>
      <c r="H41" s="41">
        <f t="shared" si="3"/>
        <v>0</v>
      </c>
      <c r="I41" s="42">
        <f>COUNTIF(Vertices[Out-Degree], "&gt;= " &amp; H41) - COUNTIF(Vertices[Out-Degree], "&gt;=" &amp; H42)</f>
        <v>0</v>
      </c>
      <c r="J41" s="41">
        <f t="shared" si="4"/>
        <v>0</v>
      </c>
      <c r="K41" s="42">
        <f>COUNTIF(Vertices[Betweenness Centrality], "&gt;= " &amp; J41) - COUNTIF(Vertices[Betweenness Centrality], "&gt;=" &amp; J42)</f>
        <v>0</v>
      </c>
      <c r="L41" s="41">
        <f t="shared" si="5"/>
        <v>0</v>
      </c>
      <c r="M41" s="42">
        <f>COUNTIF(Vertices[Closeness Centrality], "&gt;= " &amp; L41) - COUNTIF(Vertices[Closeness Centrality], "&gt;=" &amp; L42)</f>
        <v>0</v>
      </c>
      <c r="N41" s="41">
        <f t="shared" si="6"/>
        <v>0</v>
      </c>
      <c r="O41" s="42">
        <f>COUNTIF(Vertices[Eigenvector Centrality], "&gt;= " &amp; N41) - COUNTIF(Vertices[Eigenvector Centrality], "&gt;=" &amp; N42)</f>
        <v>0</v>
      </c>
      <c r="P41" s="41">
        <f t="shared" si="7"/>
        <v>0</v>
      </c>
      <c r="Q41" s="42">
        <f>COUNTIF(Vertices[PageRank], "&gt;= " &amp; P41) - COUNTIF(Vertices[PageRank], "&gt;=" &amp; P42)</f>
        <v>0</v>
      </c>
      <c r="R41" s="41">
        <f t="shared" si="8"/>
        <v>0</v>
      </c>
      <c r="S41" s="46">
        <f>COUNTIF(Vertices[Clustering Coefficient], "&gt;= " &amp; R41) - COUNTIF(Vertices[Clustering Coefficient], "&gt;=" &amp; R42)</f>
        <v>0</v>
      </c>
      <c r="T41" s="41">
        <f t="shared" ca="1" si="9"/>
        <v>8954.5820965434286</v>
      </c>
      <c r="U41" s="42">
        <f t="shared" ca="1" si="0"/>
        <v>1</v>
      </c>
    </row>
    <row r="42" spans="1:21" x14ac:dyDescent="0.3">
      <c r="D42" s="34">
        <f t="shared" si="1"/>
        <v>0</v>
      </c>
      <c r="E42" s="3">
        <f>COUNTIF(Vertices[Degree], "&gt;= " &amp; D42) - COUNTIF(Vertices[Degree], "&gt;=" &amp; D43)</f>
        <v>0</v>
      </c>
      <c r="F42" s="39">
        <f t="shared" si="2"/>
        <v>0</v>
      </c>
      <c r="G42" s="40">
        <f>COUNTIF(Vertices[In-Degree], "&gt;= " &amp; F42) - COUNTIF(Vertices[In-Degree], "&gt;=" &amp; F43)</f>
        <v>0</v>
      </c>
      <c r="H42" s="39">
        <f t="shared" si="3"/>
        <v>0</v>
      </c>
      <c r="I42" s="40">
        <f>COUNTIF(Vertices[Out-Degree], "&gt;= " &amp; H42) - COUNTIF(Vertices[Out-Degree], "&gt;=" &amp; H43)</f>
        <v>0</v>
      </c>
      <c r="J42" s="39">
        <f t="shared" si="4"/>
        <v>0</v>
      </c>
      <c r="K42" s="40">
        <f>COUNTIF(Vertices[Betweenness Centrality], "&gt;= " &amp; J42) - COUNTIF(Vertices[Betweenness Centrality], "&gt;=" &amp; J43)</f>
        <v>0</v>
      </c>
      <c r="L42" s="39">
        <f t="shared" si="5"/>
        <v>0</v>
      </c>
      <c r="M42" s="40">
        <f>COUNTIF(Vertices[Closeness Centrality], "&gt;= " &amp; L42) - COUNTIF(Vertices[Closeness Centrality], "&gt;=" &amp; L43)</f>
        <v>0</v>
      </c>
      <c r="N42" s="39">
        <f t="shared" si="6"/>
        <v>0</v>
      </c>
      <c r="O42" s="40">
        <f>COUNTIF(Vertices[Eigenvector Centrality], "&gt;= " &amp; N42) - COUNTIF(Vertices[Eigenvector Centrality], "&gt;=" &amp; N43)</f>
        <v>0</v>
      </c>
      <c r="P42" s="39">
        <f t="shared" si="7"/>
        <v>0</v>
      </c>
      <c r="Q42" s="40">
        <f>COUNTIF(Vertices[PageRank], "&gt;= " &amp; P42) - COUNTIF(Vertices[PageRank], "&gt;=" &amp; P43)</f>
        <v>0</v>
      </c>
      <c r="R42" s="39">
        <f t="shared" si="8"/>
        <v>0</v>
      </c>
      <c r="S42" s="45">
        <f>COUNTIF(Vertices[Clustering Coefficient], "&gt;= " &amp; R42) - COUNTIF(Vertices[Clustering Coefficient], "&gt;=" &amp; R43)</f>
        <v>0</v>
      </c>
      <c r="T42" s="39">
        <f t="shared" ca="1" si="9"/>
        <v>9180.6750977981974</v>
      </c>
      <c r="U42" s="40">
        <f t="shared" ca="1" si="0"/>
        <v>1</v>
      </c>
    </row>
    <row r="43" spans="1:21" x14ac:dyDescent="0.3">
      <c r="A43" s="35" t="s">
        <v>82</v>
      </c>
      <c r="B43" s="48" t="str">
        <f>IF(COUNT(Vertices[Degree])&gt;0, D2, NoMetricMessage)</f>
        <v>Not Available</v>
      </c>
      <c r="D43" s="34">
        <f t="shared" si="1"/>
        <v>0</v>
      </c>
      <c r="E43" s="3">
        <f>COUNTIF(Vertices[Degree], "&gt;= " &amp; D43) - COUNTIF(Vertices[Degree], "&gt;=" &amp; D44)</f>
        <v>0</v>
      </c>
      <c r="F43" s="41">
        <f t="shared" si="2"/>
        <v>0</v>
      </c>
      <c r="G43" s="42">
        <f>COUNTIF(Vertices[In-Degree], "&gt;= " &amp; F43) - COUNTIF(Vertices[In-Degree], "&gt;=" &amp; F44)</f>
        <v>0</v>
      </c>
      <c r="H43" s="41">
        <f t="shared" si="3"/>
        <v>0</v>
      </c>
      <c r="I43" s="42">
        <f>COUNTIF(Vertices[Out-Degree], "&gt;= " &amp; H43) - COUNTIF(Vertices[Out-Degree], "&gt;=" &amp; H44)</f>
        <v>0</v>
      </c>
      <c r="J43" s="41">
        <f t="shared" si="4"/>
        <v>0</v>
      </c>
      <c r="K43" s="42">
        <f>COUNTIF(Vertices[Betweenness Centrality], "&gt;= " &amp; J43) - COUNTIF(Vertices[Betweenness Centrality], "&gt;=" &amp; J44)</f>
        <v>0</v>
      </c>
      <c r="L43" s="41">
        <f t="shared" si="5"/>
        <v>0</v>
      </c>
      <c r="M43" s="42">
        <f>COUNTIF(Vertices[Closeness Centrality], "&gt;= " &amp; L43) - COUNTIF(Vertices[Closeness Centrality], "&gt;=" &amp; L44)</f>
        <v>0</v>
      </c>
      <c r="N43" s="41">
        <f t="shared" si="6"/>
        <v>0</v>
      </c>
      <c r="O43" s="42">
        <f>COUNTIF(Vertices[Eigenvector Centrality], "&gt;= " &amp; N43) - COUNTIF(Vertices[Eigenvector Centrality], "&gt;=" &amp; N44)</f>
        <v>0</v>
      </c>
      <c r="P43" s="41">
        <f t="shared" si="7"/>
        <v>0</v>
      </c>
      <c r="Q43" s="42">
        <f>COUNTIF(Vertices[PageRank], "&gt;= " &amp; P43) - COUNTIF(Vertices[PageRank], "&gt;=" &amp; P44)</f>
        <v>0</v>
      </c>
      <c r="R43" s="41">
        <f t="shared" si="8"/>
        <v>0</v>
      </c>
      <c r="S43" s="46">
        <f>COUNTIF(Vertices[Clustering Coefficient], "&gt;= " &amp; R43) - COUNTIF(Vertices[Clustering Coefficient], "&gt;=" &amp; R44)</f>
        <v>0</v>
      </c>
      <c r="T43" s="41">
        <f t="shared" ca="1" si="9"/>
        <v>9406.7680990529661</v>
      </c>
      <c r="U43" s="42">
        <f t="shared" ca="1" si="0"/>
        <v>0</v>
      </c>
    </row>
    <row r="44" spans="1:21" x14ac:dyDescent="0.3">
      <c r="A44" s="35" t="s">
        <v>83</v>
      </c>
      <c r="B44" s="48" t="str">
        <f>IF(COUNT(Vertices[Degree])&gt;0, D45, NoMetricMessage)</f>
        <v>Not Available</v>
      </c>
      <c r="D44" s="34">
        <f t="shared" si="1"/>
        <v>0</v>
      </c>
      <c r="E44" s="3">
        <f>COUNTIF(Vertices[Degree], "&gt;= " &amp; D44) - COUNTIF(Vertices[Degree], "&gt;=" &amp; D45)</f>
        <v>0</v>
      </c>
      <c r="F44" s="39">
        <f t="shared" si="2"/>
        <v>0</v>
      </c>
      <c r="G44" s="40">
        <f>COUNTIF(Vertices[In-Degree], "&gt;= " &amp; F44) - COUNTIF(Vertices[In-Degree], "&gt;=" &amp; F45)</f>
        <v>0</v>
      </c>
      <c r="H44" s="39">
        <f t="shared" si="3"/>
        <v>0</v>
      </c>
      <c r="I44" s="40">
        <f>COUNTIF(Vertices[Out-Degree], "&gt;= " &amp; H44) - COUNTIF(Vertices[Out-Degree], "&gt;=" &amp; H45)</f>
        <v>0</v>
      </c>
      <c r="J44" s="39">
        <f t="shared" si="4"/>
        <v>0</v>
      </c>
      <c r="K44" s="40">
        <f>COUNTIF(Vertices[Betweenness Centrality], "&gt;= " &amp; J44) - COUNTIF(Vertices[Betweenness Centrality], "&gt;=" &amp; J45)</f>
        <v>0</v>
      </c>
      <c r="L44" s="39">
        <f t="shared" si="5"/>
        <v>0</v>
      </c>
      <c r="M44" s="40">
        <f>COUNTIF(Vertices[Closeness Centrality], "&gt;= " &amp; L44) - COUNTIF(Vertices[Closeness Centrality], "&gt;=" &amp; L45)</f>
        <v>0</v>
      </c>
      <c r="N44" s="39">
        <f t="shared" si="6"/>
        <v>0</v>
      </c>
      <c r="O44" s="40">
        <f>COUNTIF(Vertices[Eigenvector Centrality], "&gt;= " &amp; N44) - COUNTIF(Vertices[Eigenvector Centrality], "&gt;=" &amp; N45)</f>
        <v>0</v>
      </c>
      <c r="P44" s="39">
        <f t="shared" si="7"/>
        <v>0</v>
      </c>
      <c r="Q44" s="40">
        <f>COUNTIF(Vertices[PageRank], "&gt;= " &amp; P44) - COUNTIF(Vertices[PageRank], "&gt;=" &amp; P45)</f>
        <v>0</v>
      </c>
      <c r="R44" s="39">
        <f t="shared" si="8"/>
        <v>0</v>
      </c>
      <c r="S44" s="45">
        <f>COUNTIF(Vertices[Clustering Coefficient], "&gt;= " &amp; R44) - COUNTIF(Vertices[Clustering Coefficient], "&gt;=" &amp; R45)</f>
        <v>0</v>
      </c>
      <c r="T44" s="39">
        <f t="shared" ca="1" si="9"/>
        <v>9632.8611003077349</v>
      </c>
      <c r="U44" s="40">
        <f t="shared" ca="1" si="0"/>
        <v>0</v>
      </c>
    </row>
    <row r="45" spans="1:21" x14ac:dyDescent="0.3">
      <c r="A45" s="35" t="s">
        <v>84</v>
      </c>
      <c r="B45" s="49" t="str">
        <f>IFERROR(AVERAGE(Vertices[Degree]),NoMetricMessage)</f>
        <v>Not Available</v>
      </c>
      <c r="D45" s="34">
        <f>MAX(Vertices[Degree])</f>
        <v>0</v>
      </c>
      <c r="E45" s="3">
        <f>COUNTIF(Vertices[Degree], "&gt;= " &amp; D45) - COUNTIF(Vertices[Degree], "&gt;=" &amp; D46)</f>
        <v>0</v>
      </c>
      <c r="F45" s="43">
        <f>MAX(Vertices[In-Degree])</f>
        <v>0</v>
      </c>
      <c r="G45" s="44">
        <f>COUNTIF(Vertices[In-Degree], "&gt;= " &amp; F45) - COUNTIF(Vertices[In-Degree], "&gt;=" &amp; F46)</f>
        <v>0</v>
      </c>
      <c r="H45" s="43">
        <f>MAX(Vertices[Out-Degree])</f>
        <v>0</v>
      </c>
      <c r="I45" s="44">
        <f>COUNTIF(Vertices[Out-Degree], "&gt;= " &amp; H45) - COUNTIF(Vertices[Out-Degree], "&gt;=" &amp; H46)</f>
        <v>0</v>
      </c>
      <c r="J45" s="43">
        <f>MAX(Vertices[Betweenness Centrality])</f>
        <v>0</v>
      </c>
      <c r="K45" s="44">
        <f>COUNTIF(Vertices[Betweenness Centrality], "&gt;= " &amp; J45) - COUNTIF(Vertices[Betweenness Centrality], "&gt;=" &amp; J46)</f>
        <v>0</v>
      </c>
      <c r="L45" s="43">
        <f>MAX(Vertices[Closeness Centrality])</f>
        <v>0</v>
      </c>
      <c r="M45" s="44">
        <f>COUNTIF(Vertices[Closeness Centrality], "&gt;= " &amp; L45) - COUNTIF(Vertices[Closeness Centrality], "&gt;=" &amp; L46)</f>
        <v>0</v>
      </c>
      <c r="N45" s="43">
        <f>MAX(Vertices[Eigenvector Centrality])</f>
        <v>0</v>
      </c>
      <c r="O45" s="44">
        <f>COUNTIF(Vertices[Eigenvector Centrality], "&gt;= " &amp; N45) - COUNTIF(Vertices[Eigenvector Centrality], "&gt;=" &amp; N46)</f>
        <v>0</v>
      </c>
      <c r="P45" s="43">
        <f>MAX(Vertices[PageRank])</f>
        <v>0</v>
      </c>
      <c r="Q45" s="44">
        <f>COUNTIF(Vertices[PageRank], "&gt;= " &amp; P45) - COUNTIF(Vertices[PageRank], "&gt;=" &amp; P46)</f>
        <v>0</v>
      </c>
      <c r="R45" s="43">
        <f>MAX(Vertices[Clustering Coefficient])</f>
        <v>0</v>
      </c>
      <c r="S45" s="47">
        <f>COUNTIF(Vertices[Clustering Coefficient], "&gt;= " &amp; R45) - COUNTIF(Vertices[Clustering Coefficient], "&gt;=" &amp; R46)</f>
        <v>0</v>
      </c>
      <c r="T45" s="43">
        <f ca="1">MAX(INDIRECT(DynamicFilterSourceColumnRange))</f>
        <v>9858.9541015625</v>
      </c>
      <c r="U45" s="44">
        <f t="shared" ca="1" si="0"/>
        <v>1</v>
      </c>
    </row>
    <row r="46" spans="1:21" x14ac:dyDescent="0.3">
      <c r="A46" s="35" t="s">
        <v>85</v>
      </c>
      <c r="B46" s="49" t="str">
        <f>IFERROR(MEDIAN(Vertices[Degree]),NoMetricMessage)</f>
        <v>Not Available</v>
      </c>
    </row>
    <row r="57" spans="1:2" x14ac:dyDescent="0.3">
      <c r="A57" s="35" t="s">
        <v>89</v>
      </c>
      <c r="B57" s="48" t="str">
        <f>IF(COUNT(Vertices[In-Degree])&gt;0, F2, NoMetricMessage)</f>
        <v>Not Available</v>
      </c>
    </row>
    <row r="58" spans="1:2" x14ac:dyDescent="0.3">
      <c r="A58" s="35" t="s">
        <v>90</v>
      </c>
      <c r="B58" s="48" t="str">
        <f>IF(COUNT(Vertices[In-Degree])&gt;0, F45, NoMetricMessage)</f>
        <v>Not Available</v>
      </c>
    </row>
    <row r="59" spans="1:2" x14ac:dyDescent="0.3">
      <c r="A59" s="35" t="s">
        <v>91</v>
      </c>
      <c r="B59" s="49" t="str">
        <f>IFERROR(AVERAGE(Vertices[In-Degree]),NoMetricMessage)</f>
        <v>Not Available</v>
      </c>
    </row>
    <row r="60" spans="1:2" x14ac:dyDescent="0.3">
      <c r="A60" s="35" t="s">
        <v>92</v>
      </c>
      <c r="B60" s="49" t="str">
        <f>IFERROR(MEDIAN(Vertices[In-Degree]),NoMetricMessage)</f>
        <v>Not Available</v>
      </c>
    </row>
    <row r="71" spans="1:2" x14ac:dyDescent="0.3">
      <c r="A71" s="35" t="s">
        <v>95</v>
      </c>
      <c r="B71" s="48" t="str">
        <f>IF(COUNT(Vertices[Out-Degree])&gt;0, H2, NoMetricMessage)</f>
        <v>Not Available</v>
      </c>
    </row>
    <row r="72" spans="1:2" x14ac:dyDescent="0.3">
      <c r="A72" s="35" t="s">
        <v>96</v>
      </c>
      <c r="B72" s="48" t="str">
        <f>IF(COUNT(Vertices[Out-Degree])&gt;0, H45, NoMetricMessage)</f>
        <v>Not Available</v>
      </c>
    </row>
    <row r="73" spans="1:2" x14ac:dyDescent="0.3">
      <c r="A73" s="35" t="s">
        <v>97</v>
      </c>
      <c r="B73" s="49" t="str">
        <f>IFERROR(AVERAGE(Vertices[Out-Degree]),NoMetricMessage)</f>
        <v>Not Available</v>
      </c>
    </row>
    <row r="74" spans="1:2" x14ac:dyDescent="0.3">
      <c r="A74" s="35" t="s">
        <v>98</v>
      </c>
      <c r="B74" s="49" t="str">
        <f>IFERROR(MEDIAN(Vertices[Out-Degree]),NoMetricMessage)</f>
        <v>Not Available</v>
      </c>
    </row>
    <row r="85" spans="1:2" x14ac:dyDescent="0.3">
      <c r="A85" s="35" t="s">
        <v>101</v>
      </c>
      <c r="B85" s="49" t="str">
        <f>IF(COUNT(Vertices[Betweenness Centrality])&gt;0, J2, NoMetricMessage)</f>
        <v>Not Available</v>
      </c>
    </row>
    <row r="86" spans="1:2" x14ac:dyDescent="0.3">
      <c r="A86" s="35" t="s">
        <v>102</v>
      </c>
      <c r="B86" s="49" t="str">
        <f>IF(COUNT(Vertices[Betweenness Centrality])&gt;0, J45, NoMetricMessage)</f>
        <v>Not Available</v>
      </c>
    </row>
    <row r="87" spans="1:2" x14ac:dyDescent="0.3">
      <c r="A87" s="35" t="s">
        <v>103</v>
      </c>
      <c r="B87" s="49" t="str">
        <f>IFERROR(AVERAGE(Vertices[Betweenness Centrality]),NoMetricMessage)</f>
        <v>Not Available</v>
      </c>
    </row>
    <row r="88" spans="1:2" x14ac:dyDescent="0.3">
      <c r="A88" s="35" t="s">
        <v>104</v>
      </c>
      <c r="B88" s="49" t="str">
        <f>IFERROR(MEDIAN(Vertices[Betweenness Centrality]),NoMetricMessage)</f>
        <v>Not Available</v>
      </c>
    </row>
    <row r="99" spans="1:2" x14ac:dyDescent="0.3">
      <c r="A99" s="35" t="s">
        <v>107</v>
      </c>
      <c r="B99" s="49" t="str">
        <f>IF(COUNT(Vertices[Closeness Centrality])&gt;0, L2, NoMetricMessage)</f>
        <v>Not Available</v>
      </c>
    </row>
    <row r="100" spans="1:2" x14ac:dyDescent="0.3">
      <c r="A100" s="35" t="s">
        <v>108</v>
      </c>
      <c r="B100" s="49" t="str">
        <f>IF(COUNT(Vertices[Closeness Centrality])&gt;0, L45, NoMetricMessage)</f>
        <v>Not Available</v>
      </c>
    </row>
    <row r="101" spans="1:2" x14ac:dyDescent="0.3">
      <c r="A101" s="35" t="s">
        <v>109</v>
      </c>
      <c r="B101" s="49" t="str">
        <f>IFERROR(AVERAGE(Vertices[Closeness Centrality]),NoMetricMessage)</f>
        <v>Not Available</v>
      </c>
    </row>
    <row r="102" spans="1:2" x14ac:dyDescent="0.3">
      <c r="A102" s="35" t="s">
        <v>110</v>
      </c>
      <c r="B102" s="49" t="str">
        <f>IFERROR(MEDIAN(Vertices[Closeness Centrality]),NoMetricMessage)</f>
        <v>Not Available</v>
      </c>
    </row>
    <row r="113" spans="1:2" x14ac:dyDescent="0.3">
      <c r="A113" s="35" t="s">
        <v>113</v>
      </c>
      <c r="B113" s="49" t="str">
        <f>IF(COUNT(Vertices[Eigenvector Centrality])&gt;0, N2, NoMetricMessage)</f>
        <v>Not Available</v>
      </c>
    </row>
    <row r="114" spans="1:2" x14ac:dyDescent="0.3">
      <c r="A114" s="35" t="s">
        <v>114</v>
      </c>
      <c r="B114" s="49" t="str">
        <f>IF(COUNT(Vertices[Eigenvector Centrality])&gt;0, N45, NoMetricMessage)</f>
        <v>Not Available</v>
      </c>
    </row>
    <row r="115" spans="1:2" x14ac:dyDescent="0.3">
      <c r="A115" s="35" t="s">
        <v>115</v>
      </c>
      <c r="B115" s="49" t="str">
        <f>IFERROR(AVERAGE(Vertices[Eigenvector Centrality]),NoMetricMessage)</f>
        <v>Not Available</v>
      </c>
    </row>
    <row r="116" spans="1:2" x14ac:dyDescent="0.3">
      <c r="A116" s="35" t="s">
        <v>116</v>
      </c>
      <c r="B116" s="49" t="str">
        <f>IFERROR(MEDIAN(Vertices[Eigenvector Centrality]),NoMetricMessage)</f>
        <v>Not Available</v>
      </c>
    </row>
    <row r="127" spans="1:2" x14ac:dyDescent="0.3">
      <c r="A127" s="35" t="s">
        <v>140</v>
      </c>
      <c r="B127" s="49" t="str">
        <f>IF(COUNT(Vertices[PageRank])&gt;0, P2, NoMetricMessage)</f>
        <v>Not Available</v>
      </c>
    </row>
    <row r="128" spans="1:2" x14ac:dyDescent="0.3">
      <c r="A128" s="35" t="s">
        <v>141</v>
      </c>
      <c r="B128" s="49" t="str">
        <f>IF(COUNT(Vertices[PageRank])&gt;0, P45, NoMetricMessage)</f>
        <v>Not Available</v>
      </c>
    </row>
    <row r="129" spans="1:2" x14ac:dyDescent="0.3">
      <c r="A129" s="35" t="s">
        <v>142</v>
      </c>
      <c r="B129" s="49" t="str">
        <f>IFERROR(AVERAGE(Vertices[PageRank]),NoMetricMessage)</f>
        <v>Not Available</v>
      </c>
    </row>
    <row r="130" spans="1:2" x14ac:dyDescent="0.3">
      <c r="A130" s="35" t="s">
        <v>143</v>
      </c>
      <c r="B130" s="49" t="str">
        <f>IFERROR(MEDIAN(Vertices[PageRank]),NoMetricMessage)</f>
        <v>Not Available</v>
      </c>
    </row>
    <row r="141" spans="1:2" x14ac:dyDescent="0.3">
      <c r="A141" s="35" t="s">
        <v>119</v>
      </c>
      <c r="B141" s="49" t="str">
        <f>IF(COUNT(Vertices[Clustering Coefficient])&gt;0, R2, NoMetricMessage)</f>
        <v>Not Available</v>
      </c>
    </row>
    <row r="142" spans="1:2" x14ac:dyDescent="0.3">
      <c r="A142" s="35" t="s">
        <v>120</v>
      </c>
      <c r="B142" s="49" t="str">
        <f>IF(COUNT(Vertices[Clustering Coefficient])&gt;0, R45, NoMetricMessage)</f>
        <v>Not Available</v>
      </c>
    </row>
    <row r="143" spans="1:2" x14ac:dyDescent="0.3">
      <c r="A143" s="35" t="s">
        <v>121</v>
      </c>
      <c r="B143" s="49" t="str">
        <f>IFERROR(AVERAGE(Vertices[Clustering Coefficient]),NoMetricMessage)</f>
        <v>Not Available</v>
      </c>
    </row>
    <row r="144" spans="1:2" x14ac:dyDescent="0.3">
      <c r="A144" s="35" t="s">
        <v>122</v>
      </c>
      <c r="B144" s="49" t="str">
        <f>IFERROR(MEDIAN(Vertices[Clustering Coefficient]),NoMetricMessage)</f>
        <v>Not Available</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4.4" x14ac:dyDescent="0.3"/>
  <cols>
    <col min="1" max="1" width="10.44140625" style="1" bestFit="1" customWidth="1"/>
    <col min="2" max="2" width="12.44140625" style="1" bestFit="1" customWidth="1"/>
    <col min="3" max="3" width="22.88671875" bestFit="1" customWidth="1"/>
    <col min="4" max="4" width="16.88671875" bestFit="1" customWidth="1"/>
    <col min="5" max="6" width="16.88671875" customWidth="1"/>
    <col min="7" max="7" width="14.33203125" bestFit="1" customWidth="1"/>
    <col min="8" max="8" width="14.33203125" customWidth="1"/>
    <col min="10" max="10" width="39.109375" bestFit="1" customWidth="1"/>
    <col min="11" max="11" width="10.88671875" bestFit="1" customWidth="1"/>
    <col min="13" max="13" width="8.44140625" bestFit="1" customWidth="1"/>
    <col min="14" max="14" width="10" bestFit="1" customWidth="1"/>
    <col min="15" max="15" width="11.88671875" bestFit="1" customWidth="1"/>
    <col min="16" max="16" width="12.109375" bestFit="1" customWidth="1"/>
  </cols>
  <sheetData>
    <row r="1" spans="1:18" s="4" customFormat="1" ht="36" customHeight="1" x14ac:dyDescent="0.3">
      <c r="A1" s="5" t="s">
        <v>6</v>
      </c>
      <c r="B1" s="5" t="s">
        <v>131</v>
      </c>
      <c r="C1" s="4" t="s">
        <v>7</v>
      </c>
      <c r="D1" s="4" t="s">
        <v>9</v>
      </c>
      <c r="E1" s="4" t="s">
        <v>164</v>
      </c>
      <c r="F1" s="5" t="s">
        <v>169</v>
      </c>
      <c r="G1" s="4" t="s">
        <v>14</v>
      </c>
      <c r="H1" s="4" t="s">
        <v>68</v>
      </c>
      <c r="J1" s="4" t="s">
        <v>18</v>
      </c>
      <c r="K1" s="4" t="s">
        <v>17</v>
      </c>
      <c r="M1" s="4" t="s">
        <v>22</v>
      </c>
      <c r="N1" s="4" t="s">
        <v>23</v>
      </c>
      <c r="O1" s="4" t="s">
        <v>24</v>
      </c>
      <c r="P1" s="4" t="s">
        <v>25</v>
      </c>
    </row>
    <row r="2" spans="1:18" x14ac:dyDescent="0.3">
      <c r="A2" s="1" t="s">
        <v>52</v>
      </c>
      <c r="B2" s="1" t="s">
        <v>132</v>
      </c>
      <c r="C2" t="s">
        <v>55</v>
      </c>
      <c r="D2" t="s">
        <v>56</v>
      </c>
      <c r="E2" t="s">
        <v>56</v>
      </c>
      <c r="F2" s="1" t="s">
        <v>52</v>
      </c>
      <c r="G2" t="s">
        <v>66</v>
      </c>
      <c r="H2" t="s">
        <v>159</v>
      </c>
      <c r="J2" t="s">
        <v>19</v>
      </c>
      <c r="K2">
        <v>108</v>
      </c>
      <c r="M2" t="s">
        <v>146</v>
      </c>
      <c r="N2" t="s">
        <v>15</v>
      </c>
      <c r="O2">
        <v>125.84661102294901</v>
      </c>
      <c r="P2">
        <v>9873.1533203125</v>
      </c>
    </row>
    <row r="3" spans="1:18" x14ac:dyDescent="0.3">
      <c r="A3" s="1" t="s">
        <v>53</v>
      </c>
      <c r="B3" s="1" t="s">
        <v>133</v>
      </c>
      <c r="C3" t="s">
        <v>53</v>
      </c>
      <c r="D3" t="s">
        <v>57</v>
      </c>
      <c r="E3" t="s">
        <v>57</v>
      </c>
      <c r="F3" s="1" t="s">
        <v>53</v>
      </c>
      <c r="G3" t="s">
        <v>67</v>
      </c>
      <c r="H3" t="s">
        <v>69</v>
      </c>
      <c r="J3" t="s">
        <v>30</v>
      </c>
      <c r="K3" t="s">
        <v>31</v>
      </c>
      <c r="M3" t="s">
        <v>146</v>
      </c>
      <c r="N3" t="s">
        <v>16</v>
      </c>
      <c r="O3">
        <v>136</v>
      </c>
      <c r="P3">
        <v>9858.9541015625</v>
      </c>
    </row>
    <row r="4" spans="1:18" x14ac:dyDescent="0.3">
      <c r="A4" s="1" t="s">
        <v>54</v>
      </c>
      <c r="B4" s="1" t="s">
        <v>134</v>
      </c>
      <c r="C4" t="s">
        <v>54</v>
      </c>
      <c r="D4" t="s">
        <v>58</v>
      </c>
      <c r="E4" t="s">
        <v>58</v>
      </c>
      <c r="F4" s="1" t="s">
        <v>54</v>
      </c>
      <c r="G4">
        <v>0</v>
      </c>
      <c r="H4" t="s">
        <v>70</v>
      </c>
      <c r="J4" s="12" t="s">
        <v>79</v>
      </c>
      <c r="K4" s="12"/>
    </row>
    <row r="5" spans="1:18" ht="409.6" x14ac:dyDescent="0.3">
      <c r="A5">
        <v>1</v>
      </c>
      <c r="B5" s="1" t="s">
        <v>135</v>
      </c>
      <c r="C5" t="s">
        <v>52</v>
      </c>
      <c r="D5" t="s">
        <v>59</v>
      </c>
      <c r="E5" t="s">
        <v>59</v>
      </c>
      <c r="F5">
        <v>1</v>
      </c>
      <c r="G5">
        <v>1</v>
      </c>
      <c r="H5" t="s">
        <v>71</v>
      </c>
      <c r="J5" t="s">
        <v>172</v>
      </c>
      <c r="K5" s="13" t="s">
        <v>229</v>
      </c>
    </row>
    <row r="6" spans="1:18" x14ac:dyDescent="0.3">
      <c r="A6">
        <v>0</v>
      </c>
      <c r="B6" s="1" t="s">
        <v>136</v>
      </c>
      <c r="C6">
        <v>1</v>
      </c>
      <c r="D6" t="s">
        <v>60</v>
      </c>
      <c r="E6" t="s">
        <v>60</v>
      </c>
      <c r="F6">
        <v>0</v>
      </c>
      <c r="H6" t="s">
        <v>72</v>
      </c>
      <c r="J6" t="s">
        <v>173</v>
      </c>
      <c r="K6">
        <v>1</v>
      </c>
      <c r="R6" t="s">
        <v>129</v>
      </c>
    </row>
    <row r="7" spans="1:18" x14ac:dyDescent="0.3">
      <c r="A7">
        <v>2</v>
      </c>
      <c r="B7">
        <v>1</v>
      </c>
      <c r="C7">
        <v>0</v>
      </c>
      <c r="D7" t="s">
        <v>61</v>
      </c>
      <c r="E7" t="s">
        <v>61</v>
      </c>
      <c r="F7">
        <v>2</v>
      </c>
      <c r="H7" t="s">
        <v>73</v>
      </c>
      <c r="J7" t="s">
        <v>226</v>
      </c>
      <c r="K7" t="s">
        <v>227</v>
      </c>
    </row>
    <row r="8" spans="1:18" x14ac:dyDescent="0.3">
      <c r="A8"/>
      <c r="B8">
        <v>2</v>
      </c>
      <c r="C8">
        <v>2</v>
      </c>
      <c r="D8" t="s">
        <v>62</v>
      </c>
      <c r="E8" t="s">
        <v>62</v>
      </c>
      <c r="H8" t="s">
        <v>74</v>
      </c>
    </row>
    <row r="9" spans="1:18" x14ac:dyDescent="0.3">
      <c r="A9"/>
      <c r="B9">
        <v>3</v>
      </c>
      <c r="C9">
        <v>4</v>
      </c>
      <c r="D9" t="s">
        <v>63</v>
      </c>
      <c r="E9" t="s">
        <v>63</v>
      </c>
      <c r="H9" t="s">
        <v>75</v>
      </c>
    </row>
    <row r="10" spans="1:18" x14ac:dyDescent="0.3">
      <c r="A10"/>
      <c r="B10">
        <v>4</v>
      </c>
      <c r="D10" t="s">
        <v>64</v>
      </c>
      <c r="E10" t="s">
        <v>64</v>
      </c>
      <c r="H10" t="s">
        <v>76</v>
      </c>
    </row>
    <row r="11" spans="1:18" x14ac:dyDescent="0.3">
      <c r="A11"/>
      <c r="B11">
        <v>5</v>
      </c>
      <c r="D11" t="s">
        <v>47</v>
      </c>
      <c r="E11">
        <v>1</v>
      </c>
      <c r="H11" t="s">
        <v>77</v>
      </c>
    </row>
    <row r="12" spans="1:18" x14ac:dyDescent="0.3">
      <c r="A12"/>
      <c r="B12"/>
      <c r="D12" t="s">
        <v>65</v>
      </c>
      <c r="E12">
        <v>2</v>
      </c>
      <c r="H12">
        <v>0</v>
      </c>
    </row>
    <row r="13" spans="1:18" x14ac:dyDescent="0.3">
      <c r="A13"/>
      <c r="B13"/>
      <c r="D13">
        <v>1</v>
      </c>
      <c r="E13">
        <v>3</v>
      </c>
      <c r="H13">
        <v>1</v>
      </c>
    </row>
    <row r="14" spans="1:18" x14ac:dyDescent="0.3">
      <c r="D14">
        <v>2</v>
      </c>
      <c r="E14">
        <v>4</v>
      </c>
      <c r="H14">
        <v>2</v>
      </c>
    </row>
    <row r="15" spans="1:18" x14ac:dyDescent="0.3">
      <c r="D15">
        <v>3</v>
      </c>
      <c r="E15">
        <v>5</v>
      </c>
      <c r="H15">
        <v>3</v>
      </c>
    </row>
    <row r="16" spans="1:18" x14ac:dyDescent="0.3">
      <c r="D16">
        <v>4</v>
      </c>
      <c r="E16">
        <v>6</v>
      </c>
      <c r="H16">
        <v>4</v>
      </c>
    </row>
    <row r="17" spans="4:8" x14ac:dyDescent="0.3">
      <c r="D17">
        <v>5</v>
      </c>
      <c r="E17">
        <v>7</v>
      </c>
      <c r="H17">
        <v>5</v>
      </c>
    </row>
    <row r="18" spans="4:8" x14ac:dyDescent="0.3">
      <c r="D18">
        <v>6</v>
      </c>
      <c r="E18">
        <v>8</v>
      </c>
      <c r="H18">
        <v>6</v>
      </c>
    </row>
    <row r="19" spans="4:8" x14ac:dyDescent="0.3">
      <c r="D19">
        <v>7</v>
      </c>
      <c r="E19">
        <v>9</v>
      </c>
      <c r="H19">
        <v>7</v>
      </c>
    </row>
    <row r="20" spans="4:8" x14ac:dyDescent="0.3">
      <c r="D20">
        <v>8</v>
      </c>
      <c r="H20">
        <v>8</v>
      </c>
    </row>
    <row r="21" spans="4:8" x14ac:dyDescent="0.3">
      <c r="D21">
        <v>9</v>
      </c>
      <c r="H21">
        <v>9</v>
      </c>
    </row>
    <row r="22" spans="4:8" x14ac:dyDescent="0.3">
      <c r="D22">
        <v>10</v>
      </c>
    </row>
    <row r="23" spans="4:8" x14ac:dyDescent="0.3">
      <c r="D23">
        <v>11</v>
      </c>
    </row>
  </sheetData>
  <dataConsolidate/>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9CEE6270-4C10-4E30-9FA5-16A3340100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 Ait Ali</dc:creator>
  <cp:lastModifiedBy>Abderrahman Ait Ali</cp:lastModifiedBy>
  <dcterms:created xsi:type="dcterms:W3CDTF">2008-01-30T00:41:58Z</dcterms:created>
  <dcterms:modified xsi:type="dcterms:W3CDTF">2016-04-29T11:37:27Z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