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<sst xmlns="http://schemas.openxmlformats.org/spreadsheetml/2006/main" count="96" uniqueCount="86">
  <si>
    <t>BITCOIN</t>
  </si>
  <si>
    <t>Financial statement</t>
  </si>
  <si>
    <t>Transaction Fees Paid By Users (millions USD)</t>
  </si>
  <si>
    <t>Price (thousands USD)</t>
  </si>
  <si>
    <t>Circulating supply (millions)</t>
  </si>
  <si>
    <t xml:space="preserve">Revenue (Transaction fees going to btc holders) </t>
  </si>
  <si>
    <t>Block payment to miners (billions USD)</t>
  </si>
  <si>
    <t>Fully Diluted Market Cap (trillions USD)</t>
  </si>
  <si>
    <t>Circulating Market Cap (trillions USD)</t>
  </si>
  <si>
    <t>Token trading volume (trillions)</t>
  </si>
  <si>
    <t>Tokenholders (millions)</t>
  </si>
  <si>
    <t>Price-to-fees ratio (fully diluted)</t>
  </si>
  <si>
    <t>Price-to-fees ratio ratio (circulating)</t>
  </si>
  <si>
    <t>Daily Active Users (millions)</t>
  </si>
  <si>
    <t>Monthly Active Users (millions)</t>
  </si>
  <si>
    <t>Core developers</t>
  </si>
  <si>
    <t>Code commits</t>
  </si>
  <si>
    <t>Total Value Locked (TVL) (billions USD)</t>
  </si>
  <si>
    <t>Market Cap to TVL Ratio</t>
  </si>
  <si>
    <t>Growth rates</t>
  </si>
  <si>
    <t>Transaction Fees Growth</t>
  </si>
  <si>
    <t>-</t>
  </si>
  <si>
    <t>Circulating Market Cap Growth</t>
  </si>
  <si>
    <t>Fully Diluted Market Cap Growth</t>
  </si>
  <si>
    <t>MAU Growth</t>
  </si>
  <si>
    <t>Tokenholders Growth</t>
  </si>
  <si>
    <t>Token Trading Volume Growth</t>
  </si>
  <si>
    <t>Core Developers Growth</t>
  </si>
  <si>
    <t>Code Commit Growth</t>
  </si>
  <si>
    <t>Price-to-Fees Ratio Change</t>
  </si>
  <si>
    <t>Block Payment to Miners Growth</t>
  </si>
  <si>
    <t>DCF Model, Eight Year Holding Period with exit multiple</t>
  </si>
  <si>
    <t xml:space="preserve">CAGR (2020 - 2024) </t>
  </si>
  <si>
    <t>Cashflow (USD millions)</t>
  </si>
  <si>
    <t>Growth Rate</t>
  </si>
  <si>
    <t>Terminal Value (from damodaran)</t>
  </si>
  <si>
    <t>PV of cash flows (USD millions)</t>
  </si>
  <si>
    <t>-&gt; Reason: From chainanalysis site research, the adoption rate of crypto currency has increased by over 200% from 2023 to 2024 and the trend is likely to continue</t>
  </si>
  <si>
    <t>Total PV (USD millions)</t>
  </si>
  <si>
    <t>Outstanding Supply (millions)</t>
  </si>
  <si>
    <r>
      <rPr>
        <color rgb="FF1155CC"/>
        <u/>
      </rPr>
      <t>https://www.chainalysis.com/blog/2024-global-crypto-adoption-index/</t>
    </r>
    <r>
      <rPr>
        <color rgb="FF000000"/>
      </rPr>
      <t xml:space="preserve"> </t>
    </r>
  </si>
  <si>
    <t>Price per BTC (USD)</t>
  </si>
  <si>
    <t>https://www.grayscale.com/research/market-commentary/april-2024-crypto-tailwinds-macro-headwinds</t>
  </si>
  <si>
    <t>Discount rate</t>
  </si>
  <si>
    <t xml:space="preserve">Total Addressable Market Approach </t>
  </si>
  <si>
    <t>(Level of penetration * Value of target Market) / Fully diluted supply</t>
  </si>
  <si>
    <t>Addressable Market</t>
  </si>
  <si>
    <t>Value (trillions USD)</t>
  </si>
  <si>
    <t>Level of Penetration</t>
  </si>
  <si>
    <t>US M2</t>
  </si>
  <si>
    <t>Gold</t>
  </si>
  <si>
    <t>US Central Bank Reserves</t>
  </si>
  <si>
    <t>Global Remittances</t>
  </si>
  <si>
    <t>Fedwire</t>
  </si>
  <si>
    <t xml:space="preserve">Fully Diluted Supply </t>
  </si>
  <si>
    <t>We are currently at ~2% adoption rates</t>
  </si>
  <si>
    <r>
      <rPr/>
      <t xml:space="preserve">Board of Governors of the Federal Reserve System, “M2 (WM2NS),” FRED, Federal Reserve Bank of St. Louis. </t>
    </r>
    <r>
      <rPr>
        <color rgb="FF1155CC"/>
        <u/>
      </rPr>
      <t>https://fred.stlouisfed.org/series/WM2NS</t>
    </r>
    <r>
      <rPr/>
      <t xml:space="preserve"> </t>
    </r>
  </si>
  <si>
    <r>
      <rPr/>
      <t xml:space="preserve">Total above-ground stocks (year-end 2024) = 212,582 tonnes. Spot price = $2,637.34 per ounce. World Gold Council, “Above-Ground Stocks”. </t>
    </r>
    <r>
      <rPr>
        <color rgb="FF1155CC"/>
        <u/>
      </rPr>
      <t>www.gold.org/goldhub/data/how-much-gold</t>
    </r>
    <r>
      <rPr/>
      <t xml:space="preserve"> </t>
    </r>
  </si>
  <si>
    <r>
      <rPr/>
      <t xml:space="preserve">Board of Governors of the Federal Reserve System, “U.S. Reserve Assets (Table 3.12).” </t>
    </r>
    <r>
      <rPr>
        <color rgb="FF1155CC"/>
        <u/>
      </rPr>
      <t>www.federalreserve.gov/data/intlsumm/current.htm</t>
    </r>
    <r>
      <rPr/>
      <t xml:space="preserve"> </t>
    </r>
  </si>
  <si>
    <r>
      <rPr/>
      <t xml:space="preserve">6KNOMAD, "Remittances Slowed in 2023, Expected to Grow Faster in 2024" (English) (June 2024): 12. </t>
    </r>
    <r>
      <rPr>
        <color rgb="FF1155CC"/>
        <u/>
      </rPr>
      <t>https://documents1.worldbank.org/curated/en/099714008132436612/pdf/IDU1a9cf73b51fcad1425a1a0dd1cc8f2f3331ce.pdf</t>
    </r>
  </si>
  <si>
    <r>
      <rPr/>
      <t xml:space="preserve">8Federal Reserve Banks, “Fedwire Funds Service—Annual Statistics” (updated January 2024). </t>
    </r>
    <r>
      <rPr>
        <color rgb="FF1155CC"/>
        <u/>
      </rPr>
      <t>https://www.frbservices.org/resources/financial-services/wires/volume-value-stats/annual-stats.html</t>
    </r>
  </si>
  <si>
    <t>Stock-to-flow Approach</t>
  </si>
  <si>
    <t>Current supply of coins / Increase in supply of coins</t>
  </si>
  <si>
    <t>The higher the stock to flow ratio indicates lower inflation rates and greater retention of value over time. This can be seen increasing steadily over the 4 years</t>
  </si>
  <si>
    <t>Metcalfe's Law</t>
  </si>
  <si>
    <t>Market Capitalization / Number of active users ^ 2</t>
  </si>
  <si>
    <t>ratio &gt; 1 means the market value bitcoin more than its network value, vice versa</t>
  </si>
  <si>
    <t>Therefore can be seen as more speculative</t>
  </si>
  <si>
    <t>Market Value to Realized Value Ratio</t>
  </si>
  <si>
    <t>Market Value / Realized Value</t>
  </si>
  <si>
    <t>With a MVRV ratio greater than 1, we can conclude that the average cost for all btc is lower than the market capitalization and investors on average are likely to be profitable as market holds large unrealized profits, estimating about 153% profits in this case.</t>
  </si>
  <si>
    <t>The MVRV Ratio can generally be considered withing the following framework:</t>
  </si>
  <si>
    <t>High values and up-trends: The market value of the coin supply is increasing relative to the realized value (cost basis). Higher values indicate a larger degree of unrealized profit is in the system, and increases the probability that investors will distribute coins to lock in gains.</t>
  </si>
  <si>
    <t>MVRV Values &gt; 3.5: Has generally served as a strong signal for late stage bull cycles, and heightened probability of heavy distribution.</t>
  </si>
  <si>
    <t>Low values and down-trends: The market value of the coin supply is decreasing relative to the realized value (cost basis). Lower values indicate a smaller degree of unrealized profit is in the system which may signal both undervaluation, or poor demand dynamics.</t>
  </si>
  <si>
    <t>MVRV Vales &lt; 1.0: Indicates that a large cross-section of the supply is near break even, or held at a loss. These low values have typically provided strong signal of market capitulation and late stage bear accumulations.</t>
  </si>
  <si>
    <t>Technical Analysis</t>
  </si>
  <si>
    <r>
      <rPr/>
      <t xml:space="preserve">source code: </t>
    </r>
    <r>
      <rPr>
        <color rgb="FF1155CC"/>
        <u/>
      </rPr>
      <t>https://github.com/jiarong15/lstm-stock-price-prediction</t>
    </r>
  </si>
  <si>
    <t>Fibonacci Retracements</t>
  </si>
  <si>
    <t xml:space="preserve">Despite the bullish fundamental and policy catalysts cited above, </t>
  </si>
  <si>
    <t xml:space="preserve">Bitcoin has failed to gain any appreciable ground for more than half a year now, </t>
  </si>
  <si>
    <t>and if a market can’t rally on “good” news except throughout the US elections and after donald trump won the election</t>
  </si>
  <si>
    <t>A study done by David Kuo and Li Guo back in 2018 about crypto sentiments and its subsequent price movements</t>
  </si>
  <si>
    <t xml:space="preserve">  </t>
  </si>
  <si>
    <t>showcase how rational investors correct the mispricing brought about by positive and negative sentiments.</t>
  </si>
  <si>
    <t>They ran a fama macbeth regression on the returns based on the cryptocurrency sentiments and found it to be statistically significant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</si>
</sst>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x"/>
    <numFmt numFmtId="165" formatCode="[$USD ]#,##0"/>
  </numFmts>
  <fonts count="20">
    <font>
      <sz val="10.0"/>
      <color rgb="FF000000"/>
      <name val="Arial"/>
      <scheme val="minor"/>
    </font>
    <font>
      <b/>
      <sz val="10.0"/>
      <color rgb="FF000000"/>
      <name val="Arial"/>
      <scheme val="minor"/>
    </font>
    <font>
      <b/>
      <sz val="8.0"/>
      <color rgb="FF000000"/>
      <name val="Arial"/>
      <scheme val="minor"/>
    </font>
    <font>
      <sz val="10.0"/>
      <color theme="1"/>
      <name val="Arial"/>
      <scheme val="minor"/>
    </font>
    <font>
      <sz val="8.0"/>
      <color rgb="FF000000"/>
      <name val="Arial"/>
      <scheme val="minor"/>
    </font>
    <font>
      <b/>
      <sz val="10.0"/>
      <color rgb="FF000000"/>
      <name val="&quot;Helvetica Neue&quot;"/>
    </font>
    <font>
      <sz val="10.0"/>
      <color rgb="FF000000"/>
      <name val="&quot;Helvetica Neue&quot;"/>
    </font>
    <font>
      <sz val="10.0"/>
      <color rgb="FF0000FF"/>
      <name val="Arial"/>
      <scheme val="minor"/>
    </font>
    <font>
      <b/>
      <sz val="10.0"/>
      <color rgb="FF0000FF"/>
      <name val="Arial"/>
      <scheme val="minor"/>
    </font>
    <font>
      <color rgb="FF000000"/>
      <name val="Arial"/>
      <scheme val="minor"/>
    </font>
    <font>
      <b/>
      <sz val="10.0"/>
      <color theme="1"/>
      <name val="Arial"/>
      <scheme val="minor"/>
    </font>
    <font>
      <sz val="10.0"/>
      <color rgb="FFFF0000"/>
      <name val="Arial"/>
      <scheme val="minor"/>
    </font>
    <font>
      <sz val="11.0"/>
      <color rgb="FF000000"/>
      <name val="Arial"/>
      <scheme val="minor"/>
    </font>
    <font>
      <color theme="1"/>
      <name val="Arial"/>
      <scheme val="minor"/>
    </font>
    <font>
      <u/>
      <color rgb="FF000000"/>
    </font>
    <font>
      <u/>
      <color rgb="FF0000FF"/>
    </font>
    <font>
      <i/>
      <sz val="10.0"/>
      <color rgb="FF000000"/>
      <name val="Arial"/>
      <scheme val="minor"/>
    </font>
    <font/>
    <font>
      <b/>
      <color theme="1"/>
      <name val="Arial"/>
      <scheme val="minor"/>
    </font>
    <font>
      <sz val="11.0"/>
      <color rgb="FF000000"/>
      <name val="Arial"/>
    </font>
  </fonts>
  <fills count="5">
    <fill>
      <patternFill patternType="none"/>
    </fill>
    <fill>
      <patternFill patternType="lightGray"/>
    </fill>
    <fill>
      <patternFill patternType="solid">
        <fgColor rgb="FFB0B3B2"/>
        <bgColor rgb="FFB0B3B2"/>
      </patternFill>
    </fill>
    <fill>
      <patternFill patternType="solid">
        <fgColor rgb="FFD4D4D4"/>
        <bgColor rgb="FFD4D4D4"/>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readingOrder="0" vertical="top"/>
    </xf>
    <xf borderId="1" fillId="2" fontId="1" numFmtId="0" xfId="0" applyAlignment="1" applyBorder="1" applyFill="1" applyFont="1">
      <alignment readingOrder="0" vertical="top"/>
    </xf>
    <xf borderId="1" fillId="2" fontId="1" numFmtId="0" xfId="0" applyAlignment="1" applyBorder="1" applyFont="1">
      <alignment horizontal="center" readingOrder="0" vertical="top"/>
    </xf>
    <xf borderId="0" fillId="0" fontId="1" numFmtId="0" xfId="0" applyAlignment="1" applyFont="1">
      <alignment horizontal="center" readingOrder="0" vertical="top"/>
    </xf>
    <xf borderId="0" fillId="0" fontId="3" numFmtId="0" xfId="0" applyFont="1"/>
    <xf borderId="1" fillId="3" fontId="1" numFmtId="0" xfId="0" applyAlignment="1" applyBorder="1" applyFill="1" applyFont="1">
      <alignment readingOrder="0" vertical="top"/>
    </xf>
    <xf borderId="1" fillId="0" fontId="0" numFmtId="2" xfId="0" applyAlignment="1" applyBorder="1" applyFont="1" applyNumberFormat="1">
      <alignment horizontal="center" readingOrder="0" vertical="top"/>
    </xf>
    <xf borderId="0" fillId="0" fontId="0" numFmtId="2" xfId="0" applyAlignment="1" applyFont="1" applyNumberFormat="1">
      <alignment horizontal="center" readingOrder="0" vertical="top"/>
    </xf>
    <xf borderId="0" fillId="0" fontId="4" numFmtId="10" xfId="0" applyAlignment="1" applyFont="1" applyNumberFormat="1">
      <alignment readingOrder="0" vertical="top"/>
    </xf>
    <xf borderId="0" fillId="0" fontId="4" numFmtId="0" xfId="0" applyAlignment="1" applyFont="1">
      <alignment readingOrder="0" vertical="top"/>
    </xf>
    <xf borderId="1" fillId="3" fontId="5" numFmtId="0" xfId="0" applyAlignment="1" applyBorder="1" applyFont="1">
      <alignment readingOrder="0" vertical="top"/>
    </xf>
    <xf borderId="1" fillId="0" fontId="6" numFmtId="2" xfId="0" applyAlignment="1" applyBorder="1" applyFont="1" applyNumberFormat="1">
      <alignment horizontal="center" readingOrder="0" vertical="top"/>
    </xf>
    <xf borderId="0" fillId="0" fontId="7" numFmtId="2" xfId="0" applyAlignment="1" applyFont="1" applyNumberFormat="1">
      <alignment horizontal="center" readingOrder="0" vertical="top"/>
    </xf>
    <xf borderId="1" fillId="3" fontId="8" numFmtId="0" xfId="0" applyAlignment="1" applyBorder="1" applyFont="1">
      <alignment readingOrder="0" vertical="top"/>
    </xf>
    <xf borderId="1" fillId="0" fontId="7" numFmtId="2" xfId="0" applyAlignment="1" applyBorder="1" applyFont="1" applyNumberFormat="1">
      <alignment horizontal="center" readingOrder="0" vertical="top"/>
    </xf>
    <xf borderId="1" fillId="0" fontId="7" numFmtId="164" xfId="0" applyAlignment="1" applyBorder="1" applyFont="1" applyNumberFormat="1">
      <alignment horizontal="center" readingOrder="0" vertical="top"/>
    </xf>
    <xf borderId="0" fillId="0" fontId="7" numFmtId="164" xfId="0" applyAlignment="1" applyFont="1" applyNumberFormat="1">
      <alignment horizontal="center" readingOrder="0" vertical="top"/>
    </xf>
    <xf borderId="1" fillId="0" fontId="0" numFmtId="164" xfId="0" applyAlignment="1" applyBorder="1" applyFont="1" applyNumberFormat="1">
      <alignment horizontal="center" readingOrder="0" vertical="top"/>
    </xf>
    <xf borderId="0" fillId="0" fontId="0" numFmtId="164" xfId="0" applyAlignment="1" applyFont="1" applyNumberFormat="1">
      <alignment horizontal="center" readingOrder="0" vertical="top"/>
    </xf>
    <xf borderId="1" fillId="0" fontId="0" numFmtId="0" xfId="0" applyAlignment="1" applyBorder="1" applyFont="1">
      <alignment horizontal="center" readingOrder="0" vertical="top"/>
    </xf>
    <xf borderId="0" fillId="0" fontId="0" numFmtId="0" xfId="0" applyAlignment="1" applyFont="1">
      <alignment horizontal="center" readingOrder="0" vertical="top"/>
    </xf>
    <xf borderId="0" fillId="0" fontId="9" numFmtId="0" xfId="0" applyFont="1"/>
    <xf borderId="0" fillId="0" fontId="0" numFmtId="0" xfId="0" applyAlignment="1" applyFont="1">
      <alignment readingOrder="0"/>
    </xf>
    <xf borderId="0" fillId="0" fontId="3" numFmtId="0" xfId="0" applyAlignment="1" applyFont="1">
      <alignment horizontal="center"/>
    </xf>
    <xf borderId="0" fillId="0" fontId="0" numFmtId="0" xfId="0" applyAlignment="1" applyFont="1">
      <alignment horizontal="center"/>
    </xf>
    <xf borderId="0" fillId="0" fontId="0" numFmtId="0" xfId="0" applyFont="1"/>
    <xf borderId="2" fillId="0" fontId="1" numFmtId="0" xfId="0" applyAlignment="1" applyBorder="1" applyFont="1">
      <alignment readingOrder="0"/>
    </xf>
    <xf borderId="2" fillId="0" fontId="10" numFmtId="0" xfId="0" applyAlignment="1" applyBorder="1" applyFont="1">
      <alignment horizontal="center" readingOrder="0"/>
    </xf>
    <xf borderId="0" fillId="0" fontId="9" numFmtId="10" xfId="0" applyAlignment="1" applyFont="1" applyNumberFormat="1">
      <alignment readingOrder="0"/>
    </xf>
    <xf borderId="0" fillId="0" fontId="3" numFmtId="0" xfId="0" applyAlignment="1" applyFont="1">
      <alignment horizontal="center" readingOrder="0"/>
    </xf>
    <xf borderId="0" fillId="0" fontId="3" numFmtId="10" xfId="0" applyAlignment="1" applyFont="1" applyNumberFormat="1">
      <alignment horizontal="right"/>
    </xf>
    <xf borderId="0" fillId="0" fontId="11" numFmtId="10" xfId="0" applyAlignment="1" applyFont="1" applyNumberFormat="1">
      <alignment horizontal="right"/>
    </xf>
    <xf borderId="0" fillId="0" fontId="3" numFmtId="0" xfId="0" applyAlignment="1" applyFont="1">
      <alignment readingOrder="0"/>
    </xf>
    <xf borderId="0" fillId="0" fontId="12" numFmtId="10" xfId="0" applyAlignment="1" applyFont="1" applyNumberFormat="1">
      <alignment shrinkToFit="0" vertical="bottom" wrapText="0"/>
    </xf>
    <xf borderId="0" fillId="0" fontId="9" numFmtId="0" xfId="0" applyFont="1"/>
    <xf borderId="0" fillId="0" fontId="13" numFmtId="0" xfId="0" applyAlignment="1" applyFont="1">
      <alignment readingOrder="0"/>
    </xf>
    <xf borderId="0" fillId="0" fontId="13" numFmtId="0" xfId="0" applyAlignment="1" applyFont="1">
      <alignment horizontal="center" readingOrder="0"/>
    </xf>
    <xf borderId="0" fillId="0" fontId="9" numFmtId="0" xfId="0" applyAlignment="1" applyFont="1">
      <alignment readingOrder="0"/>
    </xf>
    <xf borderId="0" fillId="0" fontId="2" numFmtId="0" xfId="0" applyAlignment="1" applyFont="1">
      <alignment horizontal="center" readingOrder="0" vertical="top"/>
    </xf>
    <xf borderId="0" fillId="0" fontId="0" numFmtId="10" xfId="0" applyAlignment="1" applyFont="1" applyNumberFormat="1">
      <alignment horizontal="right"/>
    </xf>
    <xf borderId="2" fillId="0" fontId="1" numFmtId="0" xfId="0" applyAlignment="1" applyBorder="1" applyFont="1">
      <alignment horizontal="center" readingOrder="0" vertical="top"/>
    </xf>
    <xf borderId="0" fillId="0" fontId="0" numFmtId="10" xfId="0" applyAlignment="1" applyFont="1" applyNumberFormat="1">
      <alignment horizontal="center" readingOrder="0" vertical="top"/>
    </xf>
    <xf borderId="0" fillId="0" fontId="3" numFmtId="10" xfId="0" applyAlignment="1" applyFont="1" applyNumberFormat="1">
      <alignment horizontal="center" readingOrder="0"/>
    </xf>
    <xf borderId="0" fillId="0" fontId="3" numFmtId="2" xfId="0" applyAlignment="1" applyFont="1" applyNumberFormat="1">
      <alignment horizontal="center"/>
    </xf>
    <xf borderId="3" fillId="0" fontId="1" numFmtId="0" xfId="0" applyAlignment="1" applyBorder="1" applyFont="1">
      <alignment readingOrder="0"/>
    </xf>
    <xf borderId="4" fillId="0" fontId="1" numFmtId="0" xfId="0" applyAlignment="1" applyBorder="1" applyFont="1">
      <alignment horizontal="center" readingOrder="0" vertical="top"/>
    </xf>
    <xf borderId="4" fillId="0" fontId="1" numFmtId="2" xfId="0" applyAlignment="1" applyBorder="1" applyFont="1" applyNumberFormat="1">
      <alignment horizontal="center" readingOrder="0" vertical="top"/>
    </xf>
    <xf borderId="4" fillId="0" fontId="10" numFmtId="2" xfId="0" applyAlignment="1" applyBorder="1" applyFont="1" applyNumberFormat="1">
      <alignment horizontal="center"/>
    </xf>
    <xf borderId="5" fillId="0" fontId="0" numFmtId="0" xfId="0" applyAlignment="1" applyBorder="1" applyFont="1">
      <alignment readingOrder="0"/>
    </xf>
    <xf borderId="6" fillId="0" fontId="0" numFmtId="2" xfId="0" applyAlignment="1" applyBorder="1" applyFont="1" applyNumberFormat="1">
      <alignment horizontal="center" readingOrder="0" vertical="top"/>
    </xf>
    <xf borderId="7" fillId="0" fontId="0" numFmtId="0" xfId="0" applyAlignment="1" applyBorder="1" applyFont="1">
      <alignment readingOrder="0"/>
    </xf>
    <xf borderId="8" fillId="0" fontId="0" numFmtId="2" xfId="0" applyAlignment="1" applyBorder="1" applyFont="1" applyNumberFormat="1">
      <alignment horizontal="center" readingOrder="0" vertical="top"/>
    </xf>
    <xf borderId="0" fillId="0" fontId="14" numFmtId="0" xfId="0" applyAlignment="1" applyFont="1">
      <alignment readingOrder="0"/>
    </xf>
    <xf borderId="7" fillId="0" fontId="1" numFmtId="0" xfId="0" applyAlignment="1" applyBorder="1" applyFont="1">
      <alignment readingOrder="0"/>
    </xf>
    <xf borderId="0" fillId="0" fontId="15" numFmtId="0" xfId="0" applyAlignment="1" applyFont="1">
      <alignment readingOrder="0"/>
    </xf>
    <xf borderId="8" fillId="0" fontId="1" numFmtId="0" xfId="0" applyAlignment="1" applyBorder="1" applyFont="1">
      <alignment horizontal="center" readingOrder="0" vertical="top"/>
    </xf>
    <xf borderId="9" fillId="0" fontId="16" numFmtId="0" xfId="0" applyAlignment="1" applyBorder="1" applyFont="1">
      <alignment readingOrder="0"/>
    </xf>
    <xf borderId="10" fillId="0" fontId="3" numFmtId="10" xfId="0" applyBorder="1" applyFont="1" applyNumberFormat="1"/>
    <xf borderId="0" fillId="0" fontId="10" numFmtId="0" xfId="0" applyAlignment="1" applyFont="1">
      <alignment readingOrder="0"/>
    </xf>
    <xf borderId="11" fillId="2" fontId="1" numFmtId="0" xfId="0" applyAlignment="1" applyBorder="1" applyFont="1">
      <alignment horizontal="center" readingOrder="0" vertical="top"/>
    </xf>
    <xf borderId="11" fillId="2" fontId="2" numFmtId="0" xfId="0" applyAlignment="1" applyBorder="1" applyFont="1">
      <alignment horizontal="center" readingOrder="0" vertical="top"/>
    </xf>
    <xf borderId="3" fillId="2" fontId="1" numFmtId="0" xfId="0" applyAlignment="1" applyBorder="1" applyFont="1">
      <alignment horizontal="center" readingOrder="0" vertical="top"/>
    </xf>
    <xf borderId="4" fillId="0" fontId="17" numFmtId="0" xfId="0" applyBorder="1" applyFont="1"/>
    <xf borderId="12" fillId="0" fontId="17" numFmtId="0" xfId="0" applyBorder="1" applyFont="1"/>
    <xf borderId="13" fillId="0" fontId="17" numFmtId="0" xfId="0" applyBorder="1" applyFont="1"/>
    <xf borderId="1" fillId="2" fontId="1" numFmtId="10" xfId="0" applyAlignment="1" applyBorder="1" applyFont="1" applyNumberFormat="1">
      <alignment horizontal="center" readingOrder="0" vertical="top"/>
    </xf>
    <xf borderId="1" fillId="0" fontId="1" numFmtId="0" xfId="0" applyAlignment="1" applyBorder="1" applyFont="1">
      <alignment horizontal="center" readingOrder="0" vertical="top"/>
    </xf>
    <xf borderId="1" fillId="0" fontId="7" numFmtId="165" xfId="0" applyAlignment="1" applyBorder="1" applyFont="1" applyNumberFormat="1">
      <alignment horizontal="center" readingOrder="0" vertical="top"/>
    </xf>
    <xf borderId="0" fillId="0" fontId="4" numFmtId="2" xfId="0" applyAlignment="1" applyFont="1" applyNumberFormat="1">
      <alignment horizontal="center" readingOrder="0" vertical="top"/>
    </xf>
    <xf borderId="0" fillId="0" fontId="0" numFmtId="2" xfId="0" applyAlignment="1" applyFont="1" applyNumberFormat="1">
      <alignment horizontal="left" readingOrder="0" vertical="top"/>
    </xf>
    <xf borderId="1" fillId="0" fontId="3" numFmtId="0" xfId="0" applyAlignment="1" applyBorder="1" applyFont="1">
      <alignment horizontal="center" readingOrder="0"/>
    </xf>
    <xf borderId="1" fillId="0" fontId="3" numFmtId="2" xfId="0" applyAlignment="1" applyBorder="1" applyFont="1" applyNumberFormat="1">
      <alignment horizontal="center"/>
    </xf>
    <xf borderId="0" fillId="0" fontId="18" numFmtId="0" xfId="0" applyAlignment="1" applyFont="1">
      <alignment readingOrder="0"/>
    </xf>
    <xf borderId="0" fillId="0" fontId="19" numFmtId="0" xfId="0" applyAlignment="1" applyFont="1">
      <alignment readingOrder="0"/>
    </xf>
    <xf borderId="0" fillId="0" fontId="19" numFmtId="0" xfId="0" applyFont="1"/>
    <xf borderId="0" fillId="4" fontId="19" numFmtId="0" xfId="0" applyAlignment="1" applyFill="1" applyFont="1">
      <alignment readingOrder="0"/>
    </xf>
    <xf borderId="0" fillId="4" fontId="19"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84</xdr:row>
      <xdr:rowOff>47625</xdr:rowOff>
    </xdr:from>
    <xdr:ext cx="4962525" cy="2438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209550</xdr:colOff>
      <xdr:row>110</xdr:row>
      <xdr:rowOff>-171450</xdr:rowOff>
    </xdr:from>
    <xdr:ext cx="7077075" cy="26479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209550</xdr:colOff>
      <xdr:row>138</xdr:row>
      <xdr:rowOff>114300</xdr:rowOff>
    </xdr:from>
    <xdr:ext cx="7077075" cy="27051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209550</xdr:colOff>
      <xdr:row>123</xdr:row>
      <xdr:rowOff>114300</xdr:rowOff>
    </xdr:from>
    <xdr:ext cx="7077075" cy="276225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428625</xdr:colOff>
      <xdr:row>155</xdr:row>
      <xdr:rowOff>66675</xdr:rowOff>
    </xdr:from>
    <xdr:ext cx="6134100" cy="30480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247650</xdr:colOff>
      <xdr:row>181</xdr:row>
      <xdr:rowOff>152400</xdr:rowOff>
    </xdr:from>
    <xdr:ext cx="6276975" cy="2933700"/>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hainalysis.com/blog/2024-global-crypto-adoption-index/" TargetMode="External"/><Relationship Id="rId2" Type="http://schemas.openxmlformats.org/officeDocument/2006/relationships/hyperlink" Target="https://www.grayscale.com/research/market-commentary/april-2024-crypto-tailwinds-macro-headwinds" TargetMode="External"/><Relationship Id="rId3" Type="http://schemas.openxmlformats.org/officeDocument/2006/relationships/hyperlink" Target="https://fred.stlouisfed.org/series/WM2NS" TargetMode="External"/><Relationship Id="rId4" Type="http://schemas.openxmlformats.org/officeDocument/2006/relationships/hyperlink" Target="http://www.gold.org/goldhub/data/how-much-gold" TargetMode="External"/><Relationship Id="rId9" Type="http://schemas.openxmlformats.org/officeDocument/2006/relationships/drawing" Target="../drawings/drawing1.xml"/><Relationship Id="rId5" Type="http://schemas.openxmlformats.org/officeDocument/2006/relationships/hyperlink" Target="http://www.federalreserve.gov/data/intlsumm/current.htm" TargetMode="External"/><Relationship Id="rId6" Type="http://schemas.openxmlformats.org/officeDocument/2006/relationships/hyperlink" Target="https://documents1.worldbank.org/curated/en/099714008132436612/pdf/IDU1a9cf73b51fcad1425a1a0dd1cc8f2f3331ce.pdf" TargetMode="External"/><Relationship Id="rId7" Type="http://schemas.openxmlformats.org/officeDocument/2006/relationships/hyperlink" Target="http://www.frbservices.org/resources/financialservices/wires/volume-value-stats/annual-stats.html" TargetMode="External"/><Relationship Id="rId8" Type="http://schemas.openxmlformats.org/officeDocument/2006/relationships/hyperlink" Target="https://github.com/jiarong15/lstm-stock-price-predi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8.88"/>
    <col customWidth="1" min="2" max="2" width="14.25"/>
  </cols>
  <sheetData>
    <row r="1">
      <c r="A1" s="1" t="s">
        <v>0</v>
      </c>
      <c r="I1" s="2"/>
      <c r="J1" s="2"/>
      <c r="K1" s="2"/>
      <c r="L1" s="2"/>
      <c r="M1" s="2"/>
    </row>
    <row r="2">
      <c r="A2" s="3" t="s">
        <v>1</v>
      </c>
      <c r="B2" s="4">
        <v>2020.0</v>
      </c>
      <c r="C2" s="4">
        <v>2021.0</v>
      </c>
      <c r="D2" s="4">
        <v>2022.0</v>
      </c>
      <c r="E2" s="4">
        <v>2023.0</v>
      </c>
      <c r="F2" s="4">
        <v>2024.0</v>
      </c>
      <c r="G2" s="5"/>
      <c r="H2" s="6"/>
      <c r="J2" s="2"/>
      <c r="M2" s="2"/>
    </row>
    <row r="3">
      <c r="A3" s="7" t="s">
        <v>2</v>
      </c>
      <c r="B3" s="8">
        <f>324280095.18/10^6</f>
        <v>324.2800952</v>
      </c>
      <c r="C3" s="8">
        <f>1016536364.97/10^6</f>
        <v>1016.536365</v>
      </c>
      <c r="D3" s="8">
        <f>141941397.99/10^6</f>
        <v>141.941398</v>
      </c>
      <c r="E3" s="8">
        <f>796125705.38/10^6</f>
        <v>796.1257054</v>
      </c>
      <c r="F3" s="8">
        <f>879056135.51/10^6</f>
        <v>879.0561355</v>
      </c>
      <c r="G3" s="9"/>
      <c r="H3" s="6"/>
      <c r="J3" s="10"/>
      <c r="K3" s="10"/>
      <c r="L3" s="10"/>
      <c r="M3" s="10"/>
      <c r="N3" s="10"/>
    </row>
    <row r="4">
      <c r="A4" s="7" t="s">
        <v>3</v>
      </c>
      <c r="B4" s="8">
        <f>11111.84/10^3</f>
        <v>11.11184</v>
      </c>
      <c r="C4" s="8">
        <f>47489.12/10^3</f>
        <v>47.48912</v>
      </c>
      <c r="D4" s="8">
        <f>28215.21/10^3</f>
        <v>28.21521</v>
      </c>
      <c r="E4" s="8">
        <f>28864.49/10^3</f>
        <v>28.86449</v>
      </c>
      <c r="F4" s="8">
        <f>62582.33/10^3</f>
        <v>62.58233</v>
      </c>
      <c r="G4" s="9"/>
      <c r="H4" s="6"/>
      <c r="J4" s="11"/>
      <c r="M4" s="11"/>
    </row>
    <row r="5">
      <c r="A5" s="7" t="s">
        <v>4</v>
      </c>
      <c r="B5" s="8">
        <f>18399811.25/10^6</f>
        <v>18.39981125</v>
      </c>
      <c r="C5" s="8">
        <f>18751112.81/10^6</f>
        <v>18.75111281</v>
      </c>
      <c r="D5" s="8">
        <f>19083712.1/10^6</f>
        <v>19.0837121</v>
      </c>
      <c r="E5" s="8">
        <f>19418359.67/10^6</f>
        <v>19.41835967</v>
      </c>
      <c r="F5" s="8">
        <f>19703982.35 / 10^6</f>
        <v>19.70398235</v>
      </c>
      <c r="G5" s="9"/>
      <c r="H5" s="6"/>
      <c r="J5" s="11"/>
      <c r="M5" s="11"/>
    </row>
    <row r="6">
      <c r="A6" s="12" t="s">
        <v>5</v>
      </c>
      <c r="B6" s="13">
        <v>0.0</v>
      </c>
      <c r="C6" s="13">
        <v>0.0</v>
      </c>
      <c r="D6" s="13">
        <v>0.0</v>
      </c>
      <c r="E6" s="13">
        <v>0.0</v>
      </c>
      <c r="F6" s="13">
        <v>0.0</v>
      </c>
      <c r="G6" s="14"/>
      <c r="H6" s="6">
        <f>B3/C3</f>
        <v>0.3190049135</v>
      </c>
      <c r="J6" s="11"/>
      <c r="M6" s="11"/>
    </row>
    <row r="7">
      <c r="A7" s="12" t="s">
        <v>6</v>
      </c>
      <c r="B7" s="13">
        <f>4670764391.95/10^9</f>
        <v>4.670764392</v>
      </c>
      <c r="C7" s="13">
        <f>15695931716.09/10^9</f>
        <v>15.69593172</v>
      </c>
      <c r="D7" s="13">
        <f>9420286818.23/10^9</f>
        <v>9.420286818</v>
      </c>
      <c r="E7" s="13">
        <f>9712804545.89/10^9</f>
        <v>9.712804546</v>
      </c>
      <c r="F7" s="13">
        <f>12295830417.66/10^9</f>
        <v>12.29583042</v>
      </c>
      <c r="G7" s="14"/>
      <c r="H7" s="6"/>
      <c r="J7" s="11"/>
      <c r="M7" s="11"/>
    </row>
    <row r="8">
      <c r="A8" s="15" t="s">
        <v>7</v>
      </c>
      <c r="B8" s="16">
        <f>233348579929.05/10^12</f>
        <v>0.2333485799</v>
      </c>
      <c r="C8" s="16">
        <f>997271538466.71/10^12</f>
        <v>0.9972715385</v>
      </c>
      <c r="D8" s="16">
        <f>592519503636.07/10^12</f>
        <v>0.5925195036</v>
      </c>
      <c r="E8" s="16">
        <f>606154333766.29/10^12</f>
        <v>0.6061543338</v>
      </c>
      <c r="F8" s="16">
        <f>1314228898905.45/10^12</f>
        <v>1.314228899</v>
      </c>
      <c r="G8" s="14"/>
      <c r="H8" s="6"/>
      <c r="J8" s="11"/>
      <c r="M8" s="11"/>
    </row>
    <row r="9">
      <c r="A9" s="7" t="s">
        <v>8</v>
      </c>
      <c r="B9" s="8">
        <f>204836852791.96/10^12</f>
        <v>0.2048368528</v>
      </c>
      <c r="C9" s="8">
        <f>890802567100.35/10^12</f>
        <v>0.8908025671</v>
      </c>
      <c r="D9" s="8">
        <f>537560439767.88/10^12</f>
        <v>0.5375604398</v>
      </c>
      <c r="E9" s="8">
        <f>560908036818.97/10^12</f>
        <v>0.5609080368</v>
      </c>
      <c r="F9" s="8">
        <f>1233455803443.89/10^12</f>
        <v>1.233455803</v>
      </c>
      <c r="G9" s="9"/>
      <c r="H9" s="6"/>
      <c r="J9" s="11"/>
      <c r="M9" s="11"/>
    </row>
    <row r="10">
      <c r="A10" s="7" t="s">
        <v>9</v>
      </c>
      <c r="B10" s="8">
        <f>11601756859891.7/10^12</f>
        <v>11.60175686</v>
      </c>
      <c r="C10" s="8">
        <f>16800771488538.1 / 10^12</f>
        <v>16.80077149</v>
      </c>
      <c r="D10" s="8">
        <f>10145720104053.9 / 10^12</f>
        <v>10.1457201</v>
      </c>
      <c r="E10" s="8">
        <f>6926895070866.97 / 10^12</f>
        <v>6.926895071</v>
      </c>
      <c r="F10" s="8">
        <f>11465339505227.6 / 10^12</f>
        <v>11.46533951</v>
      </c>
      <c r="G10" s="9"/>
      <c r="H10" s="6"/>
      <c r="J10" s="11"/>
      <c r="M10" s="11"/>
    </row>
    <row r="11">
      <c r="A11" s="7" t="s">
        <v>10</v>
      </c>
      <c r="B11" s="8">
        <f>38584321.4234973/10^6</f>
        <v>38.58432142</v>
      </c>
      <c r="C11" s="8">
        <f>47869443.4575342/10^6</f>
        <v>47.86944346</v>
      </c>
      <c r="D11" s="8">
        <f>54625388.520548/10^6</f>
        <v>54.62538852</v>
      </c>
      <c r="E11" s="8">
        <f>61657079.8931507/10^6</f>
        <v>61.65707989</v>
      </c>
      <c r="F11" s="8">
        <f>68486007.7492447/10^6</f>
        <v>68.48600775</v>
      </c>
      <c r="G11" s="9"/>
      <c r="H11" s="6"/>
      <c r="J11" s="11"/>
      <c r="M11" s="11"/>
    </row>
    <row r="12">
      <c r="A12" s="15" t="s">
        <v>11</v>
      </c>
      <c r="B12" s="17">
        <v>1311.62</v>
      </c>
      <c r="C12" s="17">
        <v>2202.04</v>
      </c>
      <c r="D12" s="17">
        <v>4019.89</v>
      </c>
      <c r="E12" s="17">
        <v>2068.05</v>
      </c>
      <c r="F12" s="17">
        <v>2588.46</v>
      </c>
      <c r="G12" s="18"/>
      <c r="H12" s="6"/>
      <c r="J12" s="11"/>
      <c r="M12" s="11"/>
    </row>
    <row r="13">
      <c r="A13" s="7" t="s">
        <v>12</v>
      </c>
      <c r="B13" s="19">
        <v>1144.39</v>
      </c>
      <c r="C13" s="19">
        <v>1973.0</v>
      </c>
      <c r="D13" s="19">
        <v>3650.41</v>
      </c>
      <c r="E13" s="19">
        <v>1908.69</v>
      </c>
      <c r="F13" s="19">
        <v>2432.67</v>
      </c>
      <c r="G13" s="20"/>
      <c r="H13" s="6"/>
      <c r="J13" s="11"/>
      <c r="M13" s="11"/>
    </row>
    <row r="14">
      <c r="A14" s="12" t="s">
        <v>13</v>
      </c>
      <c r="B14" s="13">
        <f>575384.72/10^6</f>
        <v>0.57538472</v>
      </c>
      <c r="C14" s="13">
        <f>612741.31/10^6</f>
        <v>0.61274131</v>
      </c>
      <c r="D14" s="13">
        <f>589070.77/10^6</f>
        <v>0.58907077</v>
      </c>
      <c r="E14" s="13">
        <f>618802.02/10^6</f>
        <v>0.61880202</v>
      </c>
      <c r="F14" s="13">
        <f>471126.09/10^6</f>
        <v>0.47112609</v>
      </c>
      <c r="G14" s="9"/>
      <c r="H14" s="6"/>
      <c r="J14" s="11"/>
      <c r="M14" s="11"/>
    </row>
    <row r="15">
      <c r="A15" s="7" t="s">
        <v>14</v>
      </c>
      <c r="B15" s="8">
        <f>14234026.93/10^6</f>
        <v>14.23402693</v>
      </c>
      <c r="C15" s="8">
        <f>14978938.6/10^6</f>
        <v>14.9789386</v>
      </c>
      <c r="D15" s="8">
        <f>13596333.82/10^6</f>
        <v>13.59633382</v>
      </c>
      <c r="E15" s="8">
        <f>14862303.35/10^6</f>
        <v>14.86230335</v>
      </c>
      <c r="F15" s="8">
        <f>11119364.35/10^6</f>
        <v>11.11936435</v>
      </c>
      <c r="G15" s="9"/>
      <c r="H15" s="6"/>
      <c r="J15" s="11"/>
      <c r="M15" s="11"/>
    </row>
    <row r="16">
      <c r="A16" s="7" t="s">
        <v>15</v>
      </c>
      <c r="B16" s="8">
        <v>44.494535519</v>
      </c>
      <c r="C16" s="8">
        <v>45.591780822</v>
      </c>
      <c r="D16" s="8">
        <v>37.95890411</v>
      </c>
      <c r="E16" s="8">
        <v>13.115068493</v>
      </c>
      <c r="F16" s="8">
        <v>17.413897281</v>
      </c>
      <c r="G16" s="9"/>
      <c r="H16" s="6"/>
      <c r="J16" s="11"/>
      <c r="M16" s="11"/>
    </row>
    <row r="17">
      <c r="A17" s="7" t="s">
        <v>16</v>
      </c>
      <c r="B17" s="21">
        <v>5036.0</v>
      </c>
      <c r="C17" s="21">
        <v>5103.0</v>
      </c>
      <c r="D17" s="21">
        <v>3810.0</v>
      </c>
      <c r="E17" s="21">
        <v>1436.0</v>
      </c>
      <c r="F17" s="21">
        <v>1495.0</v>
      </c>
      <c r="G17" s="22"/>
      <c r="H17" s="6"/>
    </row>
    <row r="18">
      <c r="A18" s="7" t="s">
        <v>17</v>
      </c>
      <c r="B18" s="4"/>
      <c r="C18" s="4"/>
      <c r="D18" s="4"/>
      <c r="E18" s="4"/>
      <c r="F18" s="8">
        <f>4297348949/10^9</f>
        <v>4.297348949</v>
      </c>
      <c r="G18" s="9"/>
      <c r="H18" s="6"/>
    </row>
    <row r="19">
      <c r="A19" s="7" t="s">
        <v>18</v>
      </c>
      <c r="B19" s="4"/>
      <c r="C19" s="4"/>
      <c r="D19" s="4"/>
      <c r="E19" s="4"/>
      <c r="F19" s="8">
        <f>(F9*10^12)/(F18*10^9)</f>
        <v>287.0271458</v>
      </c>
      <c r="G19" s="9"/>
      <c r="H19" s="6"/>
      <c r="I19" s="23"/>
      <c r="J19" s="23"/>
      <c r="K19" s="23"/>
      <c r="L19" s="23"/>
      <c r="M19" s="23"/>
      <c r="N19" s="23"/>
    </row>
    <row r="20">
      <c r="A20" s="24"/>
      <c r="B20" s="25"/>
      <c r="C20" s="26"/>
      <c r="D20" s="26"/>
      <c r="E20" s="26"/>
      <c r="F20" s="27"/>
      <c r="G20" s="27"/>
      <c r="H20" s="27"/>
      <c r="I20" s="23"/>
      <c r="J20" s="23"/>
      <c r="K20" s="23"/>
      <c r="L20" s="23"/>
      <c r="M20" s="23"/>
      <c r="N20" s="23"/>
    </row>
    <row r="21">
      <c r="A21" s="24"/>
      <c r="B21" s="25"/>
      <c r="C21" s="26"/>
      <c r="D21" s="26"/>
      <c r="E21" s="26"/>
      <c r="F21" s="27"/>
      <c r="G21" s="27"/>
      <c r="H21" s="27"/>
      <c r="I21" s="23"/>
      <c r="J21" s="23"/>
      <c r="K21" s="23"/>
      <c r="L21" s="23"/>
      <c r="M21" s="23"/>
      <c r="N21" s="23"/>
    </row>
    <row r="22">
      <c r="A22" s="28" t="s">
        <v>19</v>
      </c>
      <c r="B22" s="29">
        <v>2020.0</v>
      </c>
      <c r="C22" s="29">
        <f t="shared" ref="C22:F22" si="1">B22+1</f>
        <v>2021</v>
      </c>
      <c r="D22" s="29">
        <f t="shared" si="1"/>
        <v>2022</v>
      </c>
      <c r="E22" s="29">
        <f t="shared" si="1"/>
        <v>2023</v>
      </c>
      <c r="F22" s="29">
        <f t="shared" si="1"/>
        <v>2024</v>
      </c>
      <c r="G22" s="6"/>
      <c r="H22" s="6"/>
      <c r="K22" s="30"/>
      <c r="L22" s="30"/>
      <c r="M22" s="30"/>
      <c r="N22" s="30"/>
    </row>
    <row r="23">
      <c r="A23" s="24" t="s">
        <v>20</v>
      </c>
      <c r="B23" s="31" t="s">
        <v>21</v>
      </c>
      <c r="C23" s="32">
        <f>(C3/B3)-1</f>
        <v>2.134747954</v>
      </c>
      <c r="D23" s="33">
        <f t="shared" ref="D23:F23" si="2">D3/C3-1</f>
        <v>-0.8603676141</v>
      </c>
      <c r="E23" s="32">
        <f t="shared" si="2"/>
        <v>4.608833763</v>
      </c>
      <c r="F23" s="32">
        <f t="shared" si="2"/>
        <v>0.1041675072</v>
      </c>
      <c r="G23" s="6"/>
      <c r="H23" s="6"/>
      <c r="K23" s="30"/>
      <c r="L23" s="30"/>
      <c r="M23" s="30"/>
      <c r="N23" s="30"/>
    </row>
    <row r="24">
      <c r="A24" s="34" t="s">
        <v>22</v>
      </c>
      <c r="B24" s="31" t="s">
        <v>21</v>
      </c>
      <c r="C24" s="32">
        <f t="shared" ref="C24:F24" si="3">C9/B9-1</f>
        <v>3.348839357</v>
      </c>
      <c r="D24" s="33">
        <f t="shared" si="3"/>
        <v>-0.3965436791</v>
      </c>
      <c r="E24" s="32">
        <f t="shared" si="3"/>
        <v>0.04343250605</v>
      </c>
      <c r="F24" s="32">
        <f t="shared" si="3"/>
        <v>1.199033928</v>
      </c>
      <c r="G24" s="6"/>
      <c r="H24" s="6"/>
      <c r="K24" s="35"/>
      <c r="L24" s="30"/>
      <c r="M24" s="30"/>
      <c r="N24" s="30"/>
    </row>
    <row r="25">
      <c r="A25" s="34" t="s">
        <v>23</v>
      </c>
      <c r="B25" s="31" t="s">
        <v>21</v>
      </c>
      <c r="C25" s="32">
        <f t="shared" ref="C25:F25" si="4">C8/B8-1</f>
        <v>3.273741622</v>
      </c>
      <c r="D25" s="33">
        <f t="shared" si="4"/>
        <v>-0.4058594066</v>
      </c>
      <c r="E25" s="32">
        <f t="shared" si="4"/>
        <v>0.02301161404</v>
      </c>
      <c r="F25" s="32">
        <f t="shared" si="4"/>
        <v>1.168142378</v>
      </c>
      <c r="G25" s="6"/>
      <c r="H25" s="6"/>
      <c r="K25" s="35"/>
      <c r="L25" s="30"/>
      <c r="M25" s="30"/>
      <c r="N25" s="30"/>
    </row>
    <row r="26">
      <c r="A26" s="34" t="s">
        <v>24</v>
      </c>
      <c r="B26" s="31" t="s">
        <v>21</v>
      </c>
      <c r="C26" s="32">
        <f t="shared" ref="C26:F26" si="5">C15/B15-1</f>
        <v>0.0523331643</v>
      </c>
      <c r="D26" s="33">
        <f t="shared" si="5"/>
        <v>-0.09230325438</v>
      </c>
      <c r="E26" s="32">
        <f t="shared" si="5"/>
        <v>0.093111095</v>
      </c>
      <c r="F26" s="33">
        <f t="shared" si="5"/>
        <v>-0.2518411118</v>
      </c>
      <c r="G26" s="6"/>
      <c r="H26" s="6"/>
      <c r="K26" s="30"/>
      <c r="L26" s="30"/>
      <c r="M26" s="30"/>
      <c r="N26" s="30"/>
    </row>
    <row r="27">
      <c r="A27" s="34" t="s">
        <v>25</v>
      </c>
      <c r="B27" s="31" t="s">
        <v>21</v>
      </c>
      <c r="C27" s="32">
        <f t="shared" ref="C27:F27" si="6">C11/B11-1</f>
        <v>0.2406449483</v>
      </c>
      <c r="D27" s="32">
        <f t="shared" si="6"/>
        <v>0.1411327263</v>
      </c>
      <c r="E27" s="32">
        <f t="shared" si="6"/>
        <v>0.1287257</v>
      </c>
      <c r="F27" s="32">
        <f t="shared" si="6"/>
        <v>0.110756589</v>
      </c>
      <c r="G27" s="6"/>
      <c r="H27" s="6"/>
      <c r="K27" s="36"/>
      <c r="L27" s="36"/>
      <c r="M27" s="36"/>
      <c r="N27" s="36"/>
    </row>
    <row r="28">
      <c r="A28" s="34" t="s">
        <v>26</v>
      </c>
      <c r="B28" s="31" t="s">
        <v>21</v>
      </c>
      <c r="C28" s="32">
        <f t="shared" ref="C28:F28" si="7">C10/B10-1</f>
        <v>0.4481230465</v>
      </c>
      <c r="D28" s="33">
        <f t="shared" si="7"/>
        <v>-0.3961158206</v>
      </c>
      <c r="E28" s="33">
        <f t="shared" si="7"/>
        <v>-0.3172593961</v>
      </c>
      <c r="F28" s="32">
        <f t="shared" si="7"/>
        <v>0.65519174</v>
      </c>
      <c r="G28" s="6"/>
      <c r="H28" s="6"/>
      <c r="K28" s="36"/>
      <c r="L28" s="36"/>
      <c r="M28" s="36"/>
      <c r="N28" s="36"/>
    </row>
    <row r="29">
      <c r="A29" s="37" t="s">
        <v>27</v>
      </c>
      <c r="B29" s="38" t="s">
        <v>21</v>
      </c>
      <c r="C29" s="32">
        <f t="shared" ref="C29:F29" si="8">C16/B16-1</f>
        <v>0.02466022603</v>
      </c>
      <c r="D29" s="33">
        <f t="shared" si="8"/>
        <v>-0.1674178234</v>
      </c>
      <c r="E29" s="33">
        <f t="shared" si="8"/>
        <v>-0.6544929628</v>
      </c>
      <c r="F29" s="32">
        <f t="shared" si="8"/>
        <v>0.3277778374</v>
      </c>
      <c r="K29" s="39"/>
      <c r="L29" s="39"/>
      <c r="M29" s="39"/>
      <c r="N29" s="39"/>
    </row>
    <row r="30">
      <c r="A30" s="37" t="s">
        <v>28</v>
      </c>
      <c r="B30" s="38" t="s">
        <v>21</v>
      </c>
      <c r="C30" s="32">
        <f t="shared" ref="C30:F30" si="9">C17/B17-1</f>
        <v>0.01330420969</v>
      </c>
      <c r="D30" s="33">
        <f t="shared" si="9"/>
        <v>-0.2533803645</v>
      </c>
      <c r="E30" s="33">
        <f t="shared" si="9"/>
        <v>-0.6230971129</v>
      </c>
      <c r="F30" s="32">
        <f t="shared" si="9"/>
        <v>0.04108635097</v>
      </c>
      <c r="K30" s="39"/>
      <c r="L30" s="39"/>
      <c r="M30" s="39"/>
      <c r="N30" s="39"/>
    </row>
    <row r="31">
      <c r="A31" s="39" t="s">
        <v>29</v>
      </c>
      <c r="B31" s="38" t="s">
        <v>21</v>
      </c>
      <c r="C31" s="32">
        <f t="shared" ref="C31:F31" si="10">C13/B13-1</f>
        <v>0.724062601</v>
      </c>
      <c r="D31" s="32">
        <f t="shared" si="10"/>
        <v>0.8501824633</v>
      </c>
      <c r="E31" s="33">
        <f t="shared" si="10"/>
        <v>-0.4771299662</v>
      </c>
      <c r="F31" s="32">
        <f t="shared" si="10"/>
        <v>0.2745233642</v>
      </c>
      <c r="K31" s="23"/>
      <c r="L31" s="23"/>
      <c r="M31" s="23"/>
      <c r="N31" s="23"/>
    </row>
    <row r="32">
      <c r="A32" s="39" t="s">
        <v>30</v>
      </c>
      <c r="B32" s="40" t="s">
        <v>21</v>
      </c>
      <c r="C32" s="32">
        <f t="shared" ref="C32:F32" si="11">C7/B7-1</f>
        <v>2.36046317</v>
      </c>
      <c r="D32" s="33">
        <f t="shared" si="11"/>
        <v>-0.3998262105</v>
      </c>
      <c r="E32" s="41">
        <f t="shared" si="11"/>
        <v>0.03105189187</v>
      </c>
      <c r="F32" s="32">
        <f t="shared" si="11"/>
        <v>0.2659402709</v>
      </c>
      <c r="I32" s="23"/>
      <c r="J32" s="23"/>
      <c r="K32" s="23"/>
      <c r="L32" s="23"/>
      <c r="M32" s="23"/>
      <c r="N32" s="23"/>
    </row>
    <row r="33">
      <c r="A33" s="39"/>
      <c r="B33" s="40"/>
      <c r="C33" s="40"/>
      <c r="D33" s="40"/>
      <c r="I33" s="23"/>
      <c r="J33" s="23"/>
      <c r="K33" s="23"/>
      <c r="L33" s="23"/>
      <c r="M33" s="23"/>
      <c r="N33" s="23"/>
    </row>
    <row r="34">
      <c r="A34" s="39"/>
      <c r="B34" s="40"/>
      <c r="C34" s="40"/>
      <c r="D34" s="40"/>
      <c r="I34" s="23"/>
      <c r="J34" s="23"/>
      <c r="K34" s="23"/>
      <c r="L34" s="23"/>
      <c r="M34" s="23"/>
      <c r="N34" s="23"/>
    </row>
    <row r="35">
      <c r="A35" s="28" t="s">
        <v>31</v>
      </c>
      <c r="B35" s="42"/>
      <c r="C35" s="42"/>
      <c r="D35" s="42">
        <f>2024</f>
        <v>2024</v>
      </c>
      <c r="E35" s="42">
        <f t="shared" ref="E35:I35" si="12">D35+1</f>
        <v>2025</v>
      </c>
      <c r="F35" s="42">
        <f t="shared" si="12"/>
        <v>2026</v>
      </c>
      <c r="G35" s="42">
        <f t="shared" si="12"/>
        <v>2027</v>
      </c>
      <c r="H35" s="42">
        <f t="shared" si="12"/>
        <v>2028</v>
      </c>
      <c r="I35" s="42">
        <f t="shared" si="12"/>
        <v>2029</v>
      </c>
      <c r="J35" s="23"/>
      <c r="K35" s="23"/>
      <c r="L35" s="23"/>
      <c r="M35" s="23"/>
      <c r="N35" s="23"/>
    </row>
    <row r="36">
      <c r="A36" s="24" t="s">
        <v>32</v>
      </c>
      <c r="B36" s="43">
        <f>-1 + (F3/B3)^(1/5)</f>
        <v>0.2207290045</v>
      </c>
      <c r="C36" s="5"/>
      <c r="D36" s="5"/>
      <c r="E36" s="6"/>
      <c r="F36" s="6"/>
      <c r="G36" s="6"/>
      <c r="H36" s="6"/>
      <c r="I36" s="6"/>
      <c r="J36" s="23"/>
      <c r="K36" s="23"/>
      <c r="L36" s="23"/>
      <c r="M36" s="23"/>
      <c r="N36" s="23"/>
    </row>
    <row r="37">
      <c r="A37" s="24" t="s">
        <v>33</v>
      </c>
      <c r="B37" s="5"/>
      <c r="C37" s="5"/>
      <c r="D37" s="9">
        <f>F3+F6+(F7*10^3)</f>
        <v>13174.88655</v>
      </c>
      <c r="E37" s="9">
        <f t="shared" ref="E37:I37" si="13">D37*(1+E38)</f>
        <v>17400.4548</v>
      </c>
      <c r="F37" s="9">
        <f t="shared" si="13"/>
        <v>24721.33083</v>
      </c>
      <c r="G37" s="9">
        <f t="shared" si="13"/>
        <v>37594.44482</v>
      </c>
      <c r="H37" s="9">
        <f t="shared" si="13"/>
        <v>60930.40713</v>
      </c>
      <c r="I37" s="9">
        <f t="shared" si="13"/>
        <v>110937.7595</v>
      </c>
      <c r="J37" s="23"/>
      <c r="K37" s="23"/>
      <c r="L37" s="23"/>
      <c r="M37" s="23"/>
      <c r="N37" s="23"/>
    </row>
    <row r="38">
      <c r="A38" s="24" t="s">
        <v>34</v>
      </c>
      <c r="B38" s="5"/>
      <c r="C38" s="5"/>
      <c r="D38" s="44">
        <v>0.2207</v>
      </c>
      <c r="E38" s="43">
        <f>B36+10%</f>
        <v>0.3207290045</v>
      </c>
      <c r="F38" s="43">
        <f t="shared" ref="F38:H38" si="14">E38+10%</f>
        <v>0.4207290045</v>
      </c>
      <c r="G38" s="43">
        <f t="shared" si="14"/>
        <v>0.5207290045</v>
      </c>
      <c r="H38" s="43">
        <f t="shared" si="14"/>
        <v>0.6207290045</v>
      </c>
      <c r="I38" s="43">
        <f>H38+20%</f>
        <v>0.8207290045</v>
      </c>
      <c r="K38" s="23"/>
      <c r="L38" s="23"/>
      <c r="M38" s="23"/>
      <c r="N38" s="23"/>
    </row>
    <row r="39">
      <c r="A39" s="24" t="s">
        <v>35</v>
      </c>
      <c r="B39" s="5"/>
      <c r="C39" s="22">
        <v>23.88</v>
      </c>
      <c r="D39" s="5"/>
      <c r="E39" s="25"/>
      <c r="F39" s="25"/>
      <c r="G39" s="25"/>
      <c r="H39" s="25"/>
      <c r="I39" s="45">
        <f>I37 * C39</f>
        <v>2649193.698</v>
      </c>
      <c r="J39" s="23"/>
      <c r="K39" s="23"/>
      <c r="L39" s="23"/>
      <c r="M39" s="23"/>
      <c r="N39" s="23"/>
    </row>
    <row r="40">
      <c r="A40" s="46" t="s">
        <v>36</v>
      </c>
      <c r="B40" s="47"/>
      <c r="C40" s="47"/>
      <c r="D40" s="48">
        <f>D37</f>
        <v>13174.88655</v>
      </c>
      <c r="E40" s="49">
        <f>E37 / (1+B47)^1</f>
        <v>14441.1702</v>
      </c>
      <c r="F40" s="49">
        <f>F37 / (1+B47)^2</f>
        <v>17027.67766</v>
      </c>
      <c r="G40" s="49">
        <f>G37 / (1+B47)^3</f>
        <v>21490.62452</v>
      </c>
      <c r="H40" s="49">
        <f>H37 / (1+B47)^4</f>
        <v>28906.88053</v>
      </c>
      <c r="I40" s="49">
        <f>I39 / (1+B47)^5</f>
        <v>1043092.079</v>
      </c>
      <c r="J40" s="23"/>
      <c r="K40" s="23"/>
      <c r="L40" s="23"/>
      <c r="M40" s="23"/>
      <c r="N40" s="23"/>
    </row>
    <row r="41">
      <c r="A41" s="24"/>
      <c r="B41" s="5"/>
      <c r="C41" s="5"/>
      <c r="D41" s="5"/>
      <c r="E41" s="6"/>
      <c r="F41" s="6"/>
      <c r="G41" s="6"/>
      <c r="H41" s="6"/>
      <c r="I41" s="27"/>
      <c r="J41" s="23"/>
      <c r="K41" s="23"/>
      <c r="L41" s="23"/>
      <c r="M41" s="23"/>
      <c r="N41" s="23"/>
    </row>
    <row r="42">
      <c r="A42" s="24"/>
      <c r="B42" s="5"/>
      <c r="C42" s="5"/>
      <c r="D42" s="5"/>
      <c r="E42" s="6"/>
      <c r="F42" s="6"/>
      <c r="G42" s="6"/>
      <c r="H42" s="6"/>
      <c r="I42" s="27"/>
      <c r="J42" s="39" t="s">
        <v>37</v>
      </c>
    </row>
    <row r="43">
      <c r="A43" s="50" t="s">
        <v>38</v>
      </c>
      <c r="B43" s="51">
        <f>SUM(D40:I40)</f>
        <v>1138133.319</v>
      </c>
      <c r="C43" s="5"/>
      <c r="D43" s="5"/>
      <c r="E43" s="6"/>
      <c r="F43" s="6"/>
      <c r="G43" s="6"/>
      <c r="H43" s="6"/>
      <c r="I43" s="27"/>
      <c r="J43" s="23"/>
    </row>
    <row r="44">
      <c r="A44" s="52" t="s">
        <v>39</v>
      </c>
      <c r="B44" s="53">
        <f>F5</f>
        <v>19.70398235</v>
      </c>
      <c r="C44" s="5"/>
      <c r="D44" s="5"/>
      <c r="E44" s="6"/>
      <c r="F44" s="6"/>
      <c r="G44" s="6"/>
      <c r="H44" s="6"/>
      <c r="I44" s="27"/>
      <c r="J44" s="54" t="s">
        <v>40</v>
      </c>
      <c r="K44" s="23"/>
      <c r="L44" s="23"/>
      <c r="M44" s="23"/>
      <c r="N44" s="23"/>
    </row>
    <row r="45">
      <c r="A45" s="55" t="s">
        <v>41</v>
      </c>
      <c r="B45" s="53">
        <f>B43/B44</f>
        <v>57761.58842</v>
      </c>
      <c r="C45" s="5"/>
      <c r="D45" s="5"/>
      <c r="E45" s="6"/>
      <c r="F45" s="6"/>
      <c r="G45" s="6"/>
      <c r="H45" s="6"/>
      <c r="I45" s="27"/>
      <c r="J45" s="56" t="s">
        <v>42</v>
      </c>
      <c r="K45" s="23"/>
      <c r="L45" s="23"/>
      <c r="M45" s="23"/>
      <c r="N45" s="23"/>
    </row>
    <row r="46">
      <c r="A46" s="52"/>
      <c r="B46" s="57"/>
      <c r="C46" s="5"/>
      <c r="D46" s="5"/>
      <c r="E46" s="6"/>
      <c r="F46" s="6"/>
      <c r="G46" s="6"/>
      <c r="H46" s="6"/>
      <c r="I46" s="27"/>
      <c r="J46" s="23"/>
      <c r="L46" s="23"/>
      <c r="M46" s="23"/>
      <c r="N46" s="23"/>
    </row>
    <row r="47">
      <c r="A47" s="58" t="s">
        <v>43</v>
      </c>
      <c r="B47" s="59">
        <f>(4 + 12.4 * 1.33)/100</f>
        <v>0.20492</v>
      </c>
      <c r="C47" s="5"/>
      <c r="D47" s="5"/>
      <c r="E47" s="6"/>
      <c r="F47" s="6"/>
      <c r="G47" s="6"/>
      <c r="H47" s="6"/>
      <c r="I47" s="27"/>
      <c r="J47" s="23"/>
      <c r="L47" s="23"/>
      <c r="M47" s="23"/>
      <c r="N47" s="23"/>
    </row>
    <row r="48">
      <c r="A48" s="24"/>
      <c r="B48" s="5"/>
      <c r="C48" s="5"/>
      <c r="D48" s="5"/>
      <c r="E48" s="6"/>
      <c r="F48" s="6"/>
      <c r="G48" s="6"/>
      <c r="H48" s="6"/>
      <c r="I48" s="27"/>
      <c r="J48" s="23"/>
      <c r="L48" s="23"/>
      <c r="M48" s="23"/>
      <c r="N48" s="23"/>
      <c r="O48" s="23"/>
    </row>
    <row r="49">
      <c r="A49" s="39"/>
      <c r="B49" s="40"/>
      <c r="C49" s="40"/>
      <c r="D49" s="40"/>
      <c r="I49" s="23"/>
      <c r="J49" s="23"/>
      <c r="L49" s="23"/>
      <c r="M49" s="23"/>
      <c r="N49" s="23"/>
      <c r="O49" s="23"/>
    </row>
    <row r="50">
      <c r="I50" s="39"/>
      <c r="J50" s="23"/>
      <c r="K50" s="23"/>
      <c r="L50" s="23"/>
      <c r="M50" s="23"/>
      <c r="N50" s="23"/>
    </row>
    <row r="51">
      <c r="A51" s="60" t="s">
        <v>44</v>
      </c>
      <c r="B51" s="34" t="s">
        <v>45</v>
      </c>
      <c r="I51" s="39"/>
      <c r="J51" s="23"/>
      <c r="K51" s="23"/>
      <c r="L51" s="23"/>
      <c r="M51" s="23"/>
      <c r="N51" s="23"/>
    </row>
    <row r="52">
      <c r="A52" s="61" t="s">
        <v>46</v>
      </c>
      <c r="B52" s="62" t="s">
        <v>47</v>
      </c>
      <c r="C52" s="63" t="s">
        <v>48</v>
      </c>
      <c r="D52" s="64"/>
      <c r="E52" s="64"/>
      <c r="F52" s="64"/>
      <c r="G52" s="64"/>
      <c r="H52" s="64"/>
      <c r="I52" s="65"/>
      <c r="J52" s="23"/>
      <c r="K52" s="23"/>
      <c r="L52" s="23"/>
      <c r="M52" s="23"/>
      <c r="N52" s="23"/>
    </row>
    <row r="53">
      <c r="A53" s="66"/>
      <c r="B53" s="66"/>
      <c r="C53" s="67">
        <v>0.005</v>
      </c>
      <c r="D53" s="67">
        <v>0.01</v>
      </c>
      <c r="E53" s="67">
        <v>0.02</v>
      </c>
      <c r="F53" s="67">
        <v>0.05</v>
      </c>
      <c r="G53" s="67">
        <v>0.1</v>
      </c>
      <c r="H53" s="67">
        <v>0.2</v>
      </c>
      <c r="I53" s="67">
        <v>0.3</v>
      </c>
      <c r="J53" s="23"/>
    </row>
    <row r="54">
      <c r="A54" s="68" t="s">
        <v>49</v>
      </c>
      <c r="B54" s="8">
        <v>21.319</v>
      </c>
      <c r="C54" s="69">
        <f>D53*(B55*10^12) / B59</f>
        <v>8542.857143</v>
      </c>
      <c r="D54" s="69">
        <f>D53*(B54*10^12) / B59</f>
        <v>10151.90476</v>
      </c>
      <c r="E54" s="69">
        <f>E53*(B54*10^12) / B59</f>
        <v>20303.80952</v>
      </c>
      <c r="F54" s="69">
        <f>F53*(B54*10^12) / B59</f>
        <v>50759.52381</v>
      </c>
      <c r="G54" s="69">
        <f>G53*(B54*10^12) / B59</f>
        <v>101519.0476</v>
      </c>
      <c r="H54" s="69">
        <f>H53*(B54*10^12) / B59</f>
        <v>203038.0952</v>
      </c>
      <c r="I54" s="69">
        <f>I53*(B54*10^12) / B59</f>
        <v>304557.1429</v>
      </c>
      <c r="J54" s="23"/>
    </row>
    <row r="55">
      <c r="A55" s="68" t="s">
        <v>50</v>
      </c>
      <c r="B55" s="8">
        <v>17.94</v>
      </c>
      <c r="C55" s="69">
        <f>C53*(B55*10^12) / B59</f>
        <v>4271.428571</v>
      </c>
      <c r="D55" s="69">
        <f>D53*(B55*10^12) / B59</f>
        <v>8542.857143</v>
      </c>
      <c r="E55" s="69">
        <f>E53*(B55*10^12) / B59</f>
        <v>17085.71429</v>
      </c>
      <c r="F55" s="69">
        <f>F53*(B55*10^12) / B59</f>
        <v>42714.28571</v>
      </c>
      <c r="G55" s="69">
        <f>G53*(B55*10^12) / B59</f>
        <v>85428.57143</v>
      </c>
      <c r="H55" s="69">
        <f>H53*(B55*10^12) / B59</f>
        <v>170857.1429</v>
      </c>
      <c r="I55" s="69">
        <f>I53*(B55*10^12) / B59</f>
        <v>256285.7143</v>
      </c>
      <c r="J55" s="23"/>
    </row>
    <row r="56">
      <c r="A56" s="68" t="s">
        <v>51</v>
      </c>
      <c r="B56" s="8">
        <v>10.75</v>
      </c>
      <c r="C56" s="69">
        <f>C53*(B56*10^12) / B59</f>
        <v>2559.52381</v>
      </c>
      <c r="D56" s="69">
        <f>D53*(B56*10^12) / B59</f>
        <v>5119.047619</v>
      </c>
      <c r="E56" s="69">
        <f>E53*(B56*10^12) / B59</f>
        <v>10238.09524</v>
      </c>
      <c r="F56" s="69">
        <f>F53*(B56*10^12) / B59</f>
        <v>25595.2381</v>
      </c>
      <c r="G56" s="69">
        <f>G53*(B56*10^12) / B59</f>
        <v>51190.47619</v>
      </c>
      <c r="H56" s="69">
        <f>H53*(B56*10^12) /B59</f>
        <v>102380.9524</v>
      </c>
      <c r="I56" s="69">
        <f>I53*(B56*10^12) / B59</f>
        <v>153571.4286</v>
      </c>
      <c r="J56" s="23"/>
    </row>
    <row r="57">
      <c r="A57" s="68" t="s">
        <v>52</v>
      </c>
      <c r="B57" s="8">
        <v>0.883</v>
      </c>
      <c r="C57" s="69">
        <f>C53*(B57*10^12) / B59</f>
        <v>210.2380952</v>
      </c>
      <c r="D57" s="69">
        <f>D53*(B57*10^12) / B59</f>
        <v>420.4761905</v>
      </c>
      <c r="E57" s="69">
        <f>E53*(B57*10^12) / B59</f>
        <v>840.952381</v>
      </c>
      <c r="F57" s="69">
        <f>F53*(B57*10^12) / B59</f>
        <v>2102.380952</v>
      </c>
      <c r="G57" s="69">
        <f>G53*(B57*10^12) / B59</f>
        <v>4204.761905</v>
      </c>
      <c r="H57" s="69">
        <f>H53*(B57*10^12) / B59</f>
        <v>8409.52381</v>
      </c>
      <c r="I57" s="69">
        <f>I53*(B57*10^12) / B59</f>
        <v>12614.28571</v>
      </c>
      <c r="J57" s="23"/>
    </row>
    <row r="58">
      <c r="A58" s="68" t="s">
        <v>53</v>
      </c>
      <c r="B58" s="8">
        <v>1.0872</v>
      </c>
      <c r="C58" s="69">
        <f>C53*(B58*10^12) / B59</f>
        <v>258.8571429</v>
      </c>
      <c r="D58" s="69">
        <f>D53*(B58*10^12) / B59</f>
        <v>517.7142857</v>
      </c>
      <c r="E58" s="69">
        <f>E53*(B58*10^12) / B59</f>
        <v>1035.428571</v>
      </c>
      <c r="F58" s="69">
        <f>F53*(B58*10^12) / B59</f>
        <v>2588.571429</v>
      </c>
      <c r="G58" s="69">
        <f>G53*(B58*10^12) / B59</f>
        <v>5177.142857</v>
      </c>
      <c r="H58" s="69">
        <f>H53*(B58*10^12) / B59</f>
        <v>10354.28571</v>
      </c>
      <c r="I58" s="69">
        <f>I53*(B58*10^12) / B59</f>
        <v>15531.42857</v>
      </c>
      <c r="J58" s="39"/>
    </row>
    <row r="59">
      <c r="A59" s="68" t="s">
        <v>54</v>
      </c>
      <c r="B59" s="63">
        <f>21*10^6</f>
        <v>21000000</v>
      </c>
      <c r="C59" s="64"/>
      <c r="D59" s="64"/>
      <c r="E59" s="64"/>
      <c r="F59" s="64"/>
      <c r="G59" s="64"/>
      <c r="H59" s="64"/>
      <c r="I59" s="65"/>
    </row>
    <row r="60">
      <c r="A60" s="5"/>
      <c r="B60" s="20"/>
      <c r="C60" s="20"/>
      <c r="D60" s="20"/>
      <c r="E60" s="20"/>
      <c r="F60" s="20"/>
      <c r="G60" s="20"/>
      <c r="H60" s="20"/>
    </row>
    <row r="61">
      <c r="A61" s="40"/>
      <c r="B61" s="70"/>
      <c r="C61" s="70"/>
      <c r="D61" s="70"/>
      <c r="E61" s="70"/>
      <c r="F61" s="70"/>
      <c r="G61" s="70"/>
      <c r="H61" s="70"/>
    </row>
    <row r="62">
      <c r="A62" s="40"/>
      <c r="B62" s="70"/>
      <c r="C62" s="70"/>
      <c r="D62" s="70"/>
      <c r="E62" s="71" t="s">
        <v>55</v>
      </c>
      <c r="F62" s="70"/>
      <c r="G62" s="70"/>
      <c r="H62" s="70"/>
    </row>
    <row r="63">
      <c r="E63" s="56" t="s">
        <v>56</v>
      </c>
    </row>
    <row r="64">
      <c r="E64" s="56" t="s">
        <v>57</v>
      </c>
    </row>
    <row r="65">
      <c r="E65" s="56" t="s">
        <v>58</v>
      </c>
    </row>
    <row r="66">
      <c r="E66" s="56" t="s">
        <v>59</v>
      </c>
    </row>
    <row r="67">
      <c r="E67" s="56" t="s">
        <v>60</v>
      </c>
    </row>
    <row r="70">
      <c r="A70" s="60" t="s">
        <v>61</v>
      </c>
      <c r="B70" s="34" t="s">
        <v>62</v>
      </c>
      <c r="C70" s="6"/>
      <c r="D70" s="6"/>
      <c r="E70" s="6"/>
      <c r="F70" s="6"/>
      <c r="G70" s="6"/>
      <c r="H70" s="6"/>
    </row>
    <row r="71">
      <c r="A71" s="6"/>
      <c r="B71" s="4">
        <v>2020.0</v>
      </c>
      <c r="C71" s="4">
        <v>2021.0</v>
      </c>
      <c r="D71" s="4">
        <v>2022.0</v>
      </c>
      <c r="E71" s="4">
        <v>2023.0</v>
      </c>
      <c r="F71" s="4">
        <v>2024.0</v>
      </c>
      <c r="G71" s="6"/>
      <c r="H71" s="6"/>
    </row>
    <row r="72">
      <c r="A72" s="6"/>
      <c r="B72" s="72" t="s">
        <v>21</v>
      </c>
      <c r="C72" s="73">
        <f t="shared" ref="C72:F72" si="15">C5/(C5-B5)</f>
        <v>53.37611598</v>
      </c>
      <c r="D72" s="73">
        <f t="shared" si="15"/>
        <v>57.37748899</v>
      </c>
      <c r="E72" s="73">
        <f t="shared" si="15"/>
        <v>58.02629814</v>
      </c>
      <c r="F72" s="73">
        <f t="shared" si="15"/>
        <v>68.98605653</v>
      </c>
      <c r="G72" s="6"/>
      <c r="H72" s="6"/>
    </row>
    <row r="73">
      <c r="A73" s="6"/>
      <c r="B73" s="6"/>
      <c r="C73" s="6"/>
      <c r="D73" s="6"/>
      <c r="E73" s="6"/>
      <c r="F73" s="6"/>
      <c r="G73" s="6"/>
      <c r="H73" s="6"/>
    </row>
    <row r="74">
      <c r="A74" s="6"/>
      <c r="B74" s="34" t="s">
        <v>63</v>
      </c>
      <c r="C74" s="6"/>
      <c r="D74" s="6"/>
      <c r="E74" s="6"/>
      <c r="F74" s="6"/>
      <c r="G74" s="6"/>
      <c r="H74" s="6"/>
    </row>
    <row r="75">
      <c r="A75" s="6"/>
      <c r="B75" s="6"/>
      <c r="C75" s="6"/>
      <c r="D75" s="6"/>
      <c r="E75" s="6"/>
      <c r="F75" s="6"/>
      <c r="G75" s="6"/>
      <c r="H75" s="6"/>
    </row>
    <row r="76">
      <c r="A76" s="6"/>
      <c r="B76" s="6"/>
      <c r="C76" s="6"/>
      <c r="D76" s="6"/>
      <c r="E76" s="6"/>
      <c r="F76" s="6"/>
      <c r="G76" s="6"/>
      <c r="H76" s="6"/>
    </row>
    <row r="77">
      <c r="A77" s="60" t="s">
        <v>64</v>
      </c>
      <c r="B77" s="34" t="s">
        <v>65</v>
      </c>
      <c r="C77" s="6"/>
      <c r="D77" s="6"/>
      <c r="E77" s="6"/>
      <c r="F77" s="6"/>
      <c r="G77" s="6"/>
      <c r="H77" s="6"/>
    </row>
    <row r="78">
      <c r="A78" s="6"/>
      <c r="B78" s="4">
        <v>2020.0</v>
      </c>
      <c r="C78" s="4">
        <v>2021.0</v>
      </c>
      <c r="D78" s="4">
        <v>2022.0</v>
      </c>
      <c r="E78" s="4">
        <v>2023.0</v>
      </c>
      <c r="F78" s="4">
        <v>2024.0</v>
      </c>
      <c r="G78" s="6"/>
      <c r="H78" s="6"/>
    </row>
    <row r="79">
      <c r="A79" s="6"/>
      <c r="B79" s="73">
        <f t="shared" ref="B79:F79" si="16">(B9 * 10^12) / ((B14 * 10^6)^2)</f>
        <v>0.6187161403</v>
      </c>
      <c r="C79" s="73">
        <f t="shared" si="16"/>
        <v>2.372614272</v>
      </c>
      <c r="D79" s="73">
        <f t="shared" si="16"/>
        <v>1.549146014</v>
      </c>
      <c r="E79" s="73">
        <f t="shared" si="16"/>
        <v>1.464833344</v>
      </c>
      <c r="F79" s="73">
        <f t="shared" si="16"/>
        <v>5.557113694</v>
      </c>
      <c r="G79" s="6"/>
      <c r="H79" s="6"/>
    </row>
    <row r="80">
      <c r="A80" s="6"/>
      <c r="B80" s="6"/>
      <c r="C80" s="6"/>
      <c r="D80" s="6"/>
      <c r="E80" s="6"/>
      <c r="F80" s="6"/>
      <c r="G80" s="6"/>
      <c r="H80" s="6"/>
    </row>
    <row r="81">
      <c r="A81" s="6"/>
      <c r="B81" s="34" t="s">
        <v>66</v>
      </c>
      <c r="C81" s="6"/>
      <c r="D81" s="6"/>
      <c r="E81" s="6"/>
      <c r="F81" s="6"/>
      <c r="G81" s="6"/>
      <c r="H81" s="6"/>
    </row>
    <row r="82">
      <c r="B82" s="37" t="s">
        <v>67</v>
      </c>
    </row>
    <row r="84">
      <c r="A84" s="74" t="s">
        <v>68</v>
      </c>
      <c r="B84" s="37" t="s">
        <v>69</v>
      </c>
    </row>
    <row r="95">
      <c r="C95" s="6"/>
      <c r="D95" s="6"/>
      <c r="E95" s="6"/>
      <c r="F95" s="6"/>
      <c r="G95" s="6"/>
      <c r="H95" s="6"/>
      <c r="I95" s="6"/>
      <c r="J95" s="6"/>
    </row>
    <row r="96">
      <c r="C96" s="6"/>
      <c r="D96" s="6"/>
      <c r="E96" s="6"/>
      <c r="F96" s="6"/>
      <c r="G96" s="6"/>
      <c r="H96" s="6"/>
      <c r="I96" s="6"/>
      <c r="J96" s="6"/>
    </row>
    <row r="97">
      <c r="C97" s="6"/>
      <c r="D97" s="6"/>
      <c r="E97" s="6"/>
      <c r="F97" s="6"/>
      <c r="G97" s="6"/>
      <c r="H97" s="6"/>
      <c r="I97" s="6"/>
      <c r="J97" s="6"/>
    </row>
    <row r="98">
      <c r="C98" s="6"/>
      <c r="D98" s="6"/>
      <c r="E98" s="6"/>
      <c r="F98" s="6"/>
      <c r="G98" s="6"/>
      <c r="H98" s="6"/>
      <c r="I98" s="6"/>
      <c r="J98" s="6"/>
    </row>
    <row r="99">
      <c r="B99" s="37" t="s">
        <v>70</v>
      </c>
      <c r="C99" s="6"/>
      <c r="D99" s="6"/>
      <c r="E99" s="6"/>
      <c r="F99" s="6"/>
      <c r="G99" s="6"/>
      <c r="H99" s="6"/>
      <c r="I99" s="6"/>
      <c r="J99" s="6"/>
    </row>
    <row r="100">
      <c r="C100" s="6"/>
      <c r="D100" s="6"/>
      <c r="E100" s="6"/>
      <c r="F100" s="6"/>
      <c r="G100" s="6"/>
      <c r="H100" s="6"/>
      <c r="I100" s="6"/>
      <c r="J100" s="6"/>
    </row>
    <row r="101">
      <c r="B101" s="34" t="s">
        <v>71</v>
      </c>
      <c r="C101" s="6"/>
      <c r="D101" s="6"/>
      <c r="E101" s="6"/>
      <c r="F101" s="6"/>
      <c r="G101" s="6"/>
      <c r="H101" s="6"/>
      <c r="I101" s="6"/>
      <c r="J101" s="6"/>
    </row>
    <row r="102">
      <c r="B102" s="60" t="s">
        <v>72</v>
      </c>
    </row>
    <row r="103">
      <c r="B103" s="60" t="s">
        <v>73</v>
      </c>
    </row>
    <row r="104">
      <c r="B104" s="60" t="s">
        <v>74</v>
      </c>
    </row>
    <row r="105">
      <c r="B105" s="60" t="s">
        <v>75</v>
      </c>
    </row>
    <row r="108">
      <c r="A108" s="74" t="s">
        <v>76</v>
      </c>
    </row>
    <row r="154">
      <c r="G154" s="56" t="s">
        <v>77</v>
      </c>
    </row>
    <row r="155">
      <c r="A155" s="37" t="s">
        <v>78</v>
      </c>
    </row>
    <row r="159">
      <c r="A159" s="75"/>
    </row>
    <row r="160">
      <c r="A160" s="76"/>
    </row>
    <row r="162">
      <c r="A162" s="76"/>
    </row>
    <row r="164">
      <c r="B164" s="76"/>
    </row>
    <row r="165">
      <c r="E165" s="76"/>
    </row>
    <row r="166">
      <c r="A166" s="76"/>
    </row>
    <row r="169">
      <c r="B169" s="76"/>
    </row>
    <row r="174">
      <c r="B174" s="77" t="s">
        <v>79</v>
      </c>
    </row>
    <row r="175">
      <c r="B175" s="78" t="s">
        <v>80</v>
      </c>
    </row>
    <row r="176">
      <c r="B176" s="78" t="s">
        <v>81</v>
      </c>
    </row>
    <row r="179">
      <c r="A179" s="37" t="s">
        <v>82</v>
      </c>
      <c r="F179" s="37" t="s">
        <v>83</v>
      </c>
    </row>
    <row r="180">
      <c r="A180" s="37" t="s">
        <v>84</v>
      </c>
    </row>
    <row r="181">
      <c r="A181" s="37" t="s">
        <v>85</v>
      </c>
    </row>
  </sheetData>
  <mergeCells count="6">
    <mergeCell ref="A1:H1"/>
    <mergeCell ref="B51:H51"/>
    <mergeCell ref="A52:A53"/>
    <mergeCell ref="B52:B53"/>
    <mergeCell ref="C52:I52"/>
    <mergeCell ref="B59:I59"/>
  </mergeCells>
  <hyperlinks>
    <hyperlink r:id="rId1" ref="J44"/>
    <hyperlink r:id="rId2" ref="J45"/>
    <hyperlink r:id="rId3" ref="E63"/>
    <hyperlink r:id="rId4" ref="E64"/>
    <hyperlink r:id="rId5" ref="E65"/>
    <hyperlink r:id="rId6" ref="E66"/>
    <hyperlink r:id="rId7" ref="E67"/>
    <hyperlink r:id="rId8" ref="G154"/>
  </hyperlinks>
  <printOptions gridLines="1" horizontalCentered="1"/>
  <pageMargins bottom="0.75" footer="0.0" header="0.0" left="0.7" right="0.7" top="0.75"/>
  <pageSetup fitToHeight="0" paperSize="9" cellComments="atEnd" orientation="portrait" pageOrder="overThenDown"/>
  <drawing r:id="rId9"/>
</worksheet>
</file>